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16  COOPERA - Godoy\Estrutura\"/>
    </mc:Choice>
  </mc:AlternateContent>
  <xr:revisionPtr revIDLastSave="0" documentId="13_ncr:1_{AE35B45F-05DB-4FE8-8325-4AD92B1A1843}" xr6:coauthVersionLast="47" xr6:coauthVersionMax="47" xr10:uidLastSave="{00000000-0000-0000-0000-000000000000}"/>
  <bookViews>
    <workbookView xWindow="-120" yWindow="-120" windowWidth="29040" windowHeight="15840" firstSheet="1" activeTab="1" xr2:uid="{31CF99BE-2156-48DB-88D4-F9E42A9450C3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</sheets>
  <calcPr calcId="191029" iterate="1"/>
  <pivotCaches>
    <pivotCache cacheId="83" r:id="rId28"/>
    <pivotCache cacheId="8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5" i="28"/>
  <c r="J14" i="28"/>
  <c r="J10" i="28"/>
  <c r="J9" i="28"/>
  <c r="J6" i="28"/>
  <c r="J5" i="28"/>
  <c r="I3" i="27"/>
  <c r="I2" i="27" s="1"/>
  <c r="K3" i="27"/>
  <c r="B2" i="27"/>
  <c r="C2" i="27"/>
  <c r="D2" i="27"/>
  <c r="E2" i="27"/>
  <c r="F2" i="27"/>
  <c r="G2" i="27"/>
  <c r="H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R6" i="21"/>
  <c r="AE5" i="21"/>
  <c r="AD5" i="21"/>
  <c r="AE4" i="21"/>
  <c r="AD4" i="21"/>
  <c r="AC4" i="21"/>
  <c r="AB4" i="21"/>
  <c r="AA4" i="21"/>
  <c r="W4" i="21"/>
  <c r="V4" i="21"/>
  <c r="U4" i="21"/>
  <c r="AI4" i="21" s="1"/>
  <c r="T4" i="21"/>
  <c r="S4" i="21"/>
  <c r="Y4" i="21" s="1"/>
  <c r="AG4" i="21" s="1"/>
  <c r="R4" i="21"/>
  <c r="X4" i="21" s="1"/>
  <c r="AF4" i="21" s="1"/>
  <c r="AE3" i="21"/>
  <c r="AD3" i="21"/>
  <c r="AC3" i="21"/>
  <c r="AB3" i="21"/>
  <c r="AA3" i="21"/>
  <c r="W3" i="21"/>
  <c r="Z3" i="21" s="1"/>
  <c r="V3" i="21"/>
  <c r="U3" i="21"/>
  <c r="AI3" i="21" s="1"/>
  <c r="T3" i="21"/>
  <c r="S3" i="21"/>
  <c r="R3" i="21"/>
  <c r="J493" i="21"/>
  <c r="J492" i="21"/>
  <c r="J491" i="21"/>
  <c r="M491" i="21" s="1"/>
  <c r="J490" i="21"/>
  <c r="M490" i="21" s="1"/>
  <c r="J489" i="21"/>
  <c r="M489" i="21" s="1"/>
  <c r="J488" i="21"/>
  <c r="J487" i="21"/>
  <c r="M487" i="21" s="1"/>
  <c r="J486" i="21"/>
  <c r="M486" i="21" s="1"/>
  <c r="J485" i="21"/>
  <c r="J484" i="21"/>
  <c r="J483" i="21"/>
  <c r="J482" i="21"/>
  <c r="J505" i="21"/>
  <c r="M505" i="21" s="1"/>
  <c r="J504" i="21"/>
  <c r="M504" i="21" s="1"/>
  <c r="J503" i="21"/>
  <c r="M503" i="21" s="1"/>
  <c r="M502" i="21"/>
  <c r="J502" i="21"/>
  <c r="J501" i="21"/>
  <c r="M501" i="21" s="1"/>
  <c r="J500" i="21"/>
  <c r="M500" i="21" s="1"/>
  <c r="J499" i="21"/>
  <c r="M499" i="21" s="1"/>
  <c r="M498" i="21"/>
  <c r="J498" i="21"/>
  <c r="J497" i="21"/>
  <c r="M497" i="21" s="1"/>
  <c r="J496" i="21"/>
  <c r="M496" i="21" s="1"/>
  <c r="J495" i="21"/>
  <c r="M495" i="21" s="1"/>
  <c r="J494" i="21"/>
  <c r="M493" i="21"/>
  <c r="M492" i="21"/>
  <c r="M488" i="21"/>
  <c r="M485" i="21"/>
  <c r="M484" i="21"/>
  <c r="M483" i="21"/>
  <c r="M482" i="2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J463" i="21"/>
  <c r="M463" i="21" s="1"/>
  <c r="J462" i="21"/>
  <c r="M462" i="21" s="1"/>
  <c r="J461" i="21"/>
  <c r="M461" i="21" s="1"/>
  <c r="J460" i="21"/>
  <c r="M460" i="21" s="1"/>
  <c r="J459" i="21"/>
  <c r="M459" i="21" s="1"/>
  <c r="J458" i="21"/>
  <c r="M458" i="21" s="1"/>
  <c r="J457" i="21"/>
  <c r="M457" i="21" s="1"/>
  <c r="J456" i="21"/>
  <c r="M456" i="21" s="1"/>
  <c r="M455" i="21"/>
  <c r="J455" i="21"/>
  <c r="J454" i="21"/>
  <c r="M454" i="21" s="1"/>
  <c r="J453" i="21"/>
  <c r="M453" i="21" s="1"/>
  <c r="J452" i="21"/>
  <c r="M452" i="21" s="1"/>
  <c r="J451" i="21"/>
  <c r="M451" i="21" s="1"/>
  <c r="J450" i="21"/>
  <c r="M450" i="21" s="1"/>
  <c r="J449" i="21"/>
  <c r="M449" i="21" s="1"/>
  <c r="M448" i="21"/>
  <c r="J448" i="21"/>
  <c r="J447" i="21"/>
  <c r="M447" i="21" s="1"/>
  <c r="J446" i="21"/>
  <c r="M446" i="21" s="1"/>
  <c r="J445" i="21"/>
  <c r="M445" i="21" s="1"/>
  <c r="J444" i="21"/>
  <c r="M444" i="21" s="1"/>
  <c r="J443" i="21"/>
  <c r="M443" i="21" s="1"/>
  <c r="J442" i="21"/>
  <c r="M442" i="21" s="1"/>
  <c r="J441" i="21"/>
  <c r="M441" i="21" s="1"/>
  <c r="J440" i="21"/>
  <c r="M440" i="21" s="1"/>
  <c r="J439" i="21"/>
  <c r="M439" i="21" s="1"/>
  <c r="J438" i="21"/>
  <c r="M438" i="21" s="1"/>
  <c r="J437" i="21"/>
  <c r="M437" i="21" s="1"/>
  <c r="J436" i="21"/>
  <c r="M436" i="21" s="1"/>
  <c r="J435" i="21"/>
  <c r="M435" i="21" s="1"/>
  <c r="J434" i="21"/>
  <c r="M434" i="21" s="1"/>
  <c r="J433" i="21"/>
  <c r="M433" i="21" s="1"/>
  <c r="J432" i="21"/>
  <c r="M432" i="21" s="1"/>
  <c r="J431" i="21"/>
  <c r="M431" i="21" s="1"/>
  <c r="J430" i="21"/>
  <c r="M430" i="21" s="1"/>
  <c r="J429" i="21"/>
  <c r="M429" i="21" s="1"/>
  <c r="J428" i="21"/>
  <c r="M428" i="21" s="1"/>
  <c r="J427" i="21"/>
  <c r="M427" i="21" s="1"/>
  <c r="J426" i="21"/>
  <c r="M426" i="21" s="1"/>
  <c r="J425" i="21"/>
  <c r="M425" i="21" s="1"/>
  <c r="J424" i="21"/>
  <c r="M424" i="21" s="1"/>
  <c r="M423" i="21"/>
  <c r="J423" i="21"/>
  <c r="J422" i="21"/>
  <c r="M422" i="21" s="1"/>
  <c r="J421" i="21"/>
  <c r="M421" i="21" s="1"/>
  <c r="M420" i="21"/>
  <c r="J420" i="21"/>
  <c r="J419" i="21"/>
  <c r="M419" i="21" s="1"/>
  <c r="J418" i="21"/>
  <c r="M418" i="21" s="1"/>
  <c r="J417" i="21"/>
  <c r="M417" i="21" s="1"/>
  <c r="J416" i="21"/>
  <c r="M416" i="21" s="1"/>
  <c r="M415" i="21"/>
  <c r="J415" i="21"/>
  <c r="J414" i="21"/>
  <c r="M414" i="21" s="1"/>
  <c r="J413" i="21"/>
  <c r="M413" i="21" s="1"/>
  <c r="J412" i="21"/>
  <c r="M412" i="21" s="1"/>
  <c r="J411" i="21"/>
  <c r="M411" i="21" s="1"/>
  <c r="J410" i="21"/>
  <c r="M410" i="21" s="1"/>
  <c r="M409" i="21"/>
  <c r="J409" i="21"/>
  <c r="J408" i="21"/>
  <c r="M408" i="21" s="1"/>
  <c r="M407" i="21"/>
  <c r="J407" i="21"/>
  <c r="J406" i="21"/>
  <c r="M406" i="21" s="1"/>
  <c r="J405" i="21"/>
  <c r="M405" i="21" s="1"/>
  <c r="J404" i="21"/>
  <c r="M404" i="21" s="1"/>
  <c r="J403" i="21"/>
  <c r="M403" i="21" s="1"/>
  <c r="J402" i="21"/>
  <c r="M402" i="21" s="1"/>
  <c r="J401" i="21"/>
  <c r="M401" i="21" s="1"/>
  <c r="J400" i="21"/>
  <c r="M400" i="21" s="1"/>
  <c r="J399" i="21"/>
  <c r="M399" i="21" s="1"/>
  <c r="J398" i="21"/>
  <c r="M398" i="21" s="1"/>
  <c r="J397" i="21"/>
  <c r="M397" i="21" s="1"/>
  <c r="J396" i="21"/>
  <c r="M396" i="21" s="1"/>
  <c r="M395" i="21"/>
  <c r="J395" i="21"/>
  <c r="J394" i="21"/>
  <c r="M394" i="21" s="1"/>
  <c r="J393" i="21"/>
  <c r="M393" i="21" s="1"/>
  <c r="M392" i="21"/>
  <c r="J392" i="21"/>
  <c r="J391" i="21"/>
  <c r="M391" i="21" s="1"/>
  <c r="J390" i="21"/>
  <c r="M390" i="21" s="1"/>
  <c r="J389" i="21"/>
  <c r="M389" i="21" s="1"/>
  <c r="J388" i="21"/>
  <c r="M388" i="21" s="1"/>
  <c r="J387" i="21"/>
  <c r="M387" i="21" s="1"/>
  <c r="J386" i="21"/>
  <c r="M386" i="21" s="1"/>
  <c r="M385" i="21"/>
  <c r="J385" i="21"/>
  <c r="J384" i="21"/>
  <c r="M384" i="21" s="1"/>
  <c r="J383" i="21"/>
  <c r="M383" i="21" s="1"/>
  <c r="J382" i="21"/>
  <c r="M382" i="21" s="1"/>
  <c r="J381" i="21"/>
  <c r="M381" i="21" s="1"/>
  <c r="J380" i="21"/>
  <c r="M380" i="21" s="1"/>
  <c r="J379" i="21"/>
  <c r="M379" i="21" s="1"/>
  <c r="M378" i="21"/>
  <c r="J378" i="21"/>
  <c r="J377" i="21"/>
  <c r="M377" i="21" s="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J368" i="21"/>
  <c r="M368" i="21" s="1"/>
  <c r="J367" i="21"/>
  <c r="M367" i="21" s="1"/>
  <c r="M366" i="21"/>
  <c r="J366" i="21"/>
  <c r="J365" i="21"/>
  <c r="M365" i="21" s="1"/>
  <c r="J364" i="21"/>
  <c r="M364" i="21" s="1"/>
  <c r="J363" i="21"/>
  <c r="M363" i="21" s="1"/>
  <c r="M362" i="21"/>
  <c r="J362" i="2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M356" i="21" s="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M346" i="21"/>
  <c r="J346" i="2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M317" i="21"/>
  <c r="J317" i="2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M309" i="21"/>
  <c r="J309" i="21"/>
  <c r="J308" i="21"/>
  <c r="M308" i="21" s="1"/>
  <c r="M307" i="21"/>
  <c r="J307" i="21"/>
  <c r="J306" i="21"/>
  <c r="M306" i="21" s="1"/>
  <c r="J305" i="21"/>
  <c r="M305" i="21" s="1"/>
  <c r="J304" i="21"/>
  <c r="M304" i="21" s="1"/>
  <c r="J303" i="21"/>
  <c r="M303" i="21" s="1"/>
  <c r="J302" i="21"/>
  <c r="M302" i="21" s="1"/>
  <c r="M301" i="21"/>
  <c r="J301" i="2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M293" i="21"/>
  <c r="J293" i="21"/>
  <c r="J292" i="21"/>
  <c r="M292" i="21" s="1"/>
  <c r="M291" i="21"/>
  <c r="J291" i="21"/>
  <c r="J290" i="21"/>
  <c r="M290" i="21" s="1"/>
  <c r="J289" i="21"/>
  <c r="M289" i="21" s="1"/>
  <c r="J288" i="21"/>
  <c r="M288" i="21" s="1"/>
  <c r="J287" i="21"/>
  <c r="M287" i="21" s="1"/>
  <c r="J286" i="21"/>
  <c r="M286" i="21" s="1"/>
  <c r="M285" i="21"/>
  <c r="J285" i="2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M277" i="21"/>
  <c r="J277" i="21"/>
  <c r="J276" i="21"/>
  <c r="M276" i="21" s="1"/>
  <c r="M275" i="21"/>
  <c r="J275" i="21"/>
  <c r="J274" i="21"/>
  <c r="M274" i="21" s="1"/>
  <c r="J273" i="21"/>
  <c r="M273" i="21" s="1"/>
  <c r="J272" i="21"/>
  <c r="M272" i="21" s="1"/>
  <c r="J271" i="21"/>
  <c r="M271" i="21" s="1"/>
  <c r="J270" i="21"/>
  <c r="M270" i="21" s="1"/>
  <c r="M269" i="21"/>
  <c r="J269" i="21"/>
  <c r="J268" i="21"/>
  <c r="M268" i="21" s="1"/>
  <c r="J267" i="21"/>
  <c r="M267" i="21" s="1"/>
  <c r="J266" i="21"/>
  <c r="M266" i="21" s="1"/>
  <c r="J265" i="21"/>
  <c r="M265" i="21" s="1"/>
  <c r="M264" i="21"/>
  <c r="J264" i="21"/>
  <c r="J263" i="21"/>
  <c r="M263" i="21" s="1"/>
  <c r="J262" i="21"/>
  <c r="M262" i="21" s="1"/>
  <c r="M261" i="21"/>
  <c r="J261" i="21"/>
  <c r="M260" i="21"/>
  <c r="J260" i="21"/>
  <c r="J259" i="21"/>
  <c r="M259" i="21" s="1"/>
  <c r="J258" i="21"/>
  <c r="M258" i="21" s="1"/>
  <c r="M257" i="21"/>
  <c r="J257" i="21"/>
  <c r="J256" i="21"/>
  <c r="M256" i="21" s="1"/>
  <c r="J255" i="21"/>
  <c r="M255" i="21" s="1"/>
  <c r="J254" i="21"/>
  <c r="M254" i="21" s="1"/>
  <c r="J253" i="21"/>
  <c r="M253" i="21" s="1"/>
  <c r="M252" i="21"/>
  <c r="J252" i="21"/>
  <c r="J251" i="21"/>
  <c r="M251" i="21" s="1"/>
  <c r="M250" i="21"/>
  <c r="J250" i="21"/>
  <c r="J249" i="21"/>
  <c r="M249" i="21" s="1"/>
  <c r="M248" i="21"/>
  <c r="J248" i="21"/>
  <c r="J247" i="21"/>
  <c r="M247" i="21" s="1"/>
  <c r="M246" i="21"/>
  <c r="J246" i="21"/>
  <c r="J245" i="21"/>
  <c r="M245" i="21" s="1"/>
  <c r="J244" i="21"/>
  <c r="M244" i="21" s="1"/>
  <c r="J243" i="21"/>
  <c r="M243" i="21" s="1"/>
  <c r="J242" i="21"/>
  <c r="M242" i="21" s="1"/>
  <c r="M241" i="21"/>
  <c r="J241" i="21"/>
  <c r="J240" i="21"/>
  <c r="M240" i="21" s="1"/>
  <c r="J239" i="21"/>
  <c r="M239" i="21" s="1"/>
  <c r="M238" i="21"/>
  <c r="J238" i="21"/>
  <c r="M237" i="21"/>
  <c r="J237" i="21"/>
  <c r="J236" i="21"/>
  <c r="M236" i="21" s="1"/>
  <c r="J235" i="21"/>
  <c r="M235" i="21" s="1"/>
  <c r="M234" i="21"/>
  <c r="J234" i="21"/>
  <c r="J233" i="21"/>
  <c r="M233" i="21" s="1"/>
  <c r="M232" i="21"/>
  <c r="J232" i="21"/>
  <c r="J231" i="21"/>
  <c r="M231" i="21" s="1"/>
  <c r="J230" i="21"/>
  <c r="M230" i="21" s="1"/>
  <c r="M229" i="21"/>
  <c r="J229" i="21"/>
  <c r="M228" i="21"/>
  <c r="J228" i="21"/>
  <c r="J227" i="21"/>
  <c r="M227" i="21" s="1"/>
  <c r="J226" i="21"/>
  <c r="M226" i="21" s="1"/>
  <c r="M225" i="21"/>
  <c r="J225" i="21"/>
  <c r="J224" i="21"/>
  <c r="M224" i="21" s="1"/>
  <c r="J223" i="21"/>
  <c r="M223" i="21" s="1"/>
  <c r="J222" i="21"/>
  <c r="M222" i="21" s="1"/>
  <c r="J221" i="21"/>
  <c r="M221" i="21" s="1"/>
  <c r="M220" i="21"/>
  <c r="J220" i="21"/>
  <c r="J219" i="21"/>
  <c r="M219" i="21" s="1"/>
  <c r="M218" i="21"/>
  <c r="J218" i="21"/>
  <c r="J217" i="21"/>
  <c r="M217" i="21" s="1"/>
  <c r="M216" i="21"/>
  <c r="J216" i="21"/>
  <c r="J215" i="21"/>
  <c r="M215" i="21" s="1"/>
  <c r="M214" i="21"/>
  <c r="J214" i="21"/>
  <c r="J213" i="21"/>
  <c r="M213" i="21" s="1"/>
  <c r="J212" i="21"/>
  <c r="M212" i="21" s="1"/>
  <c r="J211" i="21"/>
  <c r="M211" i="21" s="1"/>
  <c r="J210" i="21"/>
  <c r="M210" i="21" s="1"/>
  <c r="M209" i="21"/>
  <c r="J209" i="21"/>
  <c r="J208" i="21"/>
  <c r="M208" i="21" s="1"/>
  <c r="J207" i="21"/>
  <c r="M207" i="21" s="1"/>
  <c r="J206" i="21"/>
  <c r="M206" i="21" s="1"/>
  <c r="O205" i="21"/>
  <c r="L205" i="21"/>
  <c r="K205" i="21"/>
  <c r="N205" i="21" s="1"/>
  <c r="L204" i="21"/>
  <c r="O204" i="21" s="1"/>
  <c r="K204" i="21"/>
  <c r="N204" i="21" s="1"/>
  <c r="O203" i="21"/>
  <c r="L203" i="21"/>
  <c r="K203" i="21"/>
  <c r="N203" i="21" s="1"/>
  <c r="O202" i="21"/>
  <c r="L202" i="21"/>
  <c r="K202" i="21"/>
  <c r="N202" i="21" s="1"/>
  <c r="L201" i="21"/>
  <c r="O201" i="21" s="1"/>
  <c r="K201" i="21"/>
  <c r="N201" i="21" s="1"/>
  <c r="L200" i="21"/>
  <c r="O200" i="21" s="1"/>
  <c r="K200" i="21"/>
  <c r="N200" i="21" s="1"/>
  <c r="L199" i="21"/>
  <c r="O199" i="21" s="1"/>
  <c r="K199" i="21"/>
  <c r="N199" i="21" s="1"/>
  <c r="O198" i="21"/>
  <c r="N198" i="21"/>
  <c r="L198" i="21"/>
  <c r="K198" i="21"/>
  <c r="O197" i="21"/>
  <c r="L197" i="21"/>
  <c r="K197" i="21"/>
  <c r="N197" i="21" s="1"/>
  <c r="L196" i="21"/>
  <c r="O196" i="21" s="1"/>
  <c r="K196" i="21"/>
  <c r="N196" i="21" s="1"/>
  <c r="O195" i="21"/>
  <c r="L195" i="21"/>
  <c r="K195" i="21"/>
  <c r="N195" i="21" s="1"/>
  <c r="O194" i="21"/>
  <c r="L194" i="21"/>
  <c r="K194" i="21"/>
  <c r="N194" i="21" s="1"/>
  <c r="J193" i="21"/>
  <c r="M193" i="21" s="1"/>
  <c r="J192" i="21"/>
  <c r="M192" i="21" s="1"/>
  <c r="J191" i="21"/>
  <c r="M191" i="21" s="1"/>
  <c r="M190" i="21"/>
  <c r="J190" i="2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J183" i="21"/>
  <c r="M183" i="21" s="1"/>
  <c r="M182" i="21"/>
  <c r="J182" i="21"/>
  <c r="J181" i="21"/>
  <c r="M181" i="21" s="1"/>
  <c r="J180" i="21"/>
  <c r="M180" i="21" s="1"/>
  <c r="J179" i="21"/>
  <c r="M179" i="21" s="1"/>
  <c r="J178" i="21"/>
  <c r="M178" i="21" s="1"/>
  <c r="J177" i="21"/>
  <c r="M177" i="21" s="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L169" i="21"/>
  <c r="O169" i="21" s="1"/>
  <c r="K169" i="21"/>
  <c r="N169" i="21" s="1"/>
  <c r="L168" i="21"/>
  <c r="O168" i="21" s="1"/>
  <c r="K168" i="21"/>
  <c r="N168" i="21" s="1"/>
  <c r="L167" i="21"/>
  <c r="O167" i="21" s="1"/>
  <c r="K167" i="21"/>
  <c r="N167" i="21" s="1"/>
  <c r="L166" i="21"/>
  <c r="O166" i="21" s="1"/>
  <c r="K166" i="21"/>
  <c r="N166" i="21" s="1"/>
  <c r="L165" i="21"/>
  <c r="O165" i="21" s="1"/>
  <c r="K165" i="21"/>
  <c r="N165" i="21" s="1"/>
  <c r="N164" i="21"/>
  <c r="L164" i="21"/>
  <c r="O164" i="21" s="1"/>
  <c r="K164" i="21"/>
  <c r="L163" i="21"/>
  <c r="O163" i="21" s="1"/>
  <c r="K163" i="21"/>
  <c r="N163" i="21" s="1"/>
  <c r="N162" i="21"/>
  <c r="L162" i="21"/>
  <c r="O162" i="21" s="1"/>
  <c r="K162" i="21"/>
  <c r="L161" i="21"/>
  <c r="O161" i="21" s="1"/>
  <c r="K161" i="21"/>
  <c r="N161" i="21" s="1"/>
  <c r="L160" i="21"/>
  <c r="O160" i="21" s="1"/>
  <c r="K160" i="21"/>
  <c r="N160" i="21" s="1"/>
  <c r="N159" i="21"/>
  <c r="L159" i="21"/>
  <c r="O159" i="21" s="1"/>
  <c r="K159" i="21"/>
  <c r="L158" i="21"/>
  <c r="O158" i="21" s="1"/>
  <c r="K158" i="21"/>
  <c r="N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M149" i="21"/>
  <c r="J149" i="21"/>
  <c r="J148" i="21"/>
  <c r="M148" i="21" s="1"/>
  <c r="J147" i="21"/>
  <c r="M147" i="21" s="1"/>
  <c r="J146" i="21"/>
  <c r="M146" i="21" s="1"/>
  <c r="J145" i="21"/>
  <c r="M145" i="21" s="1"/>
  <c r="M144" i="21"/>
  <c r="J144" i="21"/>
  <c r="J143" i="21"/>
  <c r="M143" i="21" s="1"/>
  <c r="J142" i="21"/>
  <c r="M142" i="21" s="1"/>
  <c r="J141" i="21"/>
  <c r="M141" i="21" s="1"/>
  <c r="J140" i="21"/>
  <c r="M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O133" i="21"/>
  <c r="L133" i="21"/>
  <c r="K133" i="21"/>
  <c r="N133" i="21" s="1"/>
  <c r="L132" i="21"/>
  <c r="O132" i="21" s="1"/>
  <c r="K132" i="21"/>
  <c r="N132" i="21" s="1"/>
  <c r="L131" i="21"/>
  <c r="O131" i="21" s="1"/>
  <c r="K131" i="21"/>
  <c r="N131" i="21" s="1"/>
  <c r="O130" i="21"/>
  <c r="L130" i="21"/>
  <c r="K130" i="21"/>
  <c r="N130" i="21" s="1"/>
  <c r="L129" i="21"/>
  <c r="O129" i="21" s="1"/>
  <c r="K129" i="21"/>
  <c r="N129" i="21" s="1"/>
  <c r="L128" i="21"/>
  <c r="O128" i="21" s="1"/>
  <c r="K128" i="21"/>
  <c r="N128" i="21" s="1"/>
  <c r="L127" i="21"/>
  <c r="O127" i="21" s="1"/>
  <c r="K127" i="21"/>
  <c r="N127" i="21" s="1"/>
  <c r="L126" i="21"/>
  <c r="O126" i="21" s="1"/>
  <c r="K126" i="21"/>
  <c r="N126" i="21" s="1"/>
  <c r="O125" i="21"/>
  <c r="L125" i="21"/>
  <c r="K125" i="21"/>
  <c r="N125" i="21" s="1"/>
  <c r="L124" i="21"/>
  <c r="O124" i="21" s="1"/>
  <c r="K124" i="21"/>
  <c r="N124" i="21" s="1"/>
  <c r="L123" i="21"/>
  <c r="O123" i="21" s="1"/>
  <c r="K123" i="21"/>
  <c r="N123" i="21" s="1"/>
  <c r="O122" i="21"/>
  <c r="L122" i="21"/>
  <c r="K122" i="21"/>
  <c r="N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J116" i="21"/>
  <c r="M116" i="21" s="1"/>
  <c r="J115" i="21"/>
  <c r="M115" i="21" s="1"/>
  <c r="J114" i="21"/>
  <c r="M114" i="21" s="1"/>
  <c r="M113" i="21"/>
  <c r="J113" i="21"/>
  <c r="J112" i="21"/>
  <c r="M112" i="21" s="1"/>
  <c r="J111" i="21"/>
  <c r="M111" i="21" s="1"/>
  <c r="J110" i="21"/>
  <c r="M110" i="21" s="1"/>
  <c r="J109" i="21"/>
  <c r="M109" i="21" s="1"/>
  <c r="M108" i="21"/>
  <c r="J108" i="21"/>
  <c r="J107" i="21"/>
  <c r="M107" i="21" s="1"/>
  <c r="J106" i="21"/>
  <c r="M106" i="21" s="1"/>
  <c r="J105" i="21"/>
  <c r="M105" i="21" s="1"/>
  <c r="J104" i="21"/>
  <c r="M104" i="21" s="1"/>
  <c r="J103" i="21"/>
  <c r="M103" i="21" s="1"/>
  <c r="J102" i="21"/>
  <c r="M102" i="21" s="1"/>
  <c r="J101" i="21"/>
  <c r="M101" i="21" s="1"/>
  <c r="J100" i="21"/>
  <c r="M100" i="21" s="1"/>
  <c r="J99" i="21"/>
  <c r="M99" i="21" s="1"/>
  <c r="J98" i="21"/>
  <c r="M98" i="21" s="1"/>
  <c r="O97" i="21"/>
  <c r="L97" i="21"/>
  <c r="K97" i="21"/>
  <c r="N97" i="21" s="1"/>
  <c r="L96" i="21"/>
  <c r="O96" i="21" s="1"/>
  <c r="K96" i="21"/>
  <c r="N96" i="21" s="1"/>
  <c r="L95" i="21"/>
  <c r="O95" i="21" s="1"/>
  <c r="K95" i="21"/>
  <c r="N95" i="21" s="1"/>
  <c r="O94" i="21"/>
  <c r="L94" i="21"/>
  <c r="K94" i="21"/>
  <c r="N94" i="21" s="1"/>
  <c r="L93" i="21"/>
  <c r="O93" i="21" s="1"/>
  <c r="K93" i="21"/>
  <c r="N93" i="21" s="1"/>
  <c r="L92" i="21"/>
  <c r="O92" i="21" s="1"/>
  <c r="K92" i="21"/>
  <c r="N92" i="21" s="1"/>
  <c r="L91" i="21"/>
  <c r="O91" i="21" s="1"/>
  <c r="K91" i="21"/>
  <c r="N91" i="21" s="1"/>
  <c r="L90" i="21"/>
  <c r="O90" i="21" s="1"/>
  <c r="K90" i="21"/>
  <c r="N90" i="21" s="1"/>
  <c r="O89" i="21"/>
  <c r="L89" i="21"/>
  <c r="K89" i="21"/>
  <c r="N89" i="21" s="1"/>
  <c r="L88" i="21"/>
  <c r="O88" i="21" s="1"/>
  <c r="K88" i="21"/>
  <c r="N88" i="21" s="1"/>
  <c r="L87" i="21"/>
  <c r="O87" i="21" s="1"/>
  <c r="K87" i="21"/>
  <c r="N87" i="21" s="1"/>
  <c r="O86" i="21"/>
  <c r="L86" i="21"/>
  <c r="K86" i="21"/>
  <c r="N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J79" i="21"/>
  <c r="M79" i="21" s="1"/>
  <c r="J78" i="21"/>
  <c r="M78" i="21" s="1"/>
  <c r="M77" i="21"/>
  <c r="J77" i="21"/>
  <c r="J76" i="21"/>
  <c r="M76" i="21" s="1"/>
  <c r="J75" i="21"/>
  <c r="M75" i="21" s="1"/>
  <c r="J74" i="21"/>
  <c r="M74" i="21" s="1"/>
  <c r="X493" i="16"/>
  <c r="W493" i="16"/>
  <c r="X492" i="16"/>
  <c r="W492" i="16"/>
  <c r="X491" i="16"/>
  <c r="W491" i="16"/>
  <c r="X490" i="16"/>
  <c r="W490" i="16"/>
  <c r="X489" i="16"/>
  <c r="W489" i="16"/>
  <c r="X488" i="16"/>
  <c r="W488" i="16"/>
  <c r="X487" i="16"/>
  <c r="W487" i="16"/>
  <c r="X486" i="16"/>
  <c r="W486" i="16"/>
  <c r="X485" i="16"/>
  <c r="W485" i="16"/>
  <c r="X484" i="16"/>
  <c r="W484" i="16"/>
  <c r="X483" i="16"/>
  <c r="W483" i="16"/>
  <c r="X482" i="16"/>
  <c r="W482" i="16"/>
  <c r="AD167" i="17"/>
  <c r="X167" i="17"/>
  <c r="W167" i="17"/>
  <c r="AD166" i="17"/>
  <c r="X166" i="17"/>
  <c r="W166" i="17"/>
  <c r="AD165" i="17"/>
  <c r="X165" i="17"/>
  <c r="W165" i="17"/>
  <c r="AD164" i="17"/>
  <c r="X164" i="17"/>
  <c r="W164" i="17"/>
  <c r="AD163" i="17"/>
  <c r="X163" i="17"/>
  <c r="W163" i="17"/>
  <c r="AD162" i="17"/>
  <c r="X162" i="17"/>
  <c r="W162" i="17"/>
  <c r="AD161" i="17"/>
  <c r="X161" i="17"/>
  <c r="W161" i="17"/>
  <c r="AD160" i="17"/>
  <c r="X160" i="17"/>
  <c r="W160" i="17"/>
  <c r="AD159" i="17"/>
  <c r="X159" i="17"/>
  <c r="W159" i="17"/>
  <c r="AD158" i="17"/>
  <c r="X158" i="17"/>
  <c r="W158" i="17"/>
  <c r="AD157" i="17"/>
  <c r="X157" i="17"/>
  <c r="W157" i="17"/>
  <c r="AD156" i="17"/>
  <c r="AD11" i="21" s="1"/>
  <c r="X156" i="17"/>
  <c r="W156" i="17"/>
  <c r="X73" i="16"/>
  <c r="W73" i="16"/>
  <c r="V73" i="16"/>
  <c r="X72" i="16"/>
  <c r="W72" i="16"/>
  <c r="V72" i="16"/>
  <c r="X71" i="16"/>
  <c r="W71" i="16"/>
  <c r="V71" i="16"/>
  <c r="X70" i="16"/>
  <c r="W70" i="16"/>
  <c r="V70" i="16"/>
  <c r="X69" i="16"/>
  <c r="W69" i="16"/>
  <c r="V69" i="16"/>
  <c r="X68" i="16"/>
  <c r="W68" i="16"/>
  <c r="V68" i="16"/>
  <c r="X67" i="16"/>
  <c r="W67" i="16"/>
  <c r="V67" i="16"/>
  <c r="X66" i="16"/>
  <c r="W66" i="16"/>
  <c r="V66" i="16"/>
  <c r="X65" i="16"/>
  <c r="W65" i="16"/>
  <c r="V65" i="16"/>
  <c r="X64" i="16"/>
  <c r="W64" i="16"/>
  <c r="V64" i="16"/>
  <c r="X63" i="16"/>
  <c r="W63" i="16"/>
  <c r="V63" i="16"/>
  <c r="X62" i="16"/>
  <c r="W62" i="16"/>
  <c r="V62" i="16"/>
  <c r="X61" i="16"/>
  <c r="W61" i="16"/>
  <c r="V61" i="16"/>
  <c r="X60" i="16"/>
  <c r="W60" i="16"/>
  <c r="V60" i="16"/>
  <c r="X59" i="16"/>
  <c r="W59" i="16"/>
  <c r="V59" i="16"/>
  <c r="X58" i="16"/>
  <c r="W58" i="16"/>
  <c r="V58" i="16"/>
  <c r="X57" i="16"/>
  <c r="W57" i="16"/>
  <c r="V57" i="16"/>
  <c r="X56" i="16"/>
  <c r="W56" i="16"/>
  <c r="V56" i="16"/>
  <c r="X55" i="16"/>
  <c r="W55" i="16"/>
  <c r="V55" i="16"/>
  <c r="X54" i="16"/>
  <c r="W54" i="16"/>
  <c r="V54" i="16"/>
  <c r="X53" i="16"/>
  <c r="W53" i="16"/>
  <c r="V53" i="16"/>
  <c r="X52" i="16"/>
  <c r="W52" i="16"/>
  <c r="V52" i="16"/>
  <c r="X51" i="16"/>
  <c r="W51" i="16"/>
  <c r="V51" i="16"/>
  <c r="X50" i="16"/>
  <c r="W50" i="16"/>
  <c r="V50" i="16"/>
  <c r="X25" i="17"/>
  <c r="W25" i="17"/>
  <c r="AC25" i="17" s="1"/>
  <c r="V25" i="17"/>
  <c r="AB25" i="17" s="1"/>
  <c r="AC24" i="17"/>
  <c r="X24" i="17"/>
  <c r="W24" i="17"/>
  <c r="V24" i="17"/>
  <c r="AB24" i="17" s="1"/>
  <c r="AB23" i="17"/>
  <c r="X23" i="17"/>
  <c r="W23" i="17"/>
  <c r="AC23" i="17" s="1"/>
  <c r="V23" i="17"/>
  <c r="X22" i="17"/>
  <c r="W22" i="17"/>
  <c r="V22" i="17"/>
  <c r="AB22" i="17" s="1"/>
  <c r="X21" i="17"/>
  <c r="W21" i="17"/>
  <c r="AC21" i="17" s="1"/>
  <c r="V21" i="17"/>
  <c r="AB21" i="17" s="1"/>
  <c r="AC20" i="17"/>
  <c r="X20" i="17"/>
  <c r="W20" i="17"/>
  <c r="V20" i="17"/>
  <c r="AB20" i="17" s="1"/>
  <c r="X19" i="17"/>
  <c r="W19" i="17"/>
  <c r="AC19" i="17" s="1"/>
  <c r="V19" i="17"/>
  <c r="AB19" i="17" s="1"/>
  <c r="X18" i="17"/>
  <c r="W18" i="17"/>
  <c r="V18" i="17"/>
  <c r="AB18" i="17" s="1"/>
  <c r="X17" i="17"/>
  <c r="W17" i="17"/>
  <c r="V17" i="17"/>
  <c r="AB17" i="17" s="1"/>
  <c r="X16" i="17"/>
  <c r="AC16" i="17" s="1"/>
  <c r="W16" i="17"/>
  <c r="V16" i="17"/>
  <c r="AB16" i="17" s="1"/>
  <c r="X15" i="17"/>
  <c r="W15" i="17"/>
  <c r="AC15" i="17" s="1"/>
  <c r="V15" i="17"/>
  <c r="AB15" i="17" s="1"/>
  <c r="X14" i="17"/>
  <c r="W14" i="17"/>
  <c r="V14" i="17"/>
  <c r="AB14" i="17" s="1"/>
  <c r="X13" i="17"/>
  <c r="W13" i="17"/>
  <c r="AC13" i="17" s="1"/>
  <c r="V13" i="17"/>
  <c r="AB13" i="17" s="1"/>
  <c r="X12" i="17"/>
  <c r="W12" i="17"/>
  <c r="AC12" i="17" s="1"/>
  <c r="V12" i="17"/>
  <c r="AB12" i="17" s="1"/>
  <c r="X11" i="17"/>
  <c r="W11" i="17"/>
  <c r="AC11" i="17" s="1"/>
  <c r="V11" i="17"/>
  <c r="AB11" i="17" s="1"/>
  <c r="X10" i="17"/>
  <c r="W10" i="17"/>
  <c r="AC10" i="17" s="1"/>
  <c r="V10" i="17"/>
  <c r="AB10" i="17" s="1"/>
  <c r="X9" i="17"/>
  <c r="W9" i="17"/>
  <c r="V9" i="17"/>
  <c r="AB9" i="17" s="1"/>
  <c r="X8" i="17"/>
  <c r="W8" i="17"/>
  <c r="AC8" i="17" s="1"/>
  <c r="V8" i="17"/>
  <c r="AB8" i="17" s="1"/>
  <c r="X7" i="17"/>
  <c r="AC7" i="17" s="1"/>
  <c r="W7" i="17"/>
  <c r="V7" i="17"/>
  <c r="AB7" i="17" s="1"/>
  <c r="X6" i="17"/>
  <c r="W6" i="17"/>
  <c r="AC6" i="17" s="1"/>
  <c r="V6" i="17"/>
  <c r="AB6" i="17" s="1"/>
  <c r="X5" i="17"/>
  <c r="W5" i="17"/>
  <c r="V5" i="17"/>
  <c r="AB5" i="17" s="1"/>
  <c r="X4" i="17"/>
  <c r="W4" i="17"/>
  <c r="AC4" i="17" s="1"/>
  <c r="V4" i="17"/>
  <c r="AB4" i="17" s="1"/>
  <c r="AB3" i="17"/>
  <c r="X3" i="17"/>
  <c r="AC3" i="17" s="1"/>
  <c r="W3" i="17"/>
  <c r="V3" i="17"/>
  <c r="X2" i="17"/>
  <c r="W2" i="17"/>
  <c r="AC2" i="17" s="1"/>
  <c r="V2" i="17"/>
  <c r="AB2" i="17" s="1"/>
  <c r="M40" i="5"/>
  <c r="M39" i="5"/>
  <c r="M38" i="5"/>
  <c r="AJ9" i="17"/>
  <c r="AI9" i="17"/>
  <c r="AJ4" i="17"/>
  <c r="AI4" i="17"/>
  <c r="AJ3" i="17"/>
  <c r="AI3" i="17"/>
  <c r="AJ2" i="17"/>
  <c r="AI2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10" i="21" s="1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D9" i="21" s="1"/>
  <c r="V167" i="17"/>
  <c r="AB167" i="17" s="1"/>
  <c r="V166" i="17"/>
  <c r="AB166" i="17" s="1"/>
  <c r="V165" i="17"/>
  <c r="AB165" i="17" s="1"/>
  <c r="V164" i="17"/>
  <c r="AB164" i="17" s="1"/>
  <c r="V163" i="17"/>
  <c r="AB163" i="17" s="1"/>
  <c r="V162" i="17"/>
  <c r="AB162" i="17" s="1"/>
  <c r="V161" i="17"/>
  <c r="AB161" i="17" s="1"/>
  <c r="V160" i="17"/>
  <c r="AB160" i="17" s="1"/>
  <c r="V159" i="17"/>
  <c r="AB159" i="17" s="1"/>
  <c r="V158" i="17"/>
  <c r="AB158" i="17" s="1"/>
  <c r="V157" i="17"/>
  <c r="AB157" i="17" s="1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AC64" i="17" s="1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AC56" i="17" s="1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AC48" i="17" s="1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AC40" i="17" s="1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AC35" i="17" s="1"/>
  <c r="V35" i="17"/>
  <c r="AB35" i="17" s="1"/>
  <c r="X34" i="17"/>
  <c r="W34" i="17"/>
  <c r="AC34" i="17" s="1"/>
  <c r="V34" i="17"/>
  <c r="AB34" i="17" s="1"/>
  <c r="X33" i="17"/>
  <c r="W33" i="17"/>
  <c r="V33" i="17"/>
  <c r="AB33" i="17" s="1"/>
  <c r="X32" i="17"/>
  <c r="W32" i="17"/>
  <c r="AC32" i="17" s="1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AC27" i="17" s="1"/>
  <c r="V27" i="17"/>
  <c r="AB27" i="17" s="1"/>
  <c r="X26" i="17"/>
  <c r="W26" i="17"/>
  <c r="AC26" i="17" s="1"/>
  <c r="V26" i="17"/>
  <c r="AB26" i="17" s="1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A12" i="21" s="1"/>
  <c r="AE493" i="16"/>
  <c r="AD493" i="16"/>
  <c r="AC493" i="16"/>
  <c r="AE492" i="16"/>
  <c r="AD492" i="16"/>
  <c r="AC492" i="16"/>
  <c r="AE491" i="16"/>
  <c r="AD491" i="16"/>
  <c r="AC491" i="16"/>
  <c r="AE490" i="16"/>
  <c r="AD490" i="16"/>
  <c r="AC490" i="16"/>
  <c r="AE489" i="16"/>
  <c r="AD489" i="16"/>
  <c r="AC489" i="16"/>
  <c r="AE488" i="16"/>
  <c r="AD488" i="16"/>
  <c r="AC488" i="16"/>
  <c r="AE487" i="16"/>
  <c r="AD487" i="16"/>
  <c r="AC487" i="16"/>
  <c r="AE486" i="16"/>
  <c r="AD486" i="16"/>
  <c r="AC486" i="16"/>
  <c r="AE485" i="16"/>
  <c r="AD485" i="16"/>
  <c r="AC485" i="16"/>
  <c r="AE484" i="16"/>
  <c r="AD484" i="16"/>
  <c r="AC484" i="16"/>
  <c r="AE483" i="16"/>
  <c r="AD483" i="16"/>
  <c r="AC483" i="16"/>
  <c r="AE482" i="16"/>
  <c r="AD482" i="16"/>
  <c r="AC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G205" i="16"/>
  <c r="AF205" i="16"/>
  <c r="AG204" i="16"/>
  <c r="AF204" i="16"/>
  <c r="AG203" i="16"/>
  <c r="AF203" i="16"/>
  <c r="AG202" i="16"/>
  <c r="AF202" i="16"/>
  <c r="AG201" i="16"/>
  <c r="AF201" i="16"/>
  <c r="AG200" i="16"/>
  <c r="AF200" i="16"/>
  <c r="AG199" i="16"/>
  <c r="AF199" i="16"/>
  <c r="AG198" i="16"/>
  <c r="AF198" i="16"/>
  <c r="AG197" i="16"/>
  <c r="AF197" i="16"/>
  <c r="AG196" i="16"/>
  <c r="AF196" i="16"/>
  <c r="AG195" i="16"/>
  <c r="AF195" i="16"/>
  <c r="AG194" i="16"/>
  <c r="AF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G169" i="16"/>
  <c r="AF169" i="16"/>
  <c r="AG168" i="16"/>
  <c r="AF168" i="16"/>
  <c r="AG167" i="16"/>
  <c r="AF167" i="16"/>
  <c r="AG166" i="16"/>
  <c r="AF166" i="16"/>
  <c r="AG165" i="16"/>
  <c r="AF165" i="16"/>
  <c r="AG164" i="16"/>
  <c r="AF164" i="16"/>
  <c r="AG163" i="16"/>
  <c r="AF163" i="16"/>
  <c r="AG162" i="16"/>
  <c r="AF162" i="16"/>
  <c r="AG161" i="16"/>
  <c r="AF161" i="16"/>
  <c r="AG160" i="16"/>
  <c r="AF160" i="16"/>
  <c r="AG159" i="16"/>
  <c r="AF159" i="16"/>
  <c r="AG158" i="16"/>
  <c r="AF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G133" i="16"/>
  <c r="AF133" i="16"/>
  <c r="AG132" i="16"/>
  <c r="AF132" i="16"/>
  <c r="AG131" i="16"/>
  <c r="AF131" i="16"/>
  <c r="AG130" i="16"/>
  <c r="AF130" i="16"/>
  <c r="AG129" i="16"/>
  <c r="AF129" i="16"/>
  <c r="AG128" i="16"/>
  <c r="AF128" i="16"/>
  <c r="AG127" i="16"/>
  <c r="AF127" i="16"/>
  <c r="AG126" i="16"/>
  <c r="AF126" i="16"/>
  <c r="AG125" i="16"/>
  <c r="AF125" i="16"/>
  <c r="AG124" i="16"/>
  <c r="AF124" i="16"/>
  <c r="AG123" i="16"/>
  <c r="AF123" i="16"/>
  <c r="AG122" i="16"/>
  <c r="AF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D73" i="16"/>
  <c r="AC73" i="16"/>
  <c r="AB73" i="16"/>
  <c r="AD72" i="16"/>
  <c r="AC72" i="16"/>
  <c r="AB72" i="16"/>
  <c r="AD71" i="16"/>
  <c r="AC71" i="16"/>
  <c r="AB71" i="16"/>
  <c r="AD70" i="16"/>
  <c r="AC70" i="16"/>
  <c r="AB70" i="16"/>
  <c r="AD69" i="16"/>
  <c r="AC69" i="16"/>
  <c r="AB69" i="16"/>
  <c r="AD68" i="16"/>
  <c r="AC68" i="16"/>
  <c r="AB68" i="16"/>
  <c r="AD67" i="16"/>
  <c r="AC67" i="16"/>
  <c r="AB67" i="16"/>
  <c r="AD66" i="16"/>
  <c r="AC66" i="16"/>
  <c r="AB66" i="16"/>
  <c r="AD65" i="16"/>
  <c r="AC65" i="16"/>
  <c r="AB65" i="16"/>
  <c r="AD64" i="16"/>
  <c r="AC64" i="16"/>
  <c r="AB64" i="16"/>
  <c r="AD63" i="16"/>
  <c r="AC63" i="16"/>
  <c r="AB63" i="16"/>
  <c r="AD62" i="16"/>
  <c r="AC62" i="16"/>
  <c r="AB62" i="16"/>
  <c r="AD61" i="16"/>
  <c r="AC61" i="16"/>
  <c r="AB61" i="16"/>
  <c r="AD60" i="16"/>
  <c r="AC60" i="16"/>
  <c r="AB60" i="16"/>
  <c r="AD59" i="16"/>
  <c r="AC59" i="16"/>
  <c r="AB59" i="16"/>
  <c r="AD58" i="16"/>
  <c r="AC58" i="16"/>
  <c r="AB58" i="16"/>
  <c r="AD57" i="16"/>
  <c r="AC57" i="16"/>
  <c r="AB57" i="16"/>
  <c r="AD56" i="16"/>
  <c r="AC56" i="16"/>
  <c r="AB56" i="16"/>
  <c r="AD55" i="16"/>
  <c r="AC55" i="16"/>
  <c r="AB55" i="16"/>
  <c r="AD54" i="16"/>
  <c r="AC54" i="16"/>
  <c r="AB54" i="16"/>
  <c r="AD53" i="16"/>
  <c r="AC53" i="16"/>
  <c r="AB53" i="16"/>
  <c r="AD52" i="16"/>
  <c r="AC52" i="16"/>
  <c r="AB52" i="16"/>
  <c r="AD51" i="16"/>
  <c r="AC51" i="16"/>
  <c r="AB51" i="16"/>
  <c r="AD50" i="16"/>
  <c r="AC50" i="16"/>
  <c r="AB50" i="16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AO7" i="16" s="1"/>
  <c r="W494" i="16"/>
  <c r="AC494" i="16" s="1"/>
  <c r="V494" i="16"/>
  <c r="AB494" i="16" s="1"/>
  <c r="V493" i="16"/>
  <c r="AB493" i="16" s="1"/>
  <c r="V492" i="16"/>
  <c r="AB492" i="16" s="1"/>
  <c r="V491" i="16"/>
  <c r="AB491" i="16" s="1"/>
  <c r="V490" i="16"/>
  <c r="AB490" i="16" s="1"/>
  <c r="V489" i="16"/>
  <c r="AB489" i="16" s="1"/>
  <c r="V488" i="16"/>
  <c r="AB488" i="16" s="1"/>
  <c r="V487" i="16"/>
  <c r="AB487" i="16" s="1"/>
  <c r="V486" i="16"/>
  <c r="AB486" i="16" s="1"/>
  <c r="V485" i="16"/>
  <c r="AB485" i="16" s="1"/>
  <c r="V484" i="16"/>
  <c r="AB484" i="16" s="1"/>
  <c r="V483" i="16"/>
  <c r="AB483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AO5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AO2" i="16" s="1"/>
  <c r="W2" i="16"/>
  <c r="AC2" i="16" s="1"/>
  <c r="V2" i="16"/>
  <c r="AB2" i="16" s="1"/>
  <c r="AD55" i="6"/>
  <c r="AB55" i="6"/>
  <c r="AA55" i="6"/>
  <c r="Z55" i="6"/>
  <c r="Y55" i="6"/>
  <c r="X55" i="6"/>
  <c r="W55" i="6"/>
  <c r="AD54" i="6"/>
  <c r="AB54" i="6"/>
  <c r="AA54" i="6"/>
  <c r="Z54" i="6"/>
  <c r="Y54" i="6"/>
  <c r="X54" i="6"/>
  <c r="W54" i="6"/>
  <c r="AD53" i="6"/>
  <c r="AB53" i="6"/>
  <c r="AA53" i="6"/>
  <c r="AA53" i="7" s="1"/>
  <c r="Z53" i="6"/>
  <c r="Y53" i="6"/>
  <c r="X53" i="6"/>
  <c r="W53" i="6"/>
  <c r="AD52" i="6"/>
  <c r="AB52" i="6"/>
  <c r="AA52" i="6"/>
  <c r="Z52" i="6"/>
  <c r="Y52" i="6"/>
  <c r="X52" i="6"/>
  <c r="W52" i="6"/>
  <c r="AD51" i="6"/>
  <c r="AB51" i="6"/>
  <c r="AA51" i="6"/>
  <c r="Z51" i="6"/>
  <c r="Y51" i="6"/>
  <c r="X51" i="6"/>
  <c r="W51" i="6"/>
  <c r="AD50" i="6"/>
  <c r="AB50" i="6"/>
  <c r="AA50" i="6"/>
  <c r="Z50" i="6"/>
  <c r="Y50" i="6"/>
  <c r="X50" i="6"/>
  <c r="W50" i="6"/>
  <c r="AD49" i="6"/>
  <c r="AB49" i="6"/>
  <c r="AA49" i="6"/>
  <c r="AA49" i="7" s="1"/>
  <c r="Z49" i="6"/>
  <c r="Y49" i="6"/>
  <c r="X49" i="6"/>
  <c r="W49" i="6"/>
  <c r="AD48" i="6"/>
  <c r="AB48" i="6"/>
  <c r="AA48" i="6"/>
  <c r="Z48" i="6"/>
  <c r="Y48" i="6"/>
  <c r="X48" i="6"/>
  <c r="W48" i="6"/>
  <c r="AD47" i="6"/>
  <c r="AB47" i="6"/>
  <c r="AA47" i="6"/>
  <c r="Z47" i="6"/>
  <c r="Y47" i="6"/>
  <c r="X47" i="6"/>
  <c r="W47" i="6"/>
  <c r="AD46" i="6"/>
  <c r="AB46" i="6"/>
  <c r="AA46" i="6"/>
  <c r="Z46" i="6"/>
  <c r="Y46" i="6"/>
  <c r="X46" i="6"/>
  <c r="W46" i="6"/>
  <c r="AD45" i="6"/>
  <c r="AB45" i="6"/>
  <c r="AA45" i="6"/>
  <c r="AA45" i="7" s="1"/>
  <c r="Z45" i="6"/>
  <c r="Y45" i="6"/>
  <c r="X45" i="6"/>
  <c r="W45" i="6"/>
  <c r="AD44" i="6"/>
  <c r="AB44" i="6"/>
  <c r="AA44" i="6"/>
  <c r="Z44" i="6"/>
  <c r="Y44" i="6"/>
  <c r="X44" i="6"/>
  <c r="W44" i="6"/>
  <c r="AD43" i="6"/>
  <c r="AB43" i="6"/>
  <c r="AA43" i="6"/>
  <c r="Z43" i="6"/>
  <c r="Y43" i="6"/>
  <c r="X43" i="6"/>
  <c r="W43" i="6"/>
  <c r="AD42" i="6"/>
  <c r="AB42" i="6"/>
  <c r="AA42" i="6"/>
  <c r="Z42" i="6"/>
  <c r="Y42" i="6"/>
  <c r="X42" i="6"/>
  <c r="W42" i="6"/>
  <c r="AD41" i="6"/>
  <c r="AB41" i="6"/>
  <c r="AA41" i="6"/>
  <c r="AA41" i="7" s="1"/>
  <c r="Z41" i="6"/>
  <c r="Y41" i="6"/>
  <c r="X41" i="6"/>
  <c r="W41" i="6"/>
  <c r="AD40" i="6"/>
  <c r="AB40" i="6"/>
  <c r="AA40" i="6"/>
  <c r="Z40" i="6"/>
  <c r="Y40" i="6"/>
  <c r="X40" i="6"/>
  <c r="W40" i="6"/>
  <c r="AD39" i="6"/>
  <c r="AB39" i="6"/>
  <c r="AA39" i="6"/>
  <c r="Z39" i="6"/>
  <c r="Y39" i="6"/>
  <c r="X39" i="6"/>
  <c r="W39" i="6"/>
  <c r="AD38" i="6"/>
  <c r="AB38" i="6"/>
  <c r="AA38" i="6"/>
  <c r="Z38" i="6"/>
  <c r="Y38" i="6"/>
  <c r="X38" i="6"/>
  <c r="W38" i="6"/>
  <c r="AD37" i="6"/>
  <c r="AB37" i="6"/>
  <c r="AA37" i="6"/>
  <c r="AA37" i="7" s="1"/>
  <c r="Z37" i="6"/>
  <c r="Y37" i="6"/>
  <c r="X37" i="6"/>
  <c r="W37" i="6"/>
  <c r="AD36" i="6"/>
  <c r="AB36" i="6"/>
  <c r="AA36" i="6"/>
  <c r="Z36" i="6"/>
  <c r="Y36" i="6"/>
  <c r="X36" i="6"/>
  <c r="W36" i="6"/>
  <c r="AD35" i="6"/>
  <c r="AB35" i="6"/>
  <c r="AA35" i="6"/>
  <c r="Z35" i="6"/>
  <c r="Y35" i="6"/>
  <c r="X35" i="6"/>
  <c r="W35" i="6"/>
  <c r="AD34" i="6"/>
  <c r="AB34" i="6"/>
  <c r="AA34" i="6"/>
  <c r="Z34" i="6"/>
  <c r="Y34" i="6"/>
  <c r="X34" i="6"/>
  <c r="W34" i="6"/>
  <c r="AD33" i="6"/>
  <c r="AB33" i="6"/>
  <c r="AA33" i="6"/>
  <c r="AA33" i="7" s="1"/>
  <c r="Z33" i="6"/>
  <c r="Y33" i="6"/>
  <c r="X33" i="6"/>
  <c r="W33" i="6"/>
  <c r="AD32" i="6"/>
  <c r="AB32" i="6"/>
  <c r="AA32" i="6"/>
  <c r="Z32" i="6"/>
  <c r="Y32" i="6"/>
  <c r="X32" i="6"/>
  <c r="W32" i="6"/>
  <c r="AD31" i="6"/>
  <c r="AB31" i="6"/>
  <c r="AA31" i="6"/>
  <c r="Z31" i="6"/>
  <c r="Y31" i="6"/>
  <c r="X31" i="6"/>
  <c r="W31" i="6"/>
  <c r="AD30" i="6"/>
  <c r="AB30" i="6"/>
  <c r="AA30" i="6"/>
  <c r="Z30" i="6"/>
  <c r="Y30" i="6"/>
  <c r="X30" i="6"/>
  <c r="W30" i="6"/>
  <c r="AD29" i="6"/>
  <c r="AC29" i="6"/>
  <c r="AB29" i="6"/>
  <c r="AA29" i="6"/>
  <c r="AA29" i="7" s="1"/>
  <c r="Z29" i="6"/>
  <c r="Y29" i="6"/>
  <c r="X29" i="6"/>
  <c r="W29" i="6"/>
  <c r="V29" i="6"/>
  <c r="U29" i="6"/>
  <c r="AD28" i="6"/>
  <c r="AB28" i="6"/>
  <c r="AA28" i="6"/>
  <c r="Z28" i="6"/>
  <c r="Y28" i="6"/>
  <c r="X28" i="6"/>
  <c r="W28" i="6"/>
  <c r="AD27" i="6"/>
  <c r="AB27" i="6"/>
  <c r="AA27" i="6"/>
  <c r="Z27" i="6"/>
  <c r="Y27" i="6"/>
  <c r="X27" i="6"/>
  <c r="W27" i="6"/>
  <c r="AD26" i="6"/>
  <c r="AB26" i="6"/>
  <c r="AA26" i="6"/>
  <c r="Z26" i="6"/>
  <c r="Y26" i="6"/>
  <c r="X26" i="6"/>
  <c r="W26" i="6"/>
  <c r="AD25" i="6"/>
  <c r="AB25" i="6"/>
  <c r="AA25" i="6"/>
  <c r="AA25" i="7" s="1"/>
  <c r="Z25" i="6"/>
  <c r="Y25" i="6"/>
  <c r="X25" i="6"/>
  <c r="W25" i="6"/>
  <c r="AD24" i="6"/>
  <c r="AC24" i="6"/>
  <c r="AB24" i="6"/>
  <c r="AA24" i="6"/>
  <c r="Z24" i="6"/>
  <c r="Y24" i="6"/>
  <c r="X24" i="6"/>
  <c r="W24" i="6"/>
  <c r="V24" i="6"/>
  <c r="U24" i="6"/>
  <c r="AD23" i="6"/>
  <c r="AC23" i="6"/>
  <c r="AB23" i="6"/>
  <c r="AA23" i="6"/>
  <c r="Z23" i="6"/>
  <c r="Y23" i="6"/>
  <c r="X23" i="6"/>
  <c r="W23" i="6"/>
  <c r="V23" i="6"/>
  <c r="U23" i="6"/>
  <c r="AD22" i="6"/>
  <c r="AC22" i="6"/>
  <c r="AB22" i="6"/>
  <c r="AA22" i="6"/>
  <c r="Z22" i="6"/>
  <c r="Y22" i="6"/>
  <c r="X22" i="6"/>
  <c r="W22" i="6"/>
  <c r="V22" i="6"/>
  <c r="U22" i="6"/>
  <c r="AD21" i="6"/>
  <c r="AC21" i="6"/>
  <c r="AB21" i="6"/>
  <c r="AA21" i="6"/>
  <c r="Z21" i="6"/>
  <c r="Y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5" i="14"/>
  <c r="AC55" i="14"/>
  <c r="AC55" i="6" s="1"/>
  <c r="V55" i="14"/>
  <c r="V55" i="6" s="1"/>
  <c r="U55" i="14"/>
  <c r="U55" i="6" s="1"/>
  <c r="AP54" i="14"/>
  <c r="AC54" i="14"/>
  <c r="AC54" i="6" s="1"/>
  <c r="V54" i="14"/>
  <c r="V54" i="6" s="1"/>
  <c r="U54" i="14"/>
  <c r="U54" i="6" s="1"/>
  <c r="AP53" i="14"/>
  <c r="AC53" i="14"/>
  <c r="AC53" i="6" s="1"/>
  <c r="V53" i="14"/>
  <c r="V53" i="6" s="1"/>
  <c r="U53" i="14"/>
  <c r="U53" i="6" s="1"/>
  <c r="AP52" i="14"/>
  <c r="AC52" i="14"/>
  <c r="AC52" i="6" s="1"/>
  <c r="V52" i="14"/>
  <c r="V52" i="6" s="1"/>
  <c r="U52" i="14"/>
  <c r="U52" i="6" s="1"/>
  <c r="AP51" i="14"/>
  <c r="AC51" i="14"/>
  <c r="AC51" i="6" s="1"/>
  <c r="V51" i="14"/>
  <c r="V51" i="6" s="1"/>
  <c r="U51" i="14"/>
  <c r="U51" i="6" s="1"/>
  <c r="AP50" i="14"/>
  <c r="AC50" i="14"/>
  <c r="AC50" i="6" s="1"/>
  <c r="V50" i="14"/>
  <c r="V50" i="6" s="1"/>
  <c r="U50" i="14"/>
  <c r="U50" i="6" s="1"/>
  <c r="AP49" i="14"/>
  <c r="AC49" i="14"/>
  <c r="AC49" i="6" s="1"/>
  <c r="V49" i="14"/>
  <c r="V49" i="6" s="1"/>
  <c r="U49" i="14"/>
  <c r="U49" i="6" s="1"/>
  <c r="AP48" i="14"/>
  <c r="AC48" i="14"/>
  <c r="AC48" i="6" s="1"/>
  <c r="V48" i="14"/>
  <c r="V48" i="6" s="1"/>
  <c r="U48" i="14"/>
  <c r="U48" i="6" s="1"/>
  <c r="AP47" i="14"/>
  <c r="AC47" i="14"/>
  <c r="AC47" i="6" s="1"/>
  <c r="V47" i="14"/>
  <c r="V47" i="6" s="1"/>
  <c r="U47" i="14"/>
  <c r="U47" i="6" s="1"/>
  <c r="AP46" i="14"/>
  <c r="AC46" i="14"/>
  <c r="AC46" i="6" s="1"/>
  <c r="V46" i="14"/>
  <c r="V46" i="6" s="1"/>
  <c r="U46" i="14"/>
  <c r="U46" i="6" s="1"/>
  <c r="AP45" i="14"/>
  <c r="AC45" i="14"/>
  <c r="AC45" i="6" s="1"/>
  <c r="V45" i="14"/>
  <c r="V45" i="6" s="1"/>
  <c r="U45" i="14"/>
  <c r="U45" i="6" s="1"/>
  <c r="AP44" i="14"/>
  <c r="AC44" i="14"/>
  <c r="AC44" i="6" s="1"/>
  <c r="V44" i="14"/>
  <c r="V44" i="6" s="1"/>
  <c r="U44" i="14"/>
  <c r="U44" i="6" s="1"/>
  <c r="AP43" i="14"/>
  <c r="AC43" i="14"/>
  <c r="AC43" i="6" s="1"/>
  <c r="V43" i="14"/>
  <c r="V43" i="6" s="1"/>
  <c r="U43" i="14"/>
  <c r="U43" i="6" s="1"/>
  <c r="AP42" i="14"/>
  <c r="AC42" i="14"/>
  <c r="AC42" i="6" s="1"/>
  <c r="V42" i="14"/>
  <c r="V42" i="6" s="1"/>
  <c r="U42" i="14"/>
  <c r="U42" i="6" s="1"/>
  <c r="AP41" i="14"/>
  <c r="AC41" i="14"/>
  <c r="AC41" i="6" s="1"/>
  <c r="V41" i="14"/>
  <c r="V41" i="6" s="1"/>
  <c r="U41" i="14"/>
  <c r="U41" i="6" s="1"/>
  <c r="AP40" i="14"/>
  <c r="AC40" i="14"/>
  <c r="AC40" i="6" s="1"/>
  <c r="V40" i="14"/>
  <c r="V40" i="6" s="1"/>
  <c r="U40" i="14"/>
  <c r="U40" i="6" s="1"/>
  <c r="AP39" i="14"/>
  <c r="AC39" i="14"/>
  <c r="AC39" i="6" s="1"/>
  <c r="V39" i="14"/>
  <c r="V39" i="6" s="1"/>
  <c r="U39" i="14"/>
  <c r="U39" i="6" s="1"/>
  <c r="AP38" i="14"/>
  <c r="AC38" i="14"/>
  <c r="AC38" i="6" s="1"/>
  <c r="V38" i="14"/>
  <c r="V38" i="6" s="1"/>
  <c r="U38" i="14"/>
  <c r="U38" i="6" s="1"/>
  <c r="AP37" i="14"/>
  <c r="AC37" i="14"/>
  <c r="AC37" i="6" s="1"/>
  <c r="V37" i="14"/>
  <c r="V37" i="6" s="1"/>
  <c r="U37" i="14"/>
  <c r="U37" i="6" s="1"/>
  <c r="AP36" i="14"/>
  <c r="AC36" i="14"/>
  <c r="AC36" i="6" s="1"/>
  <c r="V36" i="14"/>
  <c r="V36" i="6" s="1"/>
  <c r="U36" i="14"/>
  <c r="U36" i="6" s="1"/>
  <c r="AP35" i="14"/>
  <c r="AC35" i="14"/>
  <c r="AC35" i="6" s="1"/>
  <c r="V35" i="14"/>
  <c r="V35" i="6" s="1"/>
  <c r="U35" i="14"/>
  <c r="U35" i="6" s="1"/>
  <c r="AP34" i="14"/>
  <c r="AC34" i="14"/>
  <c r="AC34" i="6" s="1"/>
  <c r="V34" i="14"/>
  <c r="V34" i="6" s="1"/>
  <c r="U34" i="14"/>
  <c r="U34" i="6" s="1"/>
  <c r="AP33" i="14"/>
  <c r="AC33" i="14"/>
  <c r="AC33" i="6" s="1"/>
  <c r="V33" i="14"/>
  <c r="V33" i="6" s="1"/>
  <c r="U33" i="14"/>
  <c r="U33" i="6" s="1"/>
  <c r="AP32" i="14"/>
  <c r="AC32" i="14"/>
  <c r="AC32" i="6" s="1"/>
  <c r="V32" i="14"/>
  <c r="V32" i="6" s="1"/>
  <c r="U32" i="14"/>
  <c r="U32" i="6" s="1"/>
  <c r="AP31" i="14"/>
  <c r="AC31" i="14"/>
  <c r="AC31" i="6" s="1"/>
  <c r="V31" i="14"/>
  <c r="V31" i="6" s="1"/>
  <c r="U31" i="14"/>
  <c r="U31" i="6" s="1"/>
  <c r="AP30" i="14"/>
  <c r="AC30" i="14"/>
  <c r="AC30" i="6" s="1"/>
  <c r="V30" i="14"/>
  <c r="V30" i="6" s="1"/>
  <c r="U30" i="14"/>
  <c r="U30" i="6" s="1"/>
  <c r="AP28" i="14"/>
  <c r="AC28" i="14"/>
  <c r="AC28" i="6" s="1"/>
  <c r="V28" i="14"/>
  <c r="V28" i="6" s="1"/>
  <c r="U28" i="14"/>
  <c r="U28" i="6" s="1"/>
  <c r="AP27" i="14"/>
  <c r="AC27" i="14"/>
  <c r="AC27" i="6" s="1"/>
  <c r="V27" i="14"/>
  <c r="V27" i="6" s="1"/>
  <c r="U27" i="14"/>
  <c r="U27" i="6" s="1"/>
  <c r="AP26" i="14"/>
  <c r="AC26" i="14"/>
  <c r="AC26" i="6" s="1"/>
  <c r="V26" i="14"/>
  <c r="V26" i="6" s="1"/>
  <c r="U26" i="14"/>
  <c r="U26" i="6" s="1"/>
  <c r="AP25" i="14"/>
  <c r="AC25" i="14"/>
  <c r="AC25" i="6" s="1"/>
  <c r="V25" i="14"/>
  <c r="V25" i="6" s="1"/>
  <c r="U25" i="14"/>
  <c r="U25" i="6" s="1"/>
  <c r="X48" i="13"/>
  <c r="V48" i="13"/>
  <c r="T48" i="13"/>
  <c r="P48" i="13"/>
  <c r="O48" i="13"/>
  <c r="N48" i="13"/>
  <c r="M48" i="13"/>
  <c r="V47" i="13"/>
  <c r="U47" i="13"/>
  <c r="T47" i="13"/>
  <c r="P47" i="13"/>
  <c r="O47" i="13"/>
  <c r="N47" i="13"/>
  <c r="M47" i="13"/>
  <c r="X46" i="13"/>
  <c r="V46" i="13"/>
  <c r="U46" i="13"/>
  <c r="T46" i="13"/>
  <c r="P46" i="13"/>
  <c r="O46" i="13"/>
  <c r="N46" i="13"/>
  <c r="M46" i="13"/>
  <c r="X48" i="12"/>
  <c r="V48" i="12"/>
  <c r="T48" i="12"/>
  <c r="P48" i="12"/>
  <c r="O48" i="12"/>
  <c r="N48" i="12"/>
  <c r="M48" i="12"/>
  <c r="V47" i="12"/>
  <c r="U47" i="12"/>
  <c r="T47" i="12"/>
  <c r="P47" i="12"/>
  <c r="O47" i="12"/>
  <c r="N47" i="12"/>
  <c r="M47" i="12"/>
  <c r="X46" i="12"/>
  <c r="V46" i="12"/>
  <c r="V50" i="12" s="1"/>
  <c r="U46" i="12"/>
  <c r="U50" i="12" s="1"/>
  <c r="T46" i="12"/>
  <c r="T50" i="12" s="1"/>
  <c r="P46" i="12"/>
  <c r="P50" i="12" s="1"/>
  <c r="O46" i="12"/>
  <c r="O50" i="12" s="1"/>
  <c r="N46" i="12"/>
  <c r="N50" i="12" s="1"/>
  <c r="M46" i="12"/>
  <c r="M50" i="12" s="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8" i="11"/>
  <c r="V48" i="11"/>
  <c r="T48" i="11"/>
  <c r="P48" i="11"/>
  <c r="O48" i="11"/>
  <c r="N48" i="11"/>
  <c r="M48" i="11"/>
  <c r="V47" i="11"/>
  <c r="U47" i="11"/>
  <c r="T47" i="11"/>
  <c r="P47" i="11"/>
  <c r="O47" i="11"/>
  <c r="N47" i="11"/>
  <c r="M47" i="11"/>
  <c r="X46" i="11"/>
  <c r="V46" i="11"/>
  <c r="V50" i="11" s="1"/>
  <c r="U46" i="11"/>
  <c r="U50" i="11" s="1"/>
  <c r="T46" i="11"/>
  <c r="T50" i="11" s="1"/>
  <c r="P46" i="11"/>
  <c r="P50" i="11" s="1"/>
  <c r="O46" i="11"/>
  <c r="O50" i="11" s="1"/>
  <c r="N46" i="11"/>
  <c r="N50" i="11" s="1"/>
  <c r="M46" i="11"/>
  <c r="M50" i="11" s="1"/>
  <c r="X48" i="10"/>
  <c r="X46" i="10"/>
  <c r="V48" i="10"/>
  <c r="V47" i="10"/>
  <c r="V46" i="10"/>
  <c r="U47" i="10"/>
  <c r="U46" i="10"/>
  <c r="T48" i="10"/>
  <c r="T47" i="10"/>
  <c r="T46" i="10"/>
  <c r="R49" i="10"/>
  <c r="P48" i="10"/>
  <c r="P47" i="10"/>
  <c r="P46" i="10"/>
  <c r="O48" i="10"/>
  <c r="O47" i="10"/>
  <c r="O46" i="10"/>
  <c r="N48" i="10"/>
  <c r="N47" i="10"/>
  <c r="N46" i="10"/>
  <c r="M48" i="10"/>
  <c r="M47" i="10"/>
  <c r="M46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6" i="10"/>
  <c r="Z15" i="10"/>
  <c r="Z14" i="10"/>
  <c r="Z13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6" i="10"/>
  <c r="V15" i="10"/>
  <c r="V14" i="10"/>
  <c r="V13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6" i="10"/>
  <c r="U15" i="10"/>
  <c r="U14" i="10"/>
  <c r="U13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6" i="10"/>
  <c r="T15" i="10"/>
  <c r="T14" i="10"/>
  <c r="T13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6" i="10"/>
  <c r="R15" i="10"/>
  <c r="R14" i="10"/>
  <c r="R13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6" i="10"/>
  <c r="P15" i="10"/>
  <c r="P14" i="10"/>
  <c r="P13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6" i="10"/>
  <c r="O15" i="10"/>
  <c r="O14" i="10"/>
  <c r="O13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6" i="10"/>
  <c r="N15" i="10"/>
  <c r="N14" i="10"/>
  <c r="N13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6" i="10"/>
  <c r="M15" i="10"/>
  <c r="M14" i="10"/>
  <c r="M13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6" i="10"/>
  <c r="L15" i="10"/>
  <c r="L14" i="10"/>
  <c r="L13" i="10"/>
  <c r="AK60" i="9"/>
  <c r="AF60" i="9"/>
  <c r="AP58" i="9" s="1"/>
  <c r="AE60" i="9"/>
  <c r="AO58" i="9" s="1"/>
  <c r="AC60" i="9"/>
  <c r="Y60" i="9"/>
  <c r="X60" i="9"/>
  <c r="W60" i="9"/>
  <c r="S60" i="9"/>
  <c r="R60" i="9"/>
  <c r="Q60" i="9"/>
  <c r="P60" i="9"/>
  <c r="O60" i="9"/>
  <c r="M60" i="9"/>
  <c r="L60" i="9"/>
  <c r="AK59" i="9"/>
  <c r="AF59" i="9"/>
  <c r="AC59" i="9"/>
  <c r="AA59" i="9"/>
  <c r="Z59" i="9"/>
  <c r="Y59" i="9"/>
  <c r="X59" i="9"/>
  <c r="W59" i="9"/>
  <c r="V59" i="9"/>
  <c r="U59" i="9"/>
  <c r="S59" i="9"/>
  <c r="R59" i="9"/>
  <c r="Q59" i="9"/>
  <c r="P59" i="9"/>
  <c r="O59" i="9"/>
  <c r="M59" i="9"/>
  <c r="L59" i="9"/>
  <c r="AL61" i="8"/>
  <c r="AG61" i="8"/>
  <c r="AD61" i="8"/>
  <c r="AB61" i="8"/>
  <c r="T61" i="8"/>
  <c r="AK60" i="8"/>
  <c r="AF60" i="8"/>
  <c r="AE60" i="8"/>
  <c r="AC60" i="8"/>
  <c r="Y60" i="8"/>
  <c r="X60" i="8"/>
  <c r="W60" i="8"/>
  <c r="S60" i="8"/>
  <c r="R60" i="8"/>
  <c r="Q60" i="8"/>
  <c r="P60" i="8"/>
  <c r="O60" i="8"/>
  <c r="M60" i="8"/>
  <c r="L60" i="8"/>
  <c r="AK59" i="8"/>
  <c r="AF59" i="8"/>
  <c r="AP58" i="8" s="1"/>
  <c r="AC59" i="8"/>
  <c r="AA59" i="8"/>
  <c r="Z59" i="8"/>
  <c r="Y59" i="8"/>
  <c r="X59" i="8"/>
  <c r="W59" i="8"/>
  <c r="V59" i="8"/>
  <c r="U59" i="8"/>
  <c r="S59" i="8"/>
  <c r="R59" i="8"/>
  <c r="Q59" i="8"/>
  <c r="P59" i="8"/>
  <c r="O59" i="8"/>
  <c r="M59" i="8"/>
  <c r="L59" i="8"/>
  <c r="AL61" i="7"/>
  <c r="AG61" i="7"/>
  <c r="AD61" i="7"/>
  <c r="AB61" i="7"/>
  <c r="T61" i="7"/>
  <c r="AG55" i="7"/>
  <c r="AA55" i="7"/>
  <c r="Z55" i="7"/>
  <c r="AG54" i="7"/>
  <c r="AA54" i="7"/>
  <c r="Z54" i="7"/>
  <c r="AG53" i="7"/>
  <c r="Z53" i="7"/>
  <c r="AG52" i="7"/>
  <c r="AA52" i="7"/>
  <c r="Z52" i="7"/>
  <c r="AG51" i="7"/>
  <c r="AA51" i="7"/>
  <c r="Z51" i="7"/>
  <c r="AG50" i="7"/>
  <c r="AA50" i="7"/>
  <c r="Z50" i="7"/>
  <c r="AG49" i="7"/>
  <c r="Z49" i="7"/>
  <c r="AG48" i="7"/>
  <c r="AA48" i="7"/>
  <c r="Z48" i="7"/>
  <c r="AG47" i="7"/>
  <c r="AA47" i="7"/>
  <c r="Z47" i="7"/>
  <c r="AG46" i="7"/>
  <c r="AA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Z33" i="7"/>
  <c r="AG32" i="7"/>
  <c r="AA32" i="7"/>
  <c r="Z32" i="7"/>
  <c r="AG31" i="7"/>
  <c r="AA31" i="7"/>
  <c r="Z31" i="7"/>
  <c r="AG30" i="7"/>
  <c r="AA30" i="7"/>
  <c r="Z30" i="7"/>
  <c r="AG29" i="7"/>
  <c r="Z29" i="7"/>
  <c r="AG28" i="7"/>
  <c r="AA28" i="7"/>
  <c r="Z28" i="7"/>
  <c r="AG27" i="7"/>
  <c r="AA27" i="7"/>
  <c r="Z27" i="7"/>
  <c r="AG26" i="7"/>
  <c r="AA26" i="7"/>
  <c r="Z26" i="7"/>
  <c r="AG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Z19" i="7"/>
  <c r="AG18" i="7"/>
  <c r="AA18" i="7"/>
  <c r="Z18" i="7"/>
  <c r="AG17" i="7"/>
  <c r="Z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Z11" i="7"/>
  <c r="AG10" i="7"/>
  <c r="AA10" i="7"/>
  <c r="Z10" i="7"/>
  <c r="AG9" i="7"/>
  <c r="Z9" i="7"/>
  <c r="AG8" i="7"/>
  <c r="AA8" i="7"/>
  <c r="Z8" i="7"/>
  <c r="AG7" i="7"/>
  <c r="AA7" i="7"/>
  <c r="Z7" i="7"/>
  <c r="AG6" i="7"/>
  <c r="AA6" i="7"/>
  <c r="Z6" i="7"/>
  <c r="AG5" i="7"/>
  <c r="Z5" i="7"/>
  <c r="AK60" i="7"/>
  <c r="AF60" i="7"/>
  <c r="AE60" i="7"/>
  <c r="AC60" i="7"/>
  <c r="Y60" i="7"/>
  <c r="X60" i="7"/>
  <c r="W60" i="7"/>
  <c r="S60" i="7"/>
  <c r="R60" i="7"/>
  <c r="Q60" i="7"/>
  <c r="P60" i="7"/>
  <c r="O60" i="7"/>
  <c r="M60" i="7"/>
  <c r="L60" i="7"/>
  <c r="AK59" i="7"/>
  <c r="AF59" i="7"/>
  <c r="AC59" i="7"/>
  <c r="AA59" i="7"/>
  <c r="Z59" i="7"/>
  <c r="Y59" i="7"/>
  <c r="X59" i="7"/>
  <c r="W59" i="7"/>
  <c r="V59" i="7"/>
  <c r="U59" i="7"/>
  <c r="S59" i="7"/>
  <c r="R59" i="7"/>
  <c r="Q59" i="7"/>
  <c r="P59" i="7"/>
  <c r="O59" i="7"/>
  <c r="M59" i="7"/>
  <c r="L59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8" i="7"/>
  <c r="AP27" i="7"/>
  <c r="AP26" i="7"/>
  <c r="AP25" i="7"/>
  <c r="AA60" i="6"/>
  <c r="AA58" i="7" s="1"/>
  <c r="Z60" i="6"/>
  <c r="AK62" i="6"/>
  <c r="AK61" i="6"/>
  <c r="AK60" i="6"/>
  <c r="AF62" i="6"/>
  <c r="AF61" i="6"/>
  <c r="AF60" i="6"/>
  <c r="AE62" i="6"/>
  <c r="AE60" i="6"/>
  <c r="AC62" i="6"/>
  <c r="AC61" i="6"/>
  <c r="AC60" i="6"/>
  <c r="AA61" i="6"/>
  <c r="Z61" i="6"/>
  <c r="Y62" i="6"/>
  <c r="Y61" i="6"/>
  <c r="X62" i="6"/>
  <c r="X61" i="6"/>
  <c r="X60" i="6"/>
  <c r="W62" i="6"/>
  <c r="W61" i="6"/>
  <c r="V61" i="6"/>
  <c r="U61" i="6"/>
  <c r="U60" i="6"/>
  <c r="S62" i="6"/>
  <c r="S61" i="6"/>
  <c r="S60" i="6"/>
  <c r="R62" i="6"/>
  <c r="R61" i="6"/>
  <c r="R60" i="6"/>
  <c r="Q62" i="6"/>
  <c r="Q61" i="6"/>
  <c r="Q60" i="6"/>
  <c r="P62" i="6"/>
  <c r="P61" i="6"/>
  <c r="P60" i="6"/>
  <c r="O62" i="6"/>
  <c r="O61" i="6"/>
  <c r="O60" i="6"/>
  <c r="M62" i="6"/>
  <c r="M61" i="6"/>
  <c r="M60" i="6"/>
  <c r="L62" i="6"/>
  <c r="L61" i="6"/>
  <c r="L60" i="6"/>
  <c r="AK20" i="6"/>
  <c r="AK19" i="6"/>
  <c r="AK14" i="6"/>
  <c r="AK13" i="6"/>
  <c r="AK10" i="6"/>
  <c r="AK9" i="6"/>
  <c r="AK6" i="6"/>
  <c r="AK5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8" i="6"/>
  <c r="AH27" i="6"/>
  <c r="AH26" i="6"/>
  <c r="AH25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8" i="6"/>
  <c r="S27" i="6"/>
  <c r="S26" i="6"/>
  <c r="S25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29" i="6"/>
  <c r="Q24" i="6"/>
  <c r="Q23" i="6"/>
  <c r="Q22" i="6"/>
  <c r="Q21" i="6"/>
  <c r="Q16" i="6"/>
  <c r="Q15" i="6"/>
  <c r="Q11" i="6"/>
  <c r="Q7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8" i="6"/>
  <c r="O27" i="6"/>
  <c r="O26" i="6"/>
  <c r="O25" i="6"/>
  <c r="AP55" i="6"/>
  <c r="AP54" i="6"/>
  <c r="AP53" i="6"/>
  <c r="AP52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8" i="6"/>
  <c r="AP27" i="6"/>
  <c r="AP26" i="6"/>
  <c r="AP25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29" i="6"/>
  <c r="L24" i="6"/>
  <c r="L23" i="6"/>
  <c r="L22" i="6"/>
  <c r="L21" i="6"/>
  <c r="L16" i="6"/>
  <c r="L15" i="6"/>
  <c r="L11" i="6"/>
  <c r="L7" i="6"/>
  <c r="P11" i="5"/>
  <c r="R11" i="5" s="1"/>
  <c r="P10" i="5"/>
  <c r="R10" i="5" s="1"/>
  <c r="P9" i="5"/>
  <c r="R9" i="5" s="1"/>
  <c r="F44" i="5"/>
  <c r="E44" i="5"/>
  <c r="D44" i="5"/>
  <c r="F26" i="5"/>
  <c r="E26" i="5"/>
  <c r="D26" i="5"/>
  <c r="AJ60" i="6" s="1"/>
  <c r="F25" i="5"/>
  <c r="F28" i="5" s="1"/>
  <c r="AL60" i="7" s="1"/>
  <c r="E25" i="5"/>
  <c r="D25" i="5"/>
  <c r="AI60" i="6" s="1"/>
  <c r="F24" i="5"/>
  <c r="AH60" i="7" s="1"/>
  <c r="E24" i="5"/>
  <c r="D24" i="5"/>
  <c r="AH60" i="6" s="1"/>
  <c r="D13" i="5"/>
  <c r="W60" i="6" s="1"/>
  <c r="F39" i="5"/>
  <c r="F17" i="5"/>
  <c r="F16" i="5"/>
  <c r="F12" i="5"/>
  <c r="F18" i="5" s="1"/>
  <c r="F11" i="5"/>
  <c r="U62" i="6" s="1"/>
  <c r="M15" i="5"/>
  <c r="M7" i="5"/>
  <c r="D36" i="5" s="1"/>
  <c r="F45" i="5"/>
  <c r="E45" i="5"/>
  <c r="D45" i="5"/>
  <c r="F43" i="5"/>
  <c r="D43" i="5"/>
  <c r="E41" i="5"/>
  <c r="D41" i="5"/>
  <c r="E28" i="5"/>
  <c r="F23" i="5"/>
  <c r="D23" i="5"/>
  <c r="AG60" i="6" s="1"/>
  <c r="F20" i="5"/>
  <c r="AD60" i="7" s="1"/>
  <c r="E20" i="5"/>
  <c r="D20" i="5"/>
  <c r="AD60" i="6" s="1"/>
  <c r="E18" i="5"/>
  <c r="AB61" i="6" s="1"/>
  <c r="T40" i="4"/>
  <c r="S40" i="4"/>
  <c r="R40" i="4"/>
  <c r="Q40" i="4"/>
  <c r="P40" i="4"/>
  <c r="O40" i="4"/>
  <c r="N40" i="4"/>
  <c r="M40" i="4"/>
  <c r="L40" i="4"/>
  <c r="K40" i="4"/>
  <c r="J40" i="4"/>
  <c r="I40" i="4"/>
  <c r="U40" i="4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U3" i="4" s="1"/>
  <c r="I3" i="4"/>
  <c r="T2" i="4"/>
  <c r="S2" i="4"/>
  <c r="R2" i="4"/>
  <c r="Q2" i="4"/>
  <c r="P2" i="4"/>
  <c r="O2" i="4"/>
  <c r="N2" i="4"/>
  <c r="M2" i="4"/>
  <c r="L2" i="4"/>
  <c r="K2" i="4"/>
  <c r="J2" i="4"/>
  <c r="I2" i="4"/>
  <c r="U2" i="4" s="1"/>
  <c r="T52" i="3"/>
  <c r="S52" i="3"/>
  <c r="R52" i="3"/>
  <c r="Q52" i="3"/>
  <c r="P52" i="3"/>
  <c r="O52" i="3"/>
  <c r="N52" i="3"/>
  <c r="M52" i="3"/>
  <c r="L52" i="3"/>
  <c r="K52" i="3"/>
  <c r="J52" i="3"/>
  <c r="I52" i="3"/>
  <c r="U52" i="3" s="1"/>
  <c r="T51" i="3"/>
  <c r="S51" i="3"/>
  <c r="R51" i="3"/>
  <c r="Q51" i="3"/>
  <c r="P51" i="3"/>
  <c r="O51" i="3"/>
  <c r="N51" i="3"/>
  <c r="M51" i="3"/>
  <c r="L51" i="3"/>
  <c r="K51" i="3"/>
  <c r="J51" i="3"/>
  <c r="I51" i="3"/>
  <c r="U51" i="3" s="1"/>
  <c r="T50" i="3"/>
  <c r="S50" i="3"/>
  <c r="R50" i="3"/>
  <c r="Q50" i="3"/>
  <c r="P50" i="3"/>
  <c r="O50" i="3"/>
  <c r="N50" i="3"/>
  <c r="M50" i="3"/>
  <c r="L50" i="3"/>
  <c r="K50" i="3"/>
  <c r="J50" i="3"/>
  <c r="I50" i="3"/>
  <c r="U50" i="3" s="1"/>
  <c r="T49" i="3"/>
  <c r="S49" i="3"/>
  <c r="R49" i="3"/>
  <c r="Q49" i="3"/>
  <c r="P49" i="3"/>
  <c r="O49" i="3"/>
  <c r="N49" i="3"/>
  <c r="M49" i="3"/>
  <c r="L49" i="3"/>
  <c r="K49" i="3"/>
  <c r="J49" i="3"/>
  <c r="I49" i="3"/>
  <c r="U49" i="3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U46" i="3" s="1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U40" i="3" s="1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U38" i="3" s="1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U32" i="3" s="1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U22" i="3" s="1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U19" i="3" s="1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U17" i="3" s="1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U14" i="3" s="1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U6" i="3" s="1"/>
  <c r="I6" i="3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8" i="23" l="1"/>
  <c r="I8" i="8"/>
  <c r="I8" i="9"/>
  <c r="I8" i="14"/>
  <c r="I8" i="7"/>
  <c r="I8" i="6"/>
  <c r="I12" i="23"/>
  <c r="BA68" i="23" s="1"/>
  <c r="I12" i="14"/>
  <c r="I12" i="7"/>
  <c r="I12" i="8"/>
  <c r="I12" i="9"/>
  <c r="I12" i="6"/>
  <c r="I24" i="23"/>
  <c r="I24" i="8"/>
  <c r="I24" i="9"/>
  <c r="I24" i="6"/>
  <c r="I24" i="14"/>
  <c r="I24" i="7"/>
  <c r="I34" i="23"/>
  <c r="I34" i="6"/>
  <c r="I34" i="14"/>
  <c r="I34" i="7"/>
  <c r="I34" i="8"/>
  <c r="I34" i="9"/>
  <c r="I40" i="23"/>
  <c r="I40" i="8"/>
  <c r="I40" i="9"/>
  <c r="I40" i="7"/>
  <c r="I40" i="6"/>
  <c r="I40" i="14"/>
  <c r="I44" i="23"/>
  <c r="I44" i="7"/>
  <c r="I44" i="6"/>
  <c r="I44" i="14"/>
  <c r="I44" i="8"/>
  <c r="I44" i="9"/>
  <c r="I48" i="23"/>
  <c r="I48" i="8"/>
  <c r="I48" i="9"/>
  <c r="I48" i="7"/>
  <c r="I48" i="6"/>
  <c r="I48" i="14"/>
  <c r="I52" i="23"/>
  <c r="I52" i="7"/>
  <c r="I52" i="6"/>
  <c r="I52" i="14"/>
  <c r="I52" i="8"/>
  <c r="I52" i="9"/>
  <c r="I5" i="24"/>
  <c r="I5" i="11"/>
  <c r="I5" i="10"/>
  <c r="I5" i="12"/>
  <c r="I5" i="13"/>
  <c r="P14" i="5"/>
  <c r="I9" i="24"/>
  <c r="I9" i="12"/>
  <c r="I9" i="13"/>
  <c r="I9" i="11"/>
  <c r="I9" i="10"/>
  <c r="I13" i="24"/>
  <c r="I13" i="11"/>
  <c r="I13" i="10"/>
  <c r="I13" i="12"/>
  <c r="I13" i="13"/>
  <c r="I15" i="24"/>
  <c r="I15" i="10"/>
  <c r="I15" i="12"/>
  <c r="I15" i="13"/>
  <c r="I15" i="11"/>
  <c r="I19" i="24"/>
  <c r="I19" i="13"/>
  <c r="I19" i="11"/>
  <c r="I19" i="10"/>
  <c r="I19" i="12"/>
  <c r="I21" i="24"/>
  <c r="I21" i="11"/>
  <c r="I21" i="10"/>
  <c r="I21" i="12"/>
  <c r="I21" i="13"/>
  <c r="I23" i="24"/>
  <c r="I23" i="10"/>
  <c r="I23" i="12"/>
  <c r="I23" i="13"/>
  <c r="I23" i="11"/>
  <c r="I25" i="24"/>
  <c r="AH69" i="24" s="1"/>
  <c r="I25" i="12"/>
  <c r="I25" i="13"/>
  <c r="I25" i="11"/>
  <c r="I25" i="10"/>
  <c r="I27" i="24"/>
  <c r="AE71" i="24" s="1"/>
  <c r="I27" i="13"/>
  <c r="I27" i="11"/>
  <c r="I27" i="10"/>
  <c r="I27" i="12"/>
  <c r="I29" i="24"/>
  <c r="AE73" i="24" s="1"/>
  <c r="I29" i="11"/>
  <c r="I29" i="10"/>
  <c r="I29" i="12"/>
  <c r="I29" i="13"/>
  <c r="I31" i="24"/>
  <c r="I31" i="10"/>
  <c r="I31" i="12"/>
  <c r="I31" i="13"/>
  <c r="I31" i="11"/>
  <c r="I33" i="24"/>
  <c r="AC77" i="24" s="1"/>
  <c r="I33" i="12"/>
  <c r="I33" i="13"/>
  <c r="I33" i="11"/>
  <c r="I33" i="10"/>
  <c r="I35" i="24"/>
  <c r="I35" i="13"/>
  <c r="I35" i="11"/>
  <c r="I35" i="10"/>
  <c r="I35" i="12"/>
  <c r="I37" i="24"/>
  <c r="I37" i="11"/>
  <c r="I37" i="10"/>
  <c r="I37" i="12"/>
  <c r="I37" i="13"/>
  <c r="I39" i="24"/>
  <c r="I39" i="10"/>
  <c r="I39" i="12"/>
  <c r="I39" i="13"/>
  <c r="I39" i="11"/>
  <c r="I41" i="24"/>
  <c r="I41" i="12"/>
  <c r="I41" i="13"/>
  <c r="I41" i="11"/>
  <c r="I41" i="10"/>
  <c r="I43" i="24"/>
  <c r="I43" i="13"/>
  <c r="I43" i="11"/>
  <c r="I43" i="10"/>
  <c r="I43" i="12"/>
  <c r="I10" i="23"/>
  <c r="I10" i="6"/>
  <c r="I10" i="14"/>
  <c r="I10" i="7"/>
  <c r="I10" i="8"/>
  <c r="I10" i="9"/>
  <c r="I14" i="23"/>
  <c r="BC70" i="23" s="1"/>
  <c r="I14" i="14"/>
  <c r="I14" i="7"/>
  <c r="I14" i="8"/>
  <c r="I14" i="9"/>
  <c r="I14" i="6"/>
  <c r="I26" i="23"/>
  <c r="I26" i="14"/>
  <c r="I26" i="7"/>
  <c r="I26" i="8"/>
  <c r="I26" i="9"/>
  <c r="I26" i="6"/>
  <c r="I30" i="23"/>
  <c r="I30" i="6"/>
  <c r="I30" i="14"/>
  <c r="I30" i="8"/>
  <c r="I30" i="9"/>
  <c r="I30" i="7"/>
  <c r="I38" i="23"/>
  <c r="I38" i="6"/>
  <c r="I38" i="14"/>
  <c r="I38" i="8"/>
  <c r="I38" i="9"/>
  <c r="I38" i="7"/>
  <c r="I42" i="23"/>
  <c r="I42" i="6"/>
  <c r="I42" i="14"/>
  <c r="I42" i="7"/>
  <c r="I42" i="8"/>
  <c r="I42" i="9"/>
  <c r="I46" i="23"/>
  <c r="I46" i="6"/>
  <c r="I46" i="14"/>
  <c r="I46" i="8"/>
  <c r="I46" i="9"/>
  <c r="I46" i="7"/>
  <c r="I50" i="23"/>
  <c r="I50" i="6"/>
  <c r="I50" i="14"/>
  <c r="I50" i="7"/>
  <c r="I50" i="8"/>
  <c r="I50" i="9"/>
  <c r="I54" i="23"/>
  <c r="I54" i="6"/>
  <c r="I54" i="14"/>
  <c r="I54" i="8"/>
  <c r="I54" i="9"/>
  <c r="I54" i="7"/>
  <c r="I7" i="24"/>
  <c r="I7" i="10"/>
  <c r="I7" i="12"/>
  <c r="I7" i="13"/>
  <c r="I7" i="11"/>
  <c r="I17" i="24"/>
  <c r="I17" i="12"/>
  <c r="I17" i="13"/>
  <c r="I17" i="11"/>
  <c r="I17" i="10"/>
  <c r="I16" i="23"/>
  <c r="AU72" i="23" s="1"/>
  <c r="I16" i="8"/>
  <c r="I16" i="9"/>
  <c r="I16" i="14"/>
  <c r="I16" i="7"/>
  <c r="I16" i="6"/>
  <c r="I28" i="23"/>
  <c r="I28" i="7"/>
  <c r="I28" i="6"/>
  <c r="I28" i="8"/>
  <c r="I28" i="9"/>
  <c r="I28" i="14"/>
  <c r="I32" i="23"/>
  <c r="I32" i="8"/>
  <c r="I32" i="9"/>
  <c r="I32" i="7"/>
  <c r="I32" i="6"/>
  <c r="I32" i="14"/>
  <c r="I36" i="23"/>
  <c r="I36" i="7"/>
  <c r="I36" i="6"/>
  <c r="I36" i="14"/>
  <c r="I36" i="8"/>
  <c r="I36" i="9"/>
  <c r="I11" i="24"/>
  <c r="Z55" i="24" s="1"/>
  <c r="I11" i="13"/>
  <c r="I11" i="11"/>
  <c r="I11" i="10"/>
  <c r="I11" i="12"/>
  <c r="I20" i="23"/>
  <c r="I20" i="14"/>
  <c r="I20" i="7"/>
  <c r="I20" i="8"/>
  <c r="I20" i="9"/>
  <c r="I20" i="6"/>
  <c r="I22" i="23"/>
  <c r="I22" i="14"/>
  <c r="I22" i="7"/>
  <c r="I22" i="8"/>
  <c r="I22" i="9"/>
  <c r="I22" i="6"/>
  <c r="I6" i="23"/>
  <c r="I6" i="14"/>
  <c r="I6" i="7"/>
  <c r="I6" i="8"/>
  <c r="I6" i="9"/>
  <c r="I6" i="6"/>
  <c r="I18" i="23"/>
  <c r="BC74" i="23" s="1"/>
  <c r="I18" i="6"/>
  <c r="I18" i="14"/>
  <c r="I18" i="7"/>
  <c r="I18" i="8"/>
  <c r="I18" i="9"/>
  <c r="I5" i="23"/>
  <c r="I5" i="14"/>
  <c r="I5" i="7"/>
  <c r="I5" i="8"/>
  <c r="I5" i="9"/>
  <c r="P12" i="5"/>
  <c r="I5" i="6"/>
  <c r="I13" i="23"/>
  <c r="I13" i="14"/>
  <c r="I13" i="7"/>
  <c r="I13" i="8"/>
  <c r="I13" i="9"/>
  <c r="I13" i="6"/>
  <c r="I23" i="23"/>
  <c r="I23" i="14"/>
  <c r="I23" i="7"/>
  <c r="I23" i="8"/>
  <c r="I23" i="9"/>
  <c r="I23" i="6"/>
  <c r="I33" i="23"/>
  <c r="I33" i="9"/>
  <c r="I33" i="14"/>
  <c r="I33" i="6"/>
  <c r="I33" i="8"/>
  <c r="I33" i="7"/>
  <c r="I45" i="23"/>
  <c r="I45" i="6"/>
  <c r="I45" i="8"/>
  <c r="I45" i="9"/>
  <c r="I45" i="14"/>
  <c r="I45" i="7"/>
  <c r="I53" i="23"/>
  <c r="I53" i="6"/>
  <c r="I53" i="8"/>
  <c r="I53" i="9"/>
  <c r="I53" i="14"/>
  <c r="I53" i="7"/>
  <c r="I55" i="23"/>
  <c r="I55" i="8"/>
  <c r="I55" i="9"/>
  <c r="I55" i="7"/>
  <c r="I55" i="14"/>
  <c r="I55" i="6"/>
  <c r="I8" i="24"/>
  <c r="I8" i="12"/>
  <c r="I8" i="13"/>
  <c r="I8" i="11"/>
  <c r="I8" i="10"/>
  <c r="I10" i="24"/>
  <c r="AF54" i="24" s="1"/>
  <c r="I10" i="13"/>
  <c r="I10" i="11"/>
  <c r="I10" i="10"/>
  <c r="I10" i="12"/>
  <c r="I12" i="24"/>
  <c r="I12" i="13"/>
  <c r="I12" i="11"/>
  <c r="I12" i="10"/>
  <c r="I12" i="12"/>
  <c r="I14" i="24"/>
  <c r="I14" i="10"/>
  <c r="I14" i="12"/>
  <c r="I14" i="13"/>
  <c r="I14" i="11"/>
  <c r="I16" i="24"/>
  <c r="I16" i="12"/>
  <c r="I16" i="13"/>
  <c r="I16" i="11"/>
  <c r="I16" i="10"/>
  <c r="I18" i="24"/>
  <c r="I18" i="13"/>
  <c r="I18" i="11"/>
  <c r="I18" i="10"/>
  <c r="I18" i="12"/>
  <c r="I20" i="24"/>
  <c r="I20" i="13"/>
  <c r="I20" i="11"/>
  <c r="I20" i="10"/>
  <c r="I20" i="12"/>
  <c r="I22" i="24"/>
  <c r="I22" i="10"/>
  <c r="I22" i="12"/>
  <c r="I22" i="13"/>
  <c r="I22" i="11"/>
  <c r="I24" i="24"/>
  <c r="I24" i="12"/>
  <c r="I24" i="13"/>
  <c r="I24" i="11"/>
  <c r="I24" i="10"/>
  <c r="I26" i="24"/>
  <c r="I26" i="13"/>
  <c r="I26" i="11"/>
  <c r="I26" i="10"/>
  <c r="I26" i="12"/>
  <c r="I28" i="24"/>
  <c r="I28" i="13"/>
  <c r="I28" i="11"/>
  <c r="I28" i="10"/>
  <c r="I28" i="12"/>
  <c r="I30" i="24"/>
  <c r="AE74" i="24" s="1"/>
  <c r="I30" i="10"/>
  <c r="I30" i="12"/>
  <c r="I30" i="13"/>
  <c r="I30" i="11"/>
  <c r="I32" i="24"/>
  <c r="I32" i="12"/>
  <c r="I32" i="13"/>
  <c r="I32" i="11"/>
  <c r="I32" i="10"/>
  <c r="I34" i="24"/>
  <c r="I34" i="13"/>
  <c r="I34" i="11"/>
  <c r="I34" i="10"/>
  <c r="I34" i="12"/>
  <c r="I36" i="24"/>
  <c r="I36" i="13"/>
  <c r="I36" i="11"/>
  <c r="I36" i="10"/>
  <c r="I36" i="12"/>
  <c r="I38" i="24"/>
  <c r="I38" i="10"/>
  <c r="I38" i="12"/>
  <c r="I38" i="13"/>
  <c r="I38" i="11"/>
  <c r="I40" i="24"/>
  <c r="I40" i="12"/>
  <c r="I40" i="13"/>
  <c r="I40" i="11"/>
  <c r="I40" i="10"/>
  <c r="I42" i="24"/>
  <c r="I42" i="13"/>
  <c r="I42" i="11"/>
  <c r="I42" i="10"/>
  <c r="I42" i="12"/>
  <c r="I11" i="23"/>
  <c r="I11" i="14"/>
  <c r="I11" i="7"/>
  <c r="I11" i="8"/>
  <c r="I11" i="9"/>
  <c r="I11" i="6"/>
  <c r="I19" i="23"/>
  <c r="I19" i="14"/>
  <c r="I19" i="7"/>
  <c r="I19" i="8"/>
  <c r="I19" i="9"/>
  <c r="I19" i="6"/>
  <c r="I21" i="23"/>
  <c r="I21" i="14"/>
  <c r="I21" i="7"/>
  <c r="I21" i="8"/>
  <c r="I21" i="9"/>
  <c r="I21" i="6"/>
  <c r="I29" i="23"/>
  <c r="I29" i="14"/>
  <c r="I29" i="8"/>
  <c r="I29" i="9"/>
  <c r="I29" i="7"/>
  <c r="I29" i="6"/>
  <c r="I37" i="23"/>
  <c r="I37" i="6"/>
  <c r="I37" i="8"/>
  <c r="I37" i="9"/>
  <c r="I37" i="14"/>
  <c r="I37" i="7"/>
  <c r="I47" i="23"/>
  <c r="I47" i="8"/>
  <c r="I47" i="9"/>
  <c r="I47" i="7"/>
  <c r="I47" i="14"/>
  <c r="I47" i="6"/>
  <c r="I9" i="23"/>
  <c r="I9" i="9"/>
  <c r="I9" i="14"/>
  <c r="I9" i="7"/>
  <c r="I9" i="8"/>
  <c r="I9" i="6"/>
  <c r="I25" i="23"/>
  <c r="I25" i="9"/>
  <c r="I25" i="14"/>
  <c r="I25" i="7"/>
  <c r="I25" i="8"/>
  <c r="I25" i="6"/>
  <c r="I35" i="23"/>
  <c r="I35" i="14"/>
  <c r="I35" i="7"/>
  <c r="I35" i="6"/>
  <c r="I35" i="8"/>
  <c r="I35" i="9"/>
  <c r="I41" i="23"/>
  <c r="I41" i="9"/>
  <c r="I41" i="14"/>
  <c r="I41" i="6"/>
  <c r="I41" i="8"/>
  <c r="I41" i="7"/>
  <c r="I43" i="23"/>
  <c r="I43" i="14"/>
  <c r="I43" i="7"/>
  <c r="I43" i="6"/>
  <c r="I43" i="8"/>
  <c r="I43" i="9"/>
  <c r="I49" i="23"/>
  <c r="AZ105" i="23" s="1"/>
  <c r="I49" i="9"/>
  <c r="I49" i="14"/>
  <c r="I49" i="6"/>
  <c r="I49" i="8"/>
  <c r="I49" i="7"/>
  <c r="I6" i="24"/>
  <c r="I6" i="10"/>
  <c r="I6" i="12"/>
  <c r="I6" i="13"/>
  <c r="I6" i="11"/>
  <c r="I7" i="23"/>
  <c r="I7" i="14"/>
  <c r="I7" i="7"/>
  <c r="I7" i="8"/>
  <c r="I7" i="9"/>
  <c r="P13" i="5"/>
  <c r="P16" i="5" s="1"/>
  <c r="I7" i="6"/>
  <c r="I15" i="23"/>
  <c r="AQ71" i="23" s="1"/>
  <c r="I15" i="14"/>
  <c r="I15" i="7"/>
  <c r="I15" i="8"/>
  <c r="I15" i="9"/>
  <c r="I15" i="6"/>
  <c r="I27" i="23"/>
  <c r="I27" i="7"/>
  <c r="I27" i="6"/>
  <c r="I27" i="14"/>
  <c r="I27" i="8"/>
  <c r="I27" i="9"/>
  <c r="I31" i="23"/>
  <c r="I31" i="8"/>
  <c r="I31" i="9"/>
  <c r="I31" i="7"/>
  <c r="I31" i="14"/>
  <c r="I31" i="6"/>
  <c r="I39" i="23"/>
  <c r="I39" i="8"/>
  <c r="I39" i="9"/>
  <c r="I39" i="7"/>
  <c r="I39" i="14"/>
  <c r="I39" i="6"/>
  <c r="I51" i="23"/>
  <c r="I51" i="14"/>
  <c r="I51" i="7"/>
  <c r="I51" i="6"/>
  <c r="I51" i="8"/>
  <c r="I51" i="9"/>
  <c r="I17" i="23"/>
  <c r="AP73" i="23" s="1"/>
  <c r="I17" i="9"/>
  <c r="I17" i="14"/>
  <c r="I17" i="7"/>
  <c r="I17" i="8"/>
  <c r="I17" i="6"/>
  <c r="AJ2" i="16"/>
  <c r="AT2" i="16"/>
  <c r="AH61" i="6"/>
  <c r="AH59" i="7"/>
  <c r="AT4" i="16"/>
  <c r="AJ4" i="16"/>
  <c r="AT6" i="16"/>
  <c r="AT5" i="16"/>
  <c r="AJ5" i="16"/>
  <c r="AO4" i="16"/>
  <c r="AT7" i="16"/>
  <c r="AJ7" i="16"/>
  <c r="AO3" i="16"/>
  <c r="AJ3" i="16"/>
  <c r="AT3" i="16"/>
  <c r="AA9" i="21"/>
  <c r="AA10" i="21"/>
  <c r="AA11" i="21"/>
  <c r="AO6" i="16"/>
  <c r="AC31" i="17"/>
  <c r="AC42" i="17"/>
  <c r="AC43" i="17"/>
  <c r="AC51" i="17"/>
  <c r="AC59" i="17"/>
  <c r="AC67" i="17"/>
  <c r="AC75" i="17"/>
  <c r="AC83" i="17"/>
  <c r="AC91" i="17"/>
  <c r="AC99" i="17"/>
  <c r="AC107" i="17"/>
  <c r="AC115" i="17"/>
  <c r="AC123" i="17"/>
  <c r="R12" i="21"/>
  <c r="AG8" i="21"/>
  <c r="AC17" i="17"/>
  <c r="AC156" i="17"/>
  <c r="AC158" i="17"/>
  <c r="AC160" i="17"/>
  <c r="AC162" i="17"/>
  <c r="AC164" i="17"/>
  <c r="AC166" i="17"/>
  <c r="M494" i="21"/>
  <c r="AJ6" i="21"/>
  <c r="AC28" i="17"/>
  <c r="AC36" i="17"/>
  <c r="AC44" i="17"/>
  <c r="AC39" i="17"/>
  <c r="AC47" i="17"/>
  <c r="AC55" i="17"/>
  <c r="AC63" i="17"/>
  <c r="AC71" i="17"/>
  <c r="AC9" i="17"/>
  <c r="AC22" i="17"/>
  <c r="X3" i="21"/>
  <c r="AF3" i="21" s="1"/>
  <c r="X13" i="21"/>
  <c r="AF13" i="21" s="1"/>
  <c r="AC50" i="17"/>
  <c r="AC58" i="17"/>
  <c r="AC66" i="17"/>
  <c r="AC74" i="17"/>
  <c r="AC18" i="17"/>
  <c r="Y3" i="21"/>
  <c r="AG3" i="21" s="1"/>
  <c r="X6" i="21"/>
  <c r="AF6" i="21" s="1"/>
  <c r="AC5" i="17"/>
  <c r="AI5" i="17" s="1"/>
  <c r="AC14" i="17"/>
  <c r="AC157" i="17"/>
  <c r="AC159" i="17"/>
  <c r="AC161" i="17"/>
  <c r="AC163" i="17"/>
  <c r="AC165" i="17"/>
  <c r="AC167" i="17"/>
  <c r="Y6" i="21"/>
  <c r="AG6" i="21" s="1"/>
  <c r="AX73" i="23"/>
  <c r="BD73" i="23"/>
  <c r="AV73" i="23"/>
  <c r="AN73" i="23"/>
  <c r="BC73" i="23"/>
  <c r="AU73" i="23"/>
  <c r="AM73" i="23"/>
  <c r="AZ73" i="23"/>
  <c r="AR73" i="23"/>
  <c r="AW73" i="23"/>
  <c r="AT73" i="23"/>
  <c r="AS73" i="23"/>
  <c r="AQ73" i="23"/>
  <c r="AO73" i="23"/>
  <c r="BB73" i="23"/>
  <c r="AL73" i="23"/>
  <c r="AK73" i="23"/>
  <c r="BA105" i="23"/>
  <c r="AS105" i="23"/>
  <c r="AK105" i="23"/>
  <c r="AR105" i="23"/>
  <c r="AJ105" i="23"/>
  <c r="AY105" i="23"/>
  <c r="AQ105" i="23"/>
  <c r="AI105" i="23"/>
  <c r="AX105" i="23"/>
  <c r="AP105" i="23"/>
  <c r="BD105" i="23"/>
  <c r="AV105" i="23"/>
  <c r="BC105" i="23"/>
  <c r="AU105" i="23"/>
  <c r="AM105" i="23"/>
  <c r="AT105" i="23"/>
  <c r="AL105" i="23"/>
  <c r="AW105" i="23"/>
  <c r="AO105" i="23"/>
  <c r="BB105" i="23"/>
  <c r="AZ66" i="23"/>
  <c r="AR66" i="23"/>
  <c r="AJ66" i="23"/>
  <c r="AY66" i="23"/>
  <c r="AQ66" i="23"/>
  <c r="AI66" i="23"/>
  <c r="AX66" i="23"/>
  <c r="AP66" i="23"/>
  <c r="AW66" i="23"/>
  <c r="AO66" i="23"/>
  <c r="BD66" i="23"/>
  <c r="AV66" i="23"/>
  <c r="AN66" i="23"/>
  <c r="BC66" i="23"/>
  <c r="AU66" i="23"/>
  <c r="AM66" i="23"/>
  <c r="BB66" i="23"/>
  <c r="AT66" i="23"/>
  <c r="AL66" i="23"/>
  <c r="AW106" i="23"/>
  <c r="AO106" i="23"/>
  <c r="BD106" i="23"/>
  <c r="AV106" i="23"/>
  <c r="AN106" i="23"/>
  <c r="BC106" i="23"/>
  <c r="AU106" i="23"/>
  <c r="AM106" i="23"/>
  <c r="BB106" i="23"/>
  <c r="AT106" i="23"/>
  <c r="AL106" i="23"/>
  <c r="AZ106" i="23"/>
  <c r="AR106" i="23"/>
  <c r="AJ106" i="23"/>
  <c r="AY106" i="23"/>
  <c r="AQ106" i="23"/>
  <c r="AI106" i="23"/>
  <c r="BA106" i="23"/>
  <c r="AX106" i="23"/>
  <c r="AS106" i="23"/>
  <c r="AP106" i="23"/>
  <c r="AK106" i="23"/>
  <c r="BD67" i="23"/>
  <c r="AV67" i="23"/>
  <c r="AN67" i="23"/>
  <c r="BC67" i="23"/>
  <c r="AU67" i="23"/>
  <c r="AM67" i="23"/>
  <c r="BB67" i="23"/>
  <c r="AT67" i="23"/>
  <c r="AL67" i="23"/>
  <c r="BA67" i="23"/>
  <c r="AS67" i="23"/>
  <c r="AK67" i="23"/>
  <c r="AZ67" i="23"/>
  <c r="AR67" i="23"/>
  <c r="AJ67" i="23"/>
  <c r="AY67" i="23"/>
  <c r="AQ67" i="23"/>
  <c r="AI67" i="23"/>
  <c r="AX67" i="23"/>
  <c r="AP67" i="23"/>
  <c r="AX75" i="23"/>
  <c r="AP75" i="23"/>
  <c r="AW75" i="23"/>
  <c r="AO75" i="23"/>
  <c r="BD75" i="23"/>
  <c r="AV75" i="23"/>
  <c r="AN75" i="23"/>
  <c r="BC75" i="23"/>
  <c r="AU75" i="23"/>
  <c r="AM75" i="23"/>
  <c r="BB75" i="23"/>
  <c r="AT75" i="23"/>
  <c r="BA75" i="23"/>
  <c r="AS75" i="23"/>
  <c r="AK75" i="23"/>
  <c r="AZ75" i="23"/>
  <c r="AR75" i="23"/>
  <c r="AJ75" i="23"/>
  <c r="AY75" i="23"/>
  <c r="AQ75" i="23"/>
  <c r="AL75" i="23"/>
  <c r="AI75" i="23"/>
  <c r="BB83" i="23"/>
  <c r="AT83" i="23"/>
  <c r="AL83" i="23"/>
  <c r="AZ83" i="23"/>
  <c r="AR83" i="23"/>
  <c r="AJ83" i="23"/>
  <c r="AW83" i="23"/>
  <c r="P83" i="23"/>
  <c r="BD83" i="23"/>
  <c r="AV83" i="23"/>
  <c r="AN83" i="23"/>
  <c r="AU83" i="23"/>
  <c r="AS83" i="23"/>
  <c r="AQ83" i="23"/>
  <c r="AP83" i="23"/>
  <c r="BC83" i="23"/>
  <c r="AM83" i="23"/>
  <c r="BA83" i="23"/>
  <c r="AK83" i="23"/>
  <c r="AY83" i="23"/>
  <c r="R83" i="23"/>
  <c r="AX83" i="23"/>
  <c r="AY91" i="23"/>
  <c r="AQ91" i="23"/>
  <c r="AI91" i="23"/>
  <c r="AW91" i="23"/>
  <c r="BD91" i="23"/>
  <c r="AV91" i="23"/>
  <c r="AN91" i="23"/>
  <c r="BB91" i="23"/>
  <c r="AT91" i="23"/>
  <c r="AL91" i="23"/>
  <c r="AU91" i="23"/>
  <c r="AS91" i="23"/>
  <c r="AR91" i="23"/>
  <c r="AP91" i="23"/>
  <c r="BC91" i="23"/>
  <c r="AO91" i="23"/>
  <c r="BA91" i="23"/>
  <c r="AM91" i="23"/>
  <c r="AZ91" i="23"/>
  <c r="AK91" i="23"/>
  <c r="AX91" i="23"/>
  <c r="AJ91" i="23"/>
  <c r="AY99" i="23"/>
  <c r="AQ99" i="23"/>
  <c r="AI99" i="23"/>
  <c r="AW99" i="23"/>
  <c r="AO99" i="23"/>
  <c r="BD99" i="23"/>
  <c r="AV99" i="23"/>
  <c r="AN99" i="23"/>
  <c r="BC99" i="23"/>
  <c r="AU99" i="23"/>
  <c r="AM99" i="23"/>
  <c r="BB99" i="23"/>
  <c r="AT99" i="23"/>
  <c r="AL99" i="23"/>
  <c r="AS99" i="23"/>
  <c r="AR99" i="23"/>
  <c r="AP99" i="23"/>
  <c r="AK99" i="23"/>
  <c r="AJ99" i="23"/>
  <c r="BA99" i="23"/>
  <c r="AZ99" i="23"/>
  <c r="AX99" i="23"/>
  <c r="BA107" i="23"/>
  <c r="AS107" i="23"/>
  <c r="AK107" i="23"/>
  <c r="AZ107" i="23"/>
  <c r="AR107" i="23"/>
  <c r="AJ107" i="23"/>
  <c r="AY107" i="23"/>
  <c r="AQ107" i="23"/>
  <c r="AI107" i="23"/>
  <c r="AX107" i="23"/>
  <c r="AP107" i="23"/>
  <c r="BD107" i="23"/>
  <c r="AV107" i="23"/>
  <c r="AN107" i="23"/>
  <c r="BC107" i="23"/>
  <c r="AU107" i="23"/>
  <c r="AM107" i="23"/>
  <c r="BB107" i="23"/>
  <c r="AT107" i="23"/>
  <c r="AO107" i="23"/>
  <c r="AL107" i="23"/>
  <c r="AW107" i="23"/>
  <c r="AS64" i="23"/>
  <c r="AO67" i="23"/>
  <c r="BC98" i="23"/>
  <c r="AU98" i="23"/>
  <c r="AM98" i="23"/>
  <c r="BA98" i="23"/>
  <c r="AS98" i="23"/>
  <c r="AK98" i="23"/>
  <c r="AZ98" i="23"/>
  <c r="AR98" i="23"/>
  <c r="AJ98" i="23"/>
  <c r="AY98" i="23"/>
  <c r="AQ98" i="23"/>
  <c r="AI98" i="23"/>
  <c r="AX98" i="23"/>
  <c r="AP98" i="23"/>
  <c r="AV98" i="23"/>
  <c r="AT98" i="23"/>
  <c r="AO98" i="23"/>
  <c r="AN98" i="23"/>
  <c r="AL98" i="23"/>
  <c r="BD98" i="23"/>
  <c r="BB98" i="23"/>
  <c r="AW98" i="23"/>
  <c r="AZ68" i="23"/>
  <c r="AR68" i="23"/>
  <c r="AJ68" i="23"/>
  <c r="AY68" i="23"/>
  <c r="AQ68" i="23"/>
  <c r="AI68" i="23"/>
  <c r="AX68" i="23"/>
  <c r="AP68" i="23"/>
  <c r="AW68" i="23"/>
  <c r="AO68" i="23"/>
  <c r="BD68" i="23"/>
  <c r="AV68" i="23"/>
  <c r="AN68" i="23"/>
  <c r="BC68" i="23"/>
  <c r="AU68" i="23"/>
  <c r="AM68" i="23"/>
  <c r="BB68" i="23"/>
  <c r="AT68" i="23"/>
  <c r="AL68" i="23"/>
  <c r="BB76" i="23"/>
  <c r="AT76" i="23"/>
  <c r="AL76" i="23"/>
  <c r="BA76" i="23"/>
  <c r="AS76" i="23"/>
  <c r="AK76" i="23"/>
  <c r="AZ76" i="23"/>
  <c r="AR76" i="23"/>
  <c r="AJ76" i="23"/>
  <c r="AY76" i="23"/>
  <c r="AQ76" i="23"/>
  <c r="AI76" i="23"/>
  <c r="AX76" i="23"/>
  <c r="AP76" i="23"/>
  <c r="AW76" i="23"/>
  <c r="AO76" i="23"/>
  <c r="BD76" i="23"/>
  <c r="AV76" i="23"/>
  <c r="AN76" i="23"/>
  <c r="BC76" i="23"/>
  <c r="AU76" i="23"/>
  <c r="AM76" i="23"/>
  <c r="AX84" i="23"/>
  <c r="AP84" i="23"/>
  <c r="BD84" i="23"/>
  <c r="AV84" i="23"/>
  <c r="AN84" i="23"/>
  <c r="BA84" i="23"/>
  <c r="AS84" i="23"/>
  <c r="AK84" i="23"/>
  <c r="AZ84" i="23"/>
  <c r="AR84" i="23"/>
  <c r="AJ84" i="23"/>
  <c r="AY84" i="23"/>
  <c r="AI84" i="23"/>
  <c r="R84" i="23"/>
  <c r="AW84" i="23"/>
  <c r="P84" i="23"/>
  <c r="AU84" i="23"/>
  <c r="AT84" i="23"/>
  <c r="AQ84" i="23"/>
  <c r="AO84" i="23"/>
  <c r="BC84" i="23"/>
  <c r="AM84" i="23"/>
  <c r="AL84" i="23"/>
  <c r="BC92" i="23"/>
  <c r="AU92" i="23"/>
  <c r="AM92" i="23"/>
  <c r="BA92" i="23"/>
  <c r="AS92" i="23"/>
  <c r="AK92" i="23"/>
  <c r="AZ92" i="23"/>
  <c r="AR92" i="23"/>
  <c r="AJ92" i="23"/>
  <c r="AX92" i="23"/>
  <c r="AP92" i="23"/>
  <c r="AY92" i="23"/>
  <c r="AI92" i="23"/>
  <c r="AW92" i="23"/>
  <c r="AV92" i="23"/>
  <c r="AT92" i="23"/>
  <c r="AQ92" i="23"/>
  <c r="AO92" i="23"/>
  <c r="BD92" i="23"/>
  <c r="AN92" i="23"/>
  <c r="BB92" i="23"/>
  <c r="AL92" i="23"/>
  <c r="BC100" i="23"/>
  <c r="AU100" i="23"/>
  <c r="AM100" i="23"/>
  <c r="BA100" i="23"/>
  <c r="AS100" i="23"/>
  <c r="AK100" i="23"/>
  <c r="AZ100" i="23"/>
  <c r="AR100" i="23"/>
  <c r="AJ100" i="23"/>
  <c r="AY100" i="23"/>
  <c r="AQ100" i="23"/>
  <c r="AI100" i="23"/>
  <c r="AX100" i="23"/>
  <c r="AP100" i="23"/>
  <c r="AT100" i="23"/>
  <c r="AO100" i="23"/>
  <c r="AN100" i="23"/>
  <c r="AL100" i="23"/>
  <c r="BD100" i="23"/>
  <c r="BB100" i="23"/>
  <c r="AW100" i="23"/>
  <c r="AV100" i="23"/>
  <c r="AW108" i="23"/>
  <c r="AO108" i="23"/>
  <c r="BD108" i="23"/>
  <c r="AV108" i="23"/>
  <c r="AN108" i="23"/>
  <c r="BC108" i="23"/>
  <c r="AU108" i="23"/>
  <c r="AM108" i="23"/>
  <c r="BB108" i="23"/>
  <c r="AT108" i="23"/>
  <c r="AL108" i="23"/>
  <c r="AZ108" i="23"/>
  <c r="AR108" i="23"/>
  <c r="AJ108" i="23"/>
  <c r="AY108" i="23"/>
  <c r="AQ108" i="23"/>
  <c r="AI108" i="23"/>
  <c r="AP108" i="23"/>
  <c r="BA108" i="23"/>
  <c r="AX108" i="23"/>
  <c r="AS108" i="23"/>
  <c r="AK108" i="23"/>
  <c r="BA64" i="23"/>
  <c r="AW67" i="23"/>
  <c r="AM74" i="23"/>
  <c r="BB84" i="23"/>
  <c r="AY89" i="23"/>
  <c r="AQ89" i="23"/>
  <c r="AI89" i="23"/>
  <c r="BD89" i="23"/>
  <c r="AV89" i="23"/>
  <c r="AN89" i="23"/>
  <c r="BB89" i="23"/>
  <c r="AT89" i="23"/>
  <c r="AL89" i="23"/>
  <c r="AS89" i="23"/>
  <c r="AR89" i="23"/>
  <c r="BC89" i="23"/>
  <c r="AP89" i="23"/>
  <c r="BA89" i="23"/>
  <c r="AO89" i="23"/>
  <c r="R89" i="23"/>
  <c r="AZ89" i="23"/>
  <c r="AM89" i="23"/>
  <c r="AX89" i="23"/>
  <c r="AK89" i="23"/>
  <c r="P89" i="23"/>
  <c r="AW89" i="23"/>
  <c r="AJ89" i="23"/>
  <c r="AU89" i="23"/>
  <c r="BC90" i="23"/>
  <c r="AU90" i="23"/>
  <c r="AM90" i="23"/>
  <c r="AZ90" i="23"/>
  <c r="AR90" i="23"/>
  <c r="AJ90" i="23"/>
  <c r="AX90" i="23"/>
  <c r="AP90" i="23"/>
  <c r="BA90" i="23"/>
  <c r="AN90" i="23"/>
  <c r="AY90" i="23"/>
  <c r="AL90" i="23"/>
  <c r="AW90" i="23"/>
  <c r="AK90" i="23"/>
  <c r="AV90" i="23"/>
  <c r="AI90" i="23"/>
  <c r="AT90" i="23"/>
  <c r="AS90" i="23"/>
  <c r="BD90" i="23"/>
  <c r="AQ90" i="23"/>
  <c r="BB90" i="23"/>
  <c r="AO90" i="23"/>
  <c r="BD61" i="23"/>
  <c r="AV61" i="23"/>
  <c r="AN61" i="23"/>
  <c r="BC61" i="23"/>
  <c r="AU61" i="23"/>
  <c r="AM61" i="23"/>
  <c r="BB61" i="23"/>
  <c r="AT61" i="23"/>
  <c r="AL61" i="23"/>
  <c r="BA61" i="23"/>
  <c r="AS61" i="23"/>
  <c r="L8" i="25" s="1"/>
  <c r="AK61" i="23"/>
  <c r="AZ61" i="23"/>
  <c r="AR61" i="23"/>
  <c r="AJ61" i="23"/>
  <c r="AY61" i="23"/>
  <c r="AQ61" i="23"/>
  <c r="AI61" i="23"/>
  <c r="AX61" i="23"/>
  <c r="AP61" i="23"/>
  <c r="AX69" i="23"/>
  <c r="BD69" i="23"/>
  <c r="BC69" i="23"/>
  <c r="AU69" i="23"/>
  <c r="AZ69" i="23"/>
  <c r="AW69" i="23"/>
  <c r="AN69" i="23"/>
  <c r="AV69" i="23"/>
  <c r="AM69" i="23"/>
  <c r="AT69" i="23"/>
  <c r="AL69" i="23"/>
  <c r="AS69" i="23"/>
  <c r="AK69" i="23"/>
  <c r="AR69" i="23"/>
  <c r="AJ69" i="23"/>
  <c r="BB69" i="23"/>
  <c r="AQ69" i="23"/>
  <c r="AI69" i="23"/>
  <c r="BA69" i="23"/>
  <c r="AP69" i="23"/>
  <c r="AX77" i="23"/>
  <c r="AP77" i="23"/>
  <c r="AW77" i="23"/>
  <c r="AO77" i="23"/>
  <c r="BD77" i="23"/>
  <c r="AV77" i="23"/>
  <c r="AN77" i="23"/>
  <c r="BC77" i="23"/>
  <c r="AU77" i="23"/>
  <c r="AM77" i="23"/>
  <c r="BB77" i="23"/>
  <c r="AT77" i="23"/>
  <c r="AL77" i="23"/>
  <c r="BA77" i="23"/>
  <c r="AS77" i="23"/>
  <c r="AK77" i="23"/>
  <c r="AZ77" i="23"/>
  <c r="AR77" i="23"/>
  <c r="AJ77" i="23"/>
  <c r="AY77" i="23"/>
  <c r="AQ77" i="23"/>
  <c r="BB85" i="23"/>
  <c r="AT85" i="23"/>
  <c r="AL85" i="23"/>
  <c r="AZ85" i="23"/>
  <c r="AR85" i="23"/>
  <c r="AJ85" i="23"/>
  <c r="AY85" i="23"/>
  <c r="AQ85" i="23"/>
  <c r="AI85" i="23"/>
  <c r="AX85" i="23"/>
  <c r="AW85" i="23"/>
  <c r="AO85" i="23"/>
  <c r="BD85" i="23"/>
  <c r="AV85" i="23"/>
  <c r="AN85" i="23"/>
  <c r="AP85" i="23"/>
  <c r="AM85" i="23"/>
  <c r="AK85" i="23"/>
  <c r="BC85" i="23"/>
  <c r="BA85" i="23"/>
  <c r="AU85" i="23"/>
  <c r="AS85" i="23"/>
  <c r="AY93" i="23"/>
  <c r="AQ93" i="23"/>
  <c r="AI93" i="23"/>
  <c r="AW93" i="23"/>
  <c r="AO93" i="23"/>
  <c r="BD93" i="23"/>
  <c r="AV93" i="23"/>
  <c r="AN93" i="23"/>
  <c r="BB93" i="23"/>
  <c r="AT93" i="23"/>
  <c r="AL93" i="23"/>
  <c r="BC93" i="23"/>
  <c r="AM93" i="23"/>
  <c r="BA93" i="23"/>
  <c r="AK93" i="23"/>
  <c r="AZ93" i="23"/>
  <c r="AJ93" i="23"/>
  <c r="AX93" i="23"/>
  <c r="AU93" i="23"/>
  <c r="AS93" i="23"/>
  <c r="AR93" i="23"/>
  <c r="AP93" i="23"/>
  <c r="AY101" i="23"/>
  <c r="AQ101" i="23"/>
  <c r="AI101" i="23"/>
  <c r="AW101" i="23"/>
  <c r="AO101" i="23"/>
  <c r="BD101" i="23"/>
  <c r="AV101" i="23"/>
  <c r="AN101" i="23"/>
  <c r="BC101" i="23"/>
  <c r="AU101" i="23"/>
  <c r="AM101" i="23"/>
  <c r="BB101" i="23"/>
  <c r="AT101" i="23"/>
  <c r="AL101" i="23"/>
  <c r="AR101" i="23"/>
  <c r="AP101" i="23"/>
  <c r="AK101" i="23"/>
  <c r="AJ101" i="23"/>
  <c r="BA101" i="23"/>
  <c r="AZ101" i="23"/>
  <c r="AX101" i="23"/>
  <c r="AS101" i="23"/>
  <c r="BA109" i="23"/>
  <c r="AS109" i="23"/>
  <c r="AK109" i="23"/>
  <c r="AZ109" i="23"/>
  <c r="AR109" i="23"/>
  <c r="AJ109" i="23"/>
  <c r="AY109" i="23"/>
  <c r="AQ109" i="23"/>
  <c r="AI109" i="23"/>
  <c r="AX109" i="23"/>
  <c r="AP109" i="23"/>
  <c r="BD109" i="23"/>
  <c r="AV109" i="23"/>
  <c r="AN109" i="23"/>
  <c r="BC109" i="23"/>
  <c r="AU109" i="23"/>
  <c r="AM109" i="23"/>
  <c r="BB109" i="23"/>
  <c r="AW109" i="23"/>
  <c r="AT109" i="23"/>
  <c r="AO109" i="23"/>
  <c r="AL109" i="23"/>
  <c r="AO63" i="23"/>
  <c r="AK66" i="23"/>
  <c r="AZ62" i="23"/>
  <c r="AR62" i="23"/>
  <c r="AJ62" i="23"/>
  <c r="AY62" i="23"/>
  <c r="AQ62" i="23"/>
  <c r="AI62" i="23"/>
  <c r="AX62" i="23"/>
  <c r="AP62" i="23"/>
  <c r="AW62" i="23"/>
  <c r="AO62" i="23"/>
  <c r="BD62" i="23"/>
  <c r="AV62" i="23"/>
  <c r="AN62" i="23"/>
  <c r="BC62" i="23"/>
  <c r="AU62" i="23"/>
  <c r="AM62" i="23"/>
  <c r="BB62" i="23"/>
  <c r="AT62" i="23"/>
  <c r="AL62" i="23"/>
  <c r="BB70" i="23"/>
  <c r="AT70" i="23"/>
  <c r="AL70" i="23"/>
  <c r="AZ70" i="23"/>
  <c r="AR70" i="23"/>
  <c r="AJ70" i="23"/>
  <c r="AY70" i="23"/>
  <c r="AQ70" i="23"/>
  <c r="AI70" i="23"/>
  <c r="BD70" i="23"/>
  <c r="AV70" i="23"/>
  <c r="AN70" i="23"/>
  <c r="BA70" i="23"/>
  <c r="AK70" i="23"/>
  <c r="AX70" i="23"/>
  <c r="AW70" i="23"/>
  <c r="AU70" i="23"/>
  <c r="AS70" i="23"/>
  <c r="AP70" i="23"/>
  <c r="AO70" i="23"/>
  <c r="BB78" i="23"/>
  <c r="AT78" i="23"/>
  <c r="AL78" i="23"/>
  <c r="BA78" i="23"/>
  <c r="AS78" i="23"/>
  <c r="AK78" i="23"/>
  <c r="AZ78" i="23"/>
  <c r="AR78" i="23"/>
  <c r="AJ78" i="23"/>
  <c r="AY78" i="23"/>
  <c r="AQ78" i="23"/>
  <c r="AI78" i="23"/>
  <c r="AX78" i="23"/>
  <c r="AP78" i="23"/>
  <c r="AW78" i="23"/>
  <c r="AO78" i="23"/>
  <c r="BD78" i="23"/>
  <c r="AV78" i="23"/>
  <c r="AN78" i="23"/>
  <c r="AU78" i="23"/>
  <c r="AM78" i="23"/>
  <c r="AX86" i="23"/>
  <c r="AP86" i="23"/>
  <c r="BD86" i="23"/>
  <c r="AV86" i="23"/>
  <c r="AN86" i="23"/>
  <c r="BC86" i="23"/>
  <c r="AU86" i="23"/>
  <c r="AM86" i="23"/>
  <c r="BB86" i="23"/>
  <c r="AT86" i="23"/>
  <c r="AL86" i="23"/>
  <c r="BA86" i="23"/>
  <c r="AS86" i="23"/>
  <c r="AK86" i="23"/>
  <c r="AZ86" i="23"/>
  <c r="AR86" i="23"/>
  <c r="AJ86" i="23"/>
  <c r="AY86" i="23"/>
  <c r="R86" i="23"/>
  <c r="AW86" i="23"/>
  <c r="P86" i="23"/>
  <c r="AQ86" i="23"/>
  <c r="AO86" i="23"/>
  <c r="AI86" i="23"/>
  <c r="BC94" i="23"/>
  <c r="AU94" i="23"/>
  <c r="AM94" i="23"/>
  <c r="BA94" i="23"/>
  <c r="AS94" i="23"/>
  <c r="AK94" i="23"/>
  <c r="AZ94" i="23"/>
  <c r="AR94" i="23"/>
  <c r="AJ94" i="23"/>
  <c r="AY94" i="23"/>
  <c r="AQ94" i="23"/>
  <c r="AI94" i="23"/>
  <c r="AX94" i="23"/>
  <c r="AP94" i="23"/>
  <c r="BB94" i="23"/>
  <c r="AW94" i="23"/>
  <c r="AV94" i="23"/>
  <c r="AT94" i="23"/>
  <c r="AO94" i="23"/>
  <c r="AN94" i="23"/>
  <c r="AL94" i="23"/>
  <c r="BD94" i="23"/>
  <c r="AW102" i="23"/>
  <c r="AO102" i="23"/>
  <c r="BD102" i="23"/>
  <c r="AV102" i="23"/>
  <c r="AN102" i="23"/>
  <c r="BC102" i="23"/>
  <c r="AU102" i="23"/>
  <c r="AM102" i="23"/>
  <c r="BB102" i="23"/>
  <c r="AT102" i="23"/>
  <c r="AL102" i="23"/>
  <c r="AZ102" i="23"/>
  <c r="AR102" i="23"/>
  <c r="AJ102" i="23"/>
  <c r="AY102" i="23"/>
  <c r="AQ102" i="23"/>
  <c r="AI102" i="23"/>
  <c r="AX102" i="23"/>
  <c r="AP102" i="23"/>
  <c r="AK102" i="23"/>
  <c r="BA102" i="23"/>
  <c r="AS102" i="23"/>
  <c r="AW110" i="23"/>
  <c r="AO110" i="23"/>
  <c r="BD110" i="23"/>
  <c r="AV110" i="23"/>
  <c r="AN110" i="23"/>
  <c r="BC110" i="23"/>
  <c r="AU110" i="23"/>
  <c r="AM110" i="23"/>
  <c r="BB110" i="23"/>
  <c r="AT110" i="23"/>
  <c r="AL110" i="23"/>
  <c r="AZ110" i="23"/>
  <c r="AR110" i="23"/>
  <c r="AJ110" i="23"/>
  <c r="AY110" i="23"/>
  <c r="AQ110" i="23"/>
  <c r="AI110" i="23"/>
  <c r="AX110" i="23"/>
  <c r="AP110" i="23"/>
  <c r="AK110" i="23"/>
  <c r="BA110" i="23"/>
  <c r="AS110" i="23"/>
  <c r="AS66" i="23"/>
  <c r="AO69" i="23"/>
  <c r="BD65" i="23"/>
  <c r="AV65" i="23"/>
  <c r="AN65" i="23"/>
  <c r="BC65" i="23"/>
  <c r="AU65" i="23"/>
  <c r="AM65" i="23"/>
  <c r="BB65" i="23"/>
  <c r="AT65" i="23"/>
  <c r="AL65" i="23"/>
  <c r="BA65" i="23"/>
  <c r="AS65" i="23"/>
  <c r="AK65" i="23"/>
  <c r="AZ65" i="23"/>
  <c r="AR65" i="23"/>
  <c r="AJ65" i="23"/>
  <c r="AY65" i="23"/>
  <c r="AQ65" i="23"/>
  <c r="AI65" i="23"/>
  <c r="AX65" i="23"/>
  <c r="AP65" i="23"/>
  <c r="AY97" i="23"/>
  <c r="AQ97" i="23"/>
  <c r="AI97" i="23"/>
  <c r="AW97" i="23"/>
  <c r="AO97" i="23"/>
  <c r="BD97" i="23"/>
  <c r="AV97" i="23"/>
  <c r="AN97" i="23"/>
  <c r="BC97" i="23"/>
  <c r="AU97" i="23"/>
  <c r="AM97" i="23"/>
  <c r="BB97" i="23"/>
  <c r="AT97" i="23"/>
  <c r="AL97" i="23"/>
  <c r="AX97" i="23"/>
  <c r="AS97" i="23"/>
  <c r="AR97" i="23"/>
  <c r="AP97" i="23"/>
  <c r="AK97" i="23"/>
  <c r="AJ97" i="23"/>
  <c r="BA97" i="23"/>
  <c r="AZ97" i="23"/>
  <c r="BB74" i="23"/>
  <c r="AT74" i="23"/>
  <c r="AL74" i="23"/>
  <c r="AZ74" i="23"/>
  <c r="AR74" i="23"/>
  <c r="AJ74" i="23"/>
  <c r="AY74" i="23"/>
  <c r="AQ74" i="23"/>
  <c r="AI74" i="23"/>
  <c r="BD74" i="23"/>
  <c r="AV74" i="23"/>
  <c r="AN74" i="23"/>
  <c r="BA74" i="23"/>
  <c r="AK74" i="23"/>
  <c r="AX74" i="23"/>
  <c r="AW74" i="23"/>
  <c r="AU74" i="23"/>
  <c r="AS74" i="23"/>
  <c r="AP74" i="23"/>
  <c r="AO74" i="23"/>
  <c r="BD63" i="23"/>
  <c r="AV63" i="23"/>
  <c r="AN63" i="23"/>
  <c r="BC63" i="23"/>
  <c r="AU63" i="23"/>
  <c r="AM63" i="23"/>
  <c r="BB63" i="23"/>
  <c r="AT63" i="23"/>
  <c r="AL63" i="23"/>
  <c r="BA63" i="23"/>
  <c r="AS63" i="23"/>
  <c r="AK63" i="23"/>
  <c r="AZ63" i="23"/>
  <c r="AR63" i="23"/>
  <c r="AJ63" i="23"/>
  <c r="AY63" i="23"/>
  <c r="AQ63" i="23"/>
  <c r="AI63" i="23"/>
  <c r="AX63" i="23"/>
  <c r="AP63" i="23"/>
  <c r="AX71" i="23"/>
  <c r="AP71" i="23"/>
  <c r="BD71" i="23"/>
  <c r="AV71" i="23"/>
  <c r="AN71" i="23"/>
  <c r="BC71" i="23"/>
  <c r="AU71" i="23"/>
  <c r="AM71" i="23"/>
  <c r="AZ71" i="23"/>
  <c r="AR71" i="23"/>
  <c r="AJ71" i="23"/>
  <c r="AO71" i="23"/>
  <c r="BB71" i="23"/>
  <c r="AL71" i="23"/>
  <c r="BA71" i="23"/>
  <c r="AK71" i="23"/>
  <c r="AY71" i="23"/>
  <c r="AI71" i="23"/>
  <c r="AW71" i="23"/>
  <c r="AT71" i="23"/>
  <c r="AS71" i="23"/>
  <c r="AX79" i="23"/>
  <c r="AP79" i="23"/>
  <c r="AW79" i="23"/>
  <c r="AO79" i="23"/>
  <c r="BD79" i="23"/>
  <c r="AV79" i="23"/>
  <c r="AN79" i="23"/>
  <c r="BC79" i="23"/>
  <c r="AU79" i="23"/>
  <c r="AM79" i="23"/>
  <c r="BB79" i="23"/>
  <c r="AT79" i="23"/>
  <c r="AL79" i="23"/>
  <c r="BA79" i="23"/>
  <c r="AS79" i="23"/>
  <c r="AK79" i="23"/>
  <c r="AZ79" i="23"/>
  <c r="AR79" i="23"/>
  <c r="AJ79" i="23"/>
  <c r="AY79" i="23"/>
  <c r="AQ79" i="23"/>
  <c r="AI79" i="23"/>
  <c r="BB87" i="23"/>
  <c r="AT87" i="23"/>
  <c r="AL87" i="23"/>
  <c r="AZ87" i="23"/>
  <c r="AR87" i="23"/>
  <c r="AJ87" i="23"/>
  <c r="AY87" i="23"/>
  <c r="AQ87" i="23"/>
  <c r="AI87" i="23"/>
  <c r="R87" i="23"/>
  <c r="AX87" i="23"/>
  <c r="AP87" i="23"/>
  <c r="AW87" i="23"/>
  <c r="AO87" i="23"/>
  <c r="P87" i="23"/>
  <c r="BD87" i="23"/>
  <c r="AV87" i="23"/>
  <c r="AN87" i="23"/>
  <c r="AU87" i="23"/>
  <c r="AS87" i="23"/>
  <c r="AM87" i="23"/>
  <c r="AK87" i="23"/>
  <c r="BC87" i="23"/>
  <c r="BA87" i="23"/>
  <c r="AY95" i="23"/>
  <c r="AQ95" i="23"/>
  <c r="AI95" i="23"/>
  <c r="AW95" i="23"/>
  <c r="AO95" i="23"/>
  <c r="BD95" i="23"/>
  <c r="AV95" i="23"/>
  <c r="AN95" i="23"/>
  <c r="BC95" i="23"/>
  <c r="AU95" i="23"/>
  <c r="AM95" i="23"/>
  <c r="BB95" i="23"/>
  <c r="AT95" i="23"/>
  <c r="AL95" i="23"/>
  <c r="AZ95" i="23"/>
  <c r="AX95" i="23"/>
  <c r="AS95" i="23"/>
  <c r="AR95" i="23"/>
  <c r="AP95" i="23"/>
  <c r="AK95" i="23"/>
  <c r="AJ95" i="23"/>
  <c r="BA95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BD103" i="23"/>
  <c r="AV103" i="23"/>
  <c r="AN103" i="23"/>
  <c r="BC103" i="23"/>
  <c r="AU103" i="23"/>
  <c r="AM103" i="23"/>
  <c r="AL103" i="23"/>
  <c r="BB103" i="23"/>
  <c r="AW103" i="23"/>
  <c r="AT103" i="23"/>
  <c r="AO103" i="23"/>
  <c r="BA111" i="23"/>
  <c r="AS111" i="23"/>
  <c r="AK111" i="23"/>
  <c r="AZ111" i="23"/>
  <c r="AR111" i="23"/>
  <c r="AJ111" i="23"/>
  <c r="AY111" i="23"/>
  <c r="AQ111" i="23"/>
  <c r="AI111" i="23"/>
  <c r="AX111" i="23"/>
  <c r="AP111" i="23"/>
  <c r="BD111" i="23"/>
  <c r="AV111" i="23"/>
  <c r="AN111" i="23"/>
  <c r="BC111" i="23"/>
  <c r="AU111" i="23"/>
  <c r="AM111" i="23"/>
  <c r="AL111" i="23"/>
  <c r="BB111" i="23"/>
  <c r="AW111" i="23"/>
  <c r="AO111" i="23"/>
  <c r="AT111" i="23"/>
  <c r="AK62" i="23"/>
  <c r="BA66" i="23"/>
  <c r="AY69" i="23"/>
  <c r="AW81" i="23"/>
  <c r="AO81" i="23"/>
  <c r="P81" i="23"/>
  <c r="BD81" i="23"/>
  <c r="AV81" i="23"/>
  <c r="AN81" i="23"/>
  <c r="AU81" i="23"/>
  <c r="AK81" i="23"/>
  <c r="AT81" i="23"/>
  <c r="AJ81" i="23"/>
  <c r="BC81" i="23"/>
  <c r="AS81" i="23"/>
  <c r="AI81" i="23"/>
  <c r="BB81" i="23"/>
  <c r="AR81" i="23"/>
  <c r="BA81" i="23"/>
  <c r="AQ81" i="23"/>
  <c r="AZ81" i="23"/>
  <c r="AP81" i="23"/>
  <c r="AY81" i="23"/>
  <c r="AM81" i="23"/>
  <c r="R81" i="23"/>
  <c r="AX81" i="23"/>
  <c r="AL81" i="23"/>
  <c r="BD82" i="23"/>
  <c r="BA82" i="23"/>
  <c r="AS82" i="23"/>
  <c r="AK82" i="23"/>
  <c r="AZ82" i="23"/>
  <c r="AR82" i="23"/>
  <c r="AJ82" i="23"/>
  <c r="AU82" i="23"/>
  <c r="AI82" i="23"/>
  <c r="AT82" i="23"/>
  <c r="BC82" i="23"/>
  <c r="AQ82" i="23"/>
  <c r="BB82" i="23"/>
  <c r="AP82" i="23"/>
  <c r="AY82" i="23"/>
  <c r="AO82" i="23"/>
  <c r="R82" i="23"/>
  <c r="AX82" i="23"/>
  <c r="AN82" i="23"/>
  <c r="AW82" i="23"/>
  <c r="AM82" i="23"/>
  <c r="P82" i="23"/>
  <c r="AV82" i="23"/>
  <c r="AL82" i="23"/>
  <c r="AY73" i="23"/>
  <c r="AZ64" i="23"/>
  <c r="AR64" i="23"/>
  <c r="AJ64" i="23"/>
  <c r="AY64" i="23"/>
  <c r="AQ64" i="23"/>
  <c r="AI64" i="23"/>
  <c r="AX64" i="23"/>
  <c r="AP64" i="23"/>
  <c r="AW64" i="23"/>
  <c r="AO64" i="23"/>
  <c r="BD64" i="23"/>
  <c r="AV64" i="23"/>
  <c r="AN64" i="23"/>
  <c r="BC64" i="23"/>
  <c r="AU64" i="23"/>
  <c r="AM64" i="23"/>
  <c r="BB64" i="23"/>
  <c r="U8" i="25" s="1"/>
  <c r="AT64" i="23"/>
  <c r="AL64" i="23"/>
  <c r="BB72" i="23"/>
  <c r="AT72" i="23"/>
  <c r="AL72" i="23"/>
  <c r="AZ72" i="23"/>
  <c r="AR72" i="23"/>
  <c r="AJ72" i="23"/>
  <c r="AY72" i="23"/>
  <c r="AQ72" i="23"/>
  <c r="AI72" i="23"/>
  <c r="BD72" i="23"/>
  <c r="AV72" i="23"/>
  <c r="AN72" i="23"/>
  <c r="AS72" i="23"/>
  <c r="AP72" i="23"/>
  <c r="AO72" i="23"/>
  <c r="BC72" i="23"/>
  <c r="AM72" i="23"/>
  <c r="BA72" i="23"/>
  <c r="AK72" i="23"/>
  <c r="AX72" i="23"/>
  <c r="AW72" i="23"/>
  <c r="BA80" i="23"/>
  <c r="AS80" i="23"/>
  <c r="AZ80" i="23"/>
  <c r="AR80" i="23"/>
  <c r="AJ80" i="23"/>
  <c r="AW80" i="23"/>
  <c r="AM80" i="23"/>
  <c r="AV80" i="23"/>
  <c r="AL80" i="23"/>
  <c r="AU80" i="23"/>
  <c r="AK80" i="23"/>
  <c r="BD80" i="23"/>
  <c r="AT80" i="23"/>
  <c r="AI80" i="23"/>
  <c r="BC80" i="23"/>
  <c r="AQ80" i="23"/>
  <c r="BB80" i="23"/>
  <c r="AP80" i="23"/>
  <c r="AY80" i="23"/>
  <c r="AO80" i="23"/>
  <c r="AX80" i="23"/>
  <c r="AN80" i="23"/>
  <c r="AX88" i="23"/>
  <c r="AP88" i="23"/>
  <c r="BD88" i="23"/>
  <c r="AV88" i="23"/>
  <c r="AN88" i="23"/>
  <c r="BC88" i="23"/>
  <c r="AU88" i="23"/>
  <c r="AM88" i="23"/>
  <c r="BB88" i="23"/>
  <c r="AT88" i="23"/>
  <c r="AL88" i="23"/>
  <c r="BA88" i="23"/>
  <c r="AS88" i="23"/>
  <c r="AK88" i="23"/>
  <c r="AZ88" i="23"/>
  <c r="AR88" i="23"/>
  <c r="AJ88" i="23"/>
  <c r="AI88" i="23"/>
  <c r="AY88" i="23"/>
  <c r="R88" i="23"/>
  <c r="AW88" i="23"/>
  <c r="P88" i="23"/>
  <c r="AQ88" i="23"/>
  <c r="AO88" i="23"/>
  <c r="BC96" i="23"/>
  <c r="AU96" i="23"/>
  <c r="AM96" i="23"/>
  <c r="BA96" i="23"/>
  <c r="AS96" i="23"/>
  <c r="AK96" i="23"/>
  <c r="AZ96" i="23"/>
  <c r="AR96" i="23"/>
  <c r="AJ96" i="23"/>
  <c r="AY96" i="23"/>
  <c r="AQ96" i="23"/>
  <c r="AI96" i="23"/>
  <c r="AX96" i="23"/>
  <c r="AP96" i="23"/>
  <c r="AW96" i="23"/>
  <c r="AV96" i="23"/>
  <c r="AT96" i="23"/>
  <c r="AO96" i="23"/>
  <c r="AN96" i="23"/>
  <c r="AL96" i="23"/>
  <c r="BD96" i="23"/>
  <c r="BB96" i="23"/>
  <c r="AW104" i="23"/>
  <c r="AO104" i="23"/>
  <c r="BD104" i="23"/>
  <c r="AV104" i="23"/>
  <c r="AN104" i="23"/>
  <c r="BC104" i="23"/>
  <c r="AU104" i="23"/>
  <c r="AM104" i="23"/>
  <c r="BB104" i="23"/>
  <c r="AT104" i="23"/>
  <c r="AL104" i="23"/>
  <c r="AZ104" i="23"/>
  <c r="AR104" i="23"/>
  <c r="AJ104" i="23"/>
  <c r="AY104" i="23"/>
  <c r="AQ104" i="23"/>
  <c r="AI104" i="23"/>
  <c r="AX104" i="23"/>
  <c r="AS104" i="23"/>
  <c r="AP104" i="23"/>
  <c r="AK104" i="23"/>
  <c r="BA104" i="23"/>
  <c r="AS62" i="23"/>
  <c r="AO65" i="23"/>
  <c r="AK68" i="23"/>
  <c r="AI77" i="23"/>
  <c r="BA62" i="23"/>
  <c r="AW65" i="23"/>
  <c r="AS68" i="23"/>
  <c r="AM70" i="23"/>
  <c r="AI73" i="23"/>
  <c r="BC78" i="23"/>
  <c r="AA54" i="24"/>
  <c r="AH54" i="24"/>
  <c r="Z54" i="24"/>
  <c r="AG54" i="24"/>
  <c r="Y54" i="24"/>
  <c r="AD54" i="24"/>
  <c r="AE54" i="24"/>
  <c r="AC54" i="24"/>
  <c r="AB54" i="24"/>
  <c r="X54" i="24"/>
  <c r="AA62" i="24"/>
  <c r="AH62" i="24"/>
  <c r="Z62" i="24"/>
  <c r="AG62" i="24"/>
  <c r="Y62" i="24"/>
  <c r="AF62" i="24"/>
  <c r="X62" i="24"/>
  <c r="AD62" i="24"/>
  <c r="AE62" i="24"/>
  <c r="AC62" i="24"/>
  <c r="AB62" i="24"/>
  <c r="AA70" i="24"/>
  <c r="AH70" i="24"/>
  <c r="Z70" i="24"/>
  <c r="AG70" i="24"/>
  <c r="Y70" i="24"/>
  <c r="AF70" i="24"/>
  <c r="X70" i="24"/>
  <c r="AE70" i="24"/>
  <c r="AD70" i="24"/>
  <c r="AC70" i="24"/>
  <c r="AB70" i="24"/>
  <c r="AD78" i="24"/>
  <c r="AC78" i="24"/>
  <c r="AB78" i="24"/>
  <c r="AA78" i="24"/>
  <c r="AG78" i="24"/>
  <c r="Y78" i="24"/>
  <c r="AF78" i="24"/>
  <c r="X78" i="24"/>
  <c r="AE78" i="24"/>
  <c r="Z78" i="24"/>
  <c r="AH78" i="24"/>
  <c r="AD86" i="24"/>
  <c r="AC86" i="24"/>
  <c r="AB86" i="24"/>
  <c r="AA86" i="24"/>
  <c r="AG86" i="24"/>
  <c r="Y86" i="24"/>
  <c r="AF86" i="24"/>
  <c r="X86" i="24"/>
  <c r="AH86" i="24"/>
  <c r="AE86" i="24"/>
  <c r="Z86" i="24"/>
  <c r="AG49" i="24"/>
  <c r="K8" i="26" s="1"/>
  <c r="Y49" i="24"/>
  <c r="AF49" i="24"/>
  <c r="X49" i="24"/>
  <c r="AE49" i="24"/>
  <c r="AB49" i="24"/>
  <c r="AC49" i="24"/>
  <c r="G8" i="26" s="1"/>
  <c r="AA49" i="24"/>
  <c r="Z49" i="24"/>
  <c r="AH49" i="24"/>
  <c r="AG57" i="24"/>
  <c r="Y57" i="24"/>
  <c r="AF57" i="24"/>
  <c r="X57" i="24"/>
  <c r="AE57" i="24"/>
  <c r="AD57" i="24"/>
  <c r="AB57" i="24"/>
  <c r="AH57" i="24"/>
  <c r="AC57" i="24"/>
  <c r="AA57" i="24"/>
  <c r="Z57" i="24"/>
  <c r="AG65" i="24"/>
  <c r="Y65" i="24"/>
  <c r="AF65" i="24"/>
  <c r="X65" i="24"/>
  <c r="AE65" i="24"/>
  <c r="AD65" i="24"/>
  <c r="AC65" i="24"/>
  <c r="AB65" i="24"/>
  <c r="AH65" i="24"/>
  <c r="AA65" i="24"/>
  <c r="Z65" i="24"/>
  <c r="AB73" i="24"/>
  <c r="AA73" i="24"/>
  <c r="AH73" i="24"/>
  <c r="Z73" i="24"/>
  <c r="AG73" i="24"/>
  <c r="Y73" i="24"/>
  <c r="AD73" i="24"/>
  <c r="X73" i="24"/>
  <c r="AF73" i="24"/>
  <c r="AC73" i="24"/>
  <c r="AB81" i="24"/>
  <c r="AA81" i="24"/>
  <c r="AH81" i="24"/>
  <c r="Z81" i="24"/>
  <c r="AG81" i="24"/>
  <c r="Y81" i="24"/>
  <c r="AE81" i="24"/>
  <c r="AD81" i="24"/>
  <c r="AC81" i="24"/>
  <c r="X81" i="24"/>
  <c r="AF81" i="24"/>
  <c r="AC55" i="24"/>
  <c r="AB55" i="24"/>
  <c r="AA55" i="24"/>
  <c r="AF55" i="24"/>
  <c r="X55" i="24"/>
  <c r="AC63" i="24"/>
  <c r="AB63" i="24"/>
  <c r="AA63" i="24"/>
  <c r="AH63" i="24"/>
  <c r="Z63" i="24"/>
  <c r="AG63" i="24"/>
  <c r="Y63" i="24"/>
  <c r="AF63" i="24"/>
  <c r="X63" i="24"/>
  <c r="AC71" i="24"/>
  <c r="AB71" i="24"/>
  <c r="AA71" i="24"/>
  <c r="AH71" i="24"/>
  <c r="Z71" i="24"/>
  <c r="AG71" i="24"/>
  <c r="Y71" i="24"/>
  <c r="AF71" i="24"/>
  <c r="X71" i="24"/>
  <c r="AF79" i="24"/>
  <c r="X79" i="24"/>
  <c r="AE79" i="24"/>
  <c r="AD79" i="24"/>
  <c r="AC79" i="24"/>
  <c r="AA79" i="24"/>
  <c r="AH79" i="24"/>
  <c r="Z79" i="24"/>
  <c r="AG79" i="24"/>
  <c r="AB79" i="24"/>
  <c r="Y79" i="24"/>
  <c r="AF87" i="24"/>
  <c r="X87" i="24"/>
  <c r="AE87" i="24"/>
  <c r="AD87" i="24"/>
  <c r="AC87" i="24"/>
  <c r="AA87" i="24"/>
  <c r="AH87" i="24"/>
  <c r="Z87" i="24"/>
  <c r="Y87" i="24"/>
  <c r="AB50" i="24"/>
  <c r="AF52" i="24"/>
  <c r="Z53" i="24"/>
  <c r="AD55" i="24"/>
  <c r="AD67" i="24"/>
  <c r="Z74" i="24"/>
  <c r="AE56" i="24"/>
  <c r="AD56" i="24"/>
  <c r="AC56" i="24"/>
  <c r="AB56" i="24"/>
  <c r="AH56" i="24"/>
  <c r="Z56" i="24"/>
  <c r="AE64" i="24"/>
  <c r="AD64" i="24"/>
  <c r="AC64" i="24"/>
  <c r="AB64" i="24"/>
  <c r="AA64" i="24"/>
  <c r="AH64" i="24"/>
  <c r="Z64" i="24"/>
  <c r="AH72" i="24"/>
  <c r="AE72" i="24"/>
  <c r="AD72" i="24"/>
  <c r="AC72" i="24"/>
  <c r="AB72" i="24"/>
  <c r="AA72" i="24"/>
  <c r="Z72" i="24"/>
  <c r="AH80" i="24"/>
  <c r="Z80" i="24"/>
  <c r="AG80" i="24"/>
  <c r="Y80" i="24"/>
  <c r="AF80" i="24"/>
  <c r="X80" i="24"/>
  <c r="AE80" i="24"/>
  <c r="AC80" i="24"/>
  <c r="AB80" i="24"/>
  <c r="AD80" i="24"/>
  <c r="AC50" i="24"/>
  <c r="AG52" i="24"/>
  <c r="AA53" i="24"/>
  <c r="AE55" i="24"/>
  <c r="Y56" i="24"/>
  <c r="X60" i="24"/>
  <c r="AG64" i="24"/>
  <c r="AA80" i="24"/>
  <c r="Y51" i="24"/>
  <c r="AC53" i="24"/>
  <c r="AG55" i="24"/>
  <c r="AA56" i="24"/>
  <c r="Y59" i="24"/>
  <c r="Y60" i="24"/>
  <c r="Z61" i="24"/>
  <c r="AD63" i="24"/>
  <c r="Z69" i="24"/>
  <c r="X72" i="24"/>
  <c r="AB87" i="24"/>
  <c r="AA50" i="24"/>
  <c r="AH50" i="24"/>
  <c r="Z50" i="24"/>
  <c r="AG50" i="24"/>
  <c r="Y50" i="24"/>
  <c r="AD50" i="24"/>
  <c r="AA58" i="24"/>
  <c r="AH58" i="24"/>
  <c r="Z58" i="24"/>
  <c r="AG58" i="24"/>
  <c r="Y58" i="24"/>
  <c r="AF58" i="24"/>
  <c r="X58" i="24"/>
  <c r="AD58" i="24"/>
  <c r="AA66" i="24"/>
  <c r="AH66" i="24"/>
  <c r="Z66" i="24"/>
  <c r="AG66" i="24"/>
  <c r="Y66" i="24"/>
  <c r="AF66" i="24"/>
  <c r="X66" i="24"/>
  <c r="AE66" i="24"/>
  <c r="AD66" i="24"/>
  <c r="AD74" i="24"/>
  <c r="AC74" i="24"/>
  <c r="AB74" i="24"/>
  <c r="AA74" i="24"/>
  <c r="AG74" i="24"/>
  <c r="AF74" i="24"/>
  <c r="X74" i="24"/>
  <c r="Y74" i="24"/>
  <c r="AH74" i="24"/>
  <c r="AD82" i="24"/>
  <c r="AC82" i="24"/>
  <c r="AB82" i="24"/>
  <c r="AA82" i="24"/>
  <c r="AG82" i="24"/>
  <c r="Y82" i="24"/>
  <c r="AF82" i="24"/>
  <c r="X82" i="24"/>
  <c r="AH82" i="24"/>
  <c r="AE82" i="24"/>
  <c r="Z82" i="24"/>
  <c r="AF50" i="24"/>
  <c r="AD53" i="24"/>
  <c r="AH55" i="24"/>
  <c r="AF56" i="24"/>
  <c r="AC58" i="24"/>
  <c r="AA60" i="24"/>
  <c r="AA61" i="24"/>
  <c r="AE63" i="24"/>
  <c r="AC66" i="24"/>
  <c r="AA69" i="24"/>
  <c r="Y72" i="24"/>
  <c r="AG87" i="24"/>
  <c r="AC51" i="24"/>
  <c r="AB51" i="24"/>
  <c r="AA51" i="24"/>
  <c r="AF51" i="24"/>
  <c r="X51" i="24"/>
  <c r="AC59" i="24"/>
  <c r="AB59" i="24"/>
  <c r="AA59" i="24"/>
  <c r="AH59" i="24"/>
  <c r="Z59" i="24"/>
  <c r="AF59" i="24"/>
  <c r="X59" i="24"/>
  <c r="AC67" i="24"/>
  <c r="AB67" i="24"/>
  <c r="AA67" i="24"/>
  <c r="AH67" i="24"/>
  <c r="Z67" i="24"/>
  <c r="AG67" i="24"/>
  <c r="Y67" i="24"/>
  <c r="AF67" i="24"/>
  <c r="X67" i="24"/>
  <c r="AF75" i="24"/>
  <c r="X75" i="24"/>
  <c r="AE75" i="24"/>
  <c r="AD75" i="24"/>
  <c r="AC75" i="24"/>
  <c r="AA75" i="24"/>
  <c r="AH75" i="24"/>
  <c r="Z75" i="24"/>
  <c r="AG75" i="24"/>
  <c r="AB75" i="24"/>
  <c r="Y75" i="24"/>
  <c r="AF83" i="24"/>
  <c r="X83" i="24"/>
  <c r="AE83" i="24"/>
  <c r="AD83" i="24"/>
  <c r="AC83" i="24"/>
  <c r="AA83" i="24"/>
  <c r="AH83" i="24"/>
  <c r="Z83" i="24"/>
  <c r="AG83" i="24"/>
  <c r="AB83" i="24"/>
  <c r="AD51" i="24"/>
  <c r="AH53" i="24"/>
  <c r="AG56" i="24"/>
  <c r="AE58" i="24"/>
  <c r="AE59" i="24"/>
  <c r="AC61" i="24"/>
  <c r="AF72" i="24"/>
  <c r="X77" i="24"/>
  <c r="AE52" i="24"/>
  <c r="AD52" i="24"/>
  <c r="AC52" i="24"/>
  <c r="AH52" i="24"/>
  <c r="Z52" i="24"/>
  <c r="AE60" i="24"/>
  <c r="AD60" i="24"/>
  <c r="AC60" i="24"/>
  <c r="AB60" i="24"/>
  <c r="AH60" i="24"/>
  <c r="Z60" i="24"/>
  <c r="AE68" i="24"/>
  <c r="AD68" i="24"/>
  <c r="AC68" i="24"/>
  <c r="AB68" i="24"/>
  <c r="AA68" i="24"/>
  <c r="AH68" i="24"/>
  <c r="Z68" i="24"/>
  <c r="AH76" i="24"/>
  <c r="Z76" i="24"/>
  <c r="AG76" i="24"/>
  <c r="Y76" i="24"/>
  <c r="AF76" i="24"/>
  <c r="X76" i="24"/>
  <c r="AE76" i="24"/>
  <c r="AC76" i="24"/>
  <c r="AB76" i="24"/>
  <c r="AD76" i="24"/>
  <c r="AA76" i="24"/>
  <c r="AH84" i="24"/>
  <c r="Z84" i="24"/>
  <c r="AG84" i="24"/>
  <c r="Y84" i="24"/>
  <c r="AF84" i="24"/>
  <c r="X84" i="24"/>
  <c r="AE84" i="24"/>
  <c r="AC84" i="24"/>
  <c r="AB84" i="24"/>
  <c r="AA84" i="24"/>
  <c r="AE51" i="24"/>
  <c r="Y52" i="24"/>
  <c r="AG59" i="24"/>
  <c r="AG60" i="24"/>
  <c r="Y68" i="24"/>
  <c r="AG72" i="24"/>
  <c r="Y83" i="24"/>
  <c r="AG53" i="24"/>
  <c r="Y53" i="24"/>
  <c r="AF53" i="24"/>
  <c r="X53" i="24"/>
  <c r="AE53" i="24"/>
  <c r="AB53" i="24"/>
  <c r="AG61" i="24"/>
  <c r="Y61" i="24"/>
  <c r="AF61" i="24"/>
  <c r="X61" i="24"/>
  <c r="AE61" i="24"/>
  <c r="AD61" i="24"/>
  <c r="AB61" i="24"/>
  <c r="AG69" i="24"/>
  <c r="Y69" i="24"/>
  <c r="AF69" i="24"/>
  <c r="X69" i="24"/>
  <c r="AE69" i="24"/>
  <c r="AD69" i="24"/>
  <c r="AC69" i="24"/>
  <c r="AB69" i="24"/>
  <c r="AB77" i="24"/>
  <c r="AA77" i="24"/>
  <c r="AH77" i="24"/>
  <c r="Z77" i="24"/>
  <c r="AG77" i="24"/>
  <c r="Y77" i="24"/>
  <c r="AE77" i="24"/>
  <c r="AD77" i="24"/>
  <c r="AF77" i="24"/>
  <c r="AB85" i="24"/>
  <c r="AA85" i="24"/>
  <c r="AH85" i="24"/>
  <c r="Z85" i="24"/>
  <c r="AG85" i="24"/>
  <c r="Y85" i="24"/>
  <c r="AE85" i="24"/>
  <c r="AD85" i="24"/>
  <c r="AF85" i="24"/>
  <c r="AC85" i="24"/>
  <c r="X85" i="24"/>
  <c r="AG51" i="24"/>
  <c r="AA52" i="24"/>
  <c r="Y55" i="24"/>
  <c r="X64" i="24"/>
  <c r="AF68" i="24"/>
  <c r="AD71" i="24"/>
  <c r="AD84" i="24"/>
  <c r="C8" i="26"/>
  <c r="F8" i="26"/>
  <c r="E8" i="26"/>
  <c r="L8" i="26"/>
  <c r="I8" i="25"/>
  <c r="M8" i="25"/>
  <c r="Q8" i="25"/>
  <c r="B8" i="25"/>
  <c r="F8" i="25"/>
  <c r="N8" i="25"/>
  <c r="R8" i="25"/>
  <c r="AH3" i="21"/>
  <c r="Z4" i="21"/>
  <c r="AH4" i="21" s="1"/>
  <c r="Z8" i="21"/>
  <c r="AH8" i="21" s="1"/>
  <c r="AJ4" i="21"/>
  <c r="AJ13" i="21"/>
  <c r="AJ8" i="21"/>
  <c r="AJ3" i="21"/>
  <c r="Z6" i="21"/>
  <c r="AH6" i="21" s="1"/>
  <c r="Z13" i="21"/>
  <c r="AH13" i="21" s="1"/>
  <c r="U10" i="21"/>
  <c r="AI10" i="21" s="1"/>
  <c r="R9" i="21"/>
  <c r="U9" i="21"/>
  <c r="AI9" i="21" s="1"/>
  <c r="R10" i="21"/>
  <c r="X10" i="21" s="1"/>
  <c r="AF10" i="21" s="1"/>
  <c r="U11" i="21"/>
  <c r="AI11" i="21" s="1"/>
  <c r="U12" i="21"/>
  <c r="AI12" i="21" s="1"/>
  <c r="R11" i="21"/>
  <c r="X11" i="21" s="1"/>
  <c r="AF11" i="21" s="1"/>
  <c r="AJ6" i="16"/>
  <c r="AJ9" i="16" s="1"/>
  <c r="AJ10" i="16" s="1"/>
  <c r="AJ8" i="16"/>
  <c r="AT9" i="16"/>
  <c r="AO8" i="16"/>
  <c r="AT8" i="16"/>
  <c r="AT10" i="16" s="1"/>
  <c r="AC131" i="17"/>
  <c r="AC139" i="17"/>
  <c r="AC147" i="17"/>
  <c r="AC155" i="17"/>
  <c r="AO9" i="16"/>
  <c r="AC72" i="17"/>
  <c r="AC80" i="17"/>
  <c r="AC88" i="17"/>
  <c r="AC96" i="17"/>
  <c r="AC104" i="17"/>
  <c r="AC112" i="17"/>
  <c r="AC120" i="17"/>
  <c r="AC128" i="17"/>
  <c r="AC136" i="17"/>
  <c r="AC144" i="17"/>
  <c r="AC152" i="17"/>
  <c r="AC29" i="17"/>
  <c r="AC37" i="17"/>
  <c r="AC45" i="17"/>
  <c r="AC53" i="17"/>
  <c r="AC61" i="17"/>
  <c r="AC69" i="17"/>
  <c r="AC77" i="17"/>
  <c r="AC85" i="17"/>
  <c r="AC93" i="17"/>
  <c r="AC101" i="17"/>
  <c r="AC109" i="17"/>
  <c r="AC117" i="17"/>
  <c r="AC125" i="17"/>
  <c r="AC133" i="17"/>
  <c r="AC141" i="17"/>
  <c r="AC149" i="17"/>
  <c r="AC82" i="17"/>
  <c r="AC90" i="17"/>
  <c r="AC98" i="17"/>
  <c r="AC106" i="17"/>
  <c r="AC114" i="17"/>
  <c r="AC122" i="17"/>
  <c r="AC130" i="17"/>
  <c r="AC138" i="17"/>
  <c r="AC146" i="17"/>
  <c r="AC154" i="17"/>
  <c r="AC79" i="17"/>
  <c r="AC87" i="17"/>
  <c r="AC95" i="17"/>
  <c r="AC103" i="17"/>
  <c r="AC111" i="17"/>
  <c r="AC119" i="17"/>
  <c r="AC127" i="17"/>
  <c r="AC135" i="17"/>
  <c r="AC143" i="17"/>
  <c r="AC151" i="17"/>
  <c r="AC52" i="17"/>
  <c r="AC60" i="17"/>
  <c r="AC68" i="17"/>
  <c r="AC76" i="17"/>
  <c r="AC84" i="17"/>
  <c r="AC92" i="17"/>
  <c r="AC100" i="17"/>
  <c r="AC108" i="17"/>
  <c r="AC116" i="17"/>
  <c r="AC124" i="17"/>
  <c r="AC132" i="17"/>
  <c r="AC140" i="17"/>
  <c r="AC148" i="17"/>
  <c r="AC33" i="17"/>
  <c r="AC41" i="17"/>
  <c r="AC49" i="17"/>
  <c r="AC57" i="17"/>
  <c r="AC65" i="17"/>
  <c r="AC73" i="17"/>
  <c r="AC81" i="17"/>
  <c r="AC89" i="17"/>
  <c r="AC97" i="17"/>
  <c r="AC105" i="17"/>
  <c r="AC113" i="17"/>
  <c r="AC121" i="17"/>
  <c r="AC129" i="17"/>
  <c r="AC137" i="17"/>
  <c r="AC145" i="17"/>
  <c r="AC153" i="17"/>
  <c r="AC30" i="17"/>
  <c r="AC38" i="17"/>
  <c r="AC46" i="17"/>
  <c r="AC54" i="17"/>
  <c r="AC62" i="17"/>
  <c r="AC70" i="17"/>
  <c r="AC78" i="17"/>
  <c r="AC86" i="17"/>
  <c r="AC94" i="17"/>
  <c r="AC102" i="17"/>
  <c r="AC110" i="17"/>
  <c r="AC118" i="17"/>
  <c r="AC126" i="17"/>
  <c r="AC134" i="17"/>
  <c r="AC142" i="17"/>
  <c r="AC150" i="17"/>
  <c r="Y59" i="6"/>
  <c r="Y64" i="6" s="1"/>
  <c r="Y44" i="7" s="1"/>
  <c r="M53" i="6"/>
  <c r="M16" i="6"/>
  <c r="AD59" i="9"/>
  <c r="AD59" i="8"/>
  <c r="AD61" i="6"/>
  <c r="AD59" i="7"/>
  <c r="W47" i="13"/>
  <c r="W47" i="12"/>
  <c r="W47" i="10"/>
  <c r="W47" i="11"/>
  <c r="R58" i="8"/>
  <c r="R62" i="8" s="1"/>
  <c r="R58" i="9"/>
  <c r="R58" i="7"/>
  <c r="Y46" i="13"/>
  <c r="Y46" i="12"/>
  <c r="Y46" i="11"/>
  <c r="Y46" i="10"/>
  <c r="V60" i="9"/>
  <c r="V60" i="8"/>
  <c r="V62" i="6"/>
  <c r="AI58" i="8"/>
  <c r="AI62" i="8" s="1"/>
  <c r="AI58" i="9"/>
  <c r="AI58" i="7"/>
  <c r="Z48" i="13"/>
  <c r="Z48" i="12"/>
  <c r="Z48" i="10"/>
  <c r="Z48" i="11"/>
  <c r="AD58" i="8"/>
  <c r="AD58" i="9"/>
  <c r="AD58" i="7"/>
  <c r="AG58" i="8"/>
  <c r="AG58" i="9"/>
  <c r="AG58" i="7"/>
  <c r="Y48" i="13"/>
  <c r="Y48" i="12"/>
  <c r="Y48" i="11"/>
  <c r="Y48" i="10"/>
  <c r="Z60" i="9"/>
  <c r="Z60" i="8"/>
  <c r="Z60" i="7"/>
  <c r="Z62" i="6"/>
  <c r="AI59" i="9"/>
  <c r="AI59" i="8"/>
  <c r="AI61" i="6"/>
  <c r="AI59" i="7"/>
  <c r="W46" i="13"/>
  <c r="W46" i="12"/>
  <c r="W46" i="10"/>
  <c r="W46" i="11"/>
  <c r="AG60" i="9"/>
  <c r="AG60" i="8"/>
  <c r="AG62" i="6"/>
  <c r="AG60" i="7"/>
  <c r="AA46" i="13"/>
  <c r="AA46" i="12"/>
  <c r="AA46" i="11"/>
  <c r="AA46" i="10"/>
  <c r="AA60" i="9"/>
  <c r="AA60" i="8"/>
  <c r="AA62" i="6"/>
  <c r="AA60" i="7"/>
  <c r="AI60" i="9"/>
  <c r="AI60" i="8"/>
  <c r="AI60" i="7"/>
  <c r="AI62" i="6"/>
  <c r="D18" i="5"/>
  <c r="AB60" i="6" s="1"/>
  <c r="D28" i="5"/>
  <c r="AL60" i="6" s="1"/>
  <c r="AA47" i="13"/>
  <c r="AA47" i="12"/>
  <c r="AA47" i="10"/>
  <c r="AA47" i="11"/>
  <c r="U48" i="13"/>
  <c r="U48" i="12"/>
  <c r="U48" i="11"/>
  <c r="U48" i="10"/>
  <c r="F41" i="5"/>
  <c r="AJ58" i="8"/>
  <c r="AJ62" i="8" s="1"/>
  <c r="AJ58" i="9"/>
  <c r="AJ58" i="7"/>
  <c r="AK58" i="8"/>
  <c r="AK62" i="8" s="1"/>
  <c r="AK58" i="9"/>
  <c r="AK58" i="7"/>
  <c r="V60" i="7"/>
  <c r="AB59" i="9"/>
  <c r="AB59" i="8"/>
  <c r="AB59" i="7"/>
  <c r="AL59" i="9"/>
  <c r="AL59" i="8"/>
  <c r="AL59" i="7"/>
  <c r="AL61" i="6"/>
  <c r="AA48" i="12"/>
  <c r="AA48" i="13"/>
  <c r="AA48" i="10"/>
  <c r="AA48" i="11"/>
  <c r="W58" i="9"/>
  <c r="W58" i="8"/>
  <c r="W62" i="8" s="1"/>
  <c r="W58" i="7"/>
  <c r="AJ59" i="9"/>
  <c r="AJ59" i="8"/>
  <c r="AJ61" i="6"/>
  <c r="AJ59" i="7"/>
  <c r="Y47" i="7"/>
  <c r="Y53" i="7"/>
  <c r="Y54" i="7"/>
  <c r="Y48" i="7"/>
  <c r="Y45" i="7"/>
  <c r="Y43" i="7"/>
  <c r="Y40" i="7"/>
  <c r="Y37" i="7"/>
  <c r="Y24" i="7"/>
  <c r="Y8" i="7"/>
  <c r="Y7" i="7"/>
  <c r="Y25" i="7"/>
  <c r="AB60" i="9"/>
  <c r="AB60" i="7"/>
  <c r="AB60" i="8"/>
  <c r="AB62" i="6"/>
  <c r="AL60" i="9"/>
  <c r="AL60" i="8"/>
  <c r="AL62" i="6"/>
  <c r="R46" i="13"/>
  <c r="R46" i="12"/>
  <c r="R46" i="11"/>
  <c r="R46" i="10"/>
  <c r="AH58" i="8"/>
  <c r="AH62" i="8" s="1"/>
  <c r="AH58" i="9"/>
  <c r="AH58" i="7"/>
  <c r="AE58" i="8"/>
  <c r="AE58" i="9"/>
  <c r="AE58" i="7"/>
  <c r="Y18" i="7"/>
  <c r="Y33" i="7"/>
  <c r="P17" i="5"/>
  <c r="L58" i="8"/>
  <c r="L62" i="8" s="1"/>
  <c r="L58" i="9"/>
  <c r="L58" i="7"/>
  <c r="AH62" i="6"/>
  <c r="P58" i="8"/>
  <c r="P62" i="8" s="1"/>
  <c r="P58" i="9"/>
  <c r="P58" i="7"/>
  <c r="AC58" i="8"/>
  <c r="AC62" i="8" s="1"/>
  <c r="AC58" i="9"/>
  <c r="AC58" i="7"/>
  <c r="AF58" i="9"/>
  <c r="AF58" i="8"/>
  <c r="AF58" i="7"/>
  <c r="S58" i="9"/>
  <c r="S58" i="8"/>
  <c r="S58" i="7"/>
  <c r="M8" i="6"/>
  <c r="M58" i="8"/>
  <c r="M62" i="8" s="1"/>
  <c r="M58" i="9"/>
  <c r="M58" i="7"/>
  <c r="AJ60" i="9"/>
  <c r="AJ60" i="8"/>
  <c r="Q58" i="8"/>
  <c r="Q62" i="8" s="1"/>
  <c r="Q58" i="9"/>
  <c r="Q58" i="7"/>
  <c r="AH59" i="9"/>
  <c r="AH59" i="8"/>
  <c r="Z46" i="13"/>
  <c r="Z46" i="12"/>
  <c r="Z50" i="12" s="1"/>
  <c r="Z46" i="11"/>
  <c r="Z50" i="11" s="1"/>
  <c r="Z46" i="10"/>
  <c r="Z49" i="10" s="1"/>
  <c r="Z49" i="12" s="1"/>
  <c r="U58" i="8"/>
  <c r="U58" i="9"/>
  <c r="U58" i="7"/>
  <c r="X58" i="8"/>
  <c r="X62" i="8" s="1"/>
  <c r="X58" i="9"/>
  <c r="X58" i="7"/>
  <c r="Z58" i="8"/>
  <c r="Z62" i="8" s="1"/>
  <c r="Z58" i="9"/>
  <c r="Z58" i="7"/>
  <c r="AJ60" i="7"/>
  <c r="AD60" i="9"/>
  <c r="AD60" i="8"/>
  <c r="U60" i="9"/>
  <c r="U60" i="8"/>
  <c r="AH60" i="9"/>
  <c r="AH60" i="8"/>
  <c r="Z47" i="13"/>
  <c r="Z47" i="12"/>
  <c r="Z47" i="11"/>
  <c r="Z47" i="10"/>
  <c r="P15" i="5"/>
  <c r="O58" i="9"/>
  <c r="O58" i="8"/>
  <c r="O62" i="8" s="1"/>
  <c r="O58" i="7"/>
  <c r="AD62" i="6"/>
  <c r="AJ62" i="6"/>
  <c r="AA58" i="9"/>
  <c r="AA58" i="8"/>
  <c r="AA62" i="8" s="1"/>
  <c r="U60" i="7"/>
  <c r="R19" i="11"/>
  <c r="X45" i="11"/>
  <c r="Y45" i="11"/>
  <c r="M49" i="10"/>
  <c r="M49" i="11" s="1"/>
  <c r="L45" i="10"/>
  <c r="P45" i="10"/>
  <c r="S45" i="10"/>
  <c r="V45" i="10"/>
  <c r="Y45" i="10"/>
  <c r="P49" i="10"/>
  <c r="P49" i="11" s="1"/>
  <c r="V49" i="10"/>
  <c r="V49" i="12" s="1"/>
  <c r="O45" i="10"/>
  <c r="R45" i="10"/>
  <c r="R50" i="10" s="1"/>
  <c r="R20" i="11" s="1"/>
  <c r="U45" i="10"/>
  <c r="X45" i="10"/>
  <c r="X50" i="10" s="1"/>
  <c r="AA45" i="10"/>
  <c r="O49" i="10"/>
  <c r="O49" i="12" s="1"/>
  <c r="U49" i="10"/>
  <c r="U49" i="12" s="1"/>
  <c r="X49" i="10"/>
  <c r="N45" i="10"/>
  <c r="T45" i="10"/>
  <c r="Z45" i="10"/>
  <c r="N49" i="10"/>
  <c r="N49" i="12" s="1"/>
  <c r="T49" i="10"/>
  <c r="T49" i="11" s="1"/>
  <c r="M45" i="10"/>
  <c r="M50" i="10" s="1"/>
  <c r="M41" i="11" s="1"/>
  <c r="Q45" i="10"/>
  <c r="W45" i="10"/>
  <c r="AA55" i="9"/>
  <c r="AA51" i="9"/>
  <c r="AA47" i="9"/>
  <c r="AA52" i="9"/>
  <c r="AA48" i="9"/>
  <c r="AA53" i="9"/>
  <c r="AA49" i="9"/>
  <c r="AA45" i="9"/>
  <c r="AA54" i="9"/>
  <c r="AA50" i="9"/>
  <c r="AA46" i="9"/>
  <c r="AA43" i="9"/>
  <c r="AA37" i="9"/>
  <c r="AA32" i="9"/>
  <c r="AA28" i="9"/>
  <c r="AA24" i="9"/>
  <c r="AA44" i="9"/>
  <c r="AA38" i="9"/>
  <c r="AA33" i="9"/>
  <c r="AA29" i="9"/>
  <c r="AA25" i="9"/>
  <c r="AA39" i="9"/>
  <c r="AA34" i="9"/>
  <c r="AA30" i="9"/>
  <c r="AA26" i="9"/>
  <c r="AA40" i="9"/>
  <c r="AA35" i="9"/>
  <c r="AA41" i="9"/>
  <c r="AA31" i="9"/>
  <c r="AA27" i="9"/>
  <c r="AA42" i="9"/>
  <c r="AA36" i="9"/>
  <c r="AA21" i="9"/>
  <c r="AA22" i="9"/>
  <c r="AA15" i="9"/>
  <c r="AA11" i="9"/>
  <c r="AA7" i="9"/>
  <c r="AA16" i="9"/>
  <c r="AA12" i="9"/>
  <c r="AA8" i="9"/>
  <c r="AA18" i="9"/>
  <c r="AA23" i="9"/>
  <c r="AA19" i="9"/>
  <c r="AA13" i="9"/>
  <c r="AA9" i="9"/>
  <c r="AA5" i="9"/>
  <c r="AA20" i="9"/>
  <c r="AA17" i="9"/>
  <c r="AA14" i="9"/>
  <c r="AA10" i="9"/>
  <c r="AA6" i="9"/>
  <c r="Z55" i="9"/>
  <c r="Z51" i="9"/>
  <c r="Z47" i="9"/>
  <c r="Z43" i="9"/>
  <c r="Z52" i="9"/>
  <c r="Z48" i="9"/>
  <c r="Z44" i="9"/>
  <c r="Z40" i="9"/>
  <c r="Z36" i="9"/>
  <c r="Z53" i="9"/>
  <c r="Z49" i="9"/>
  <c r="Z45" i="9"/>
  <c r="Z41" i="9"/>
  <c r="Z54" i="9"/>
  <c r="Z50" i="9"/>
  <c r="Z46" i="9"/>
  <c r="Z42" i="9"/>
  <c r="Z38" i="9"/>
  <c r="Z37" i="9"/>
  <c r="Z32" i="9"/>
  <c r="Z33" i="9"/>
  <c r="Z29" i="9"/>
  <c r="Z25" i="9"/>
  <c r="Z21" i="9"/>
  <c r="Z17" i="9"/>
  <c r="Z39" i="9"/>
  <c r="Z34" i="9"/>
  <c r="Z30" i="9"/>
  <c r="Z26" i="9"/>
  <c r="Z35" i="9"/>
  <c r="Z31" i="9"/>
  <c r="Z27" i="9"/>
  <c r="Z23" i="9"/>
  <c r="Z19" i="9"/>
  <c r="Z14" i="9"/>
  <c r="Z10" i="9"/>
  <c r="Z6" i="9"/>
  <c r="Z24" i="9"/>
  <c r="Z28" i="9"/>
  <c r="Z22" i="9"/>
  <c r="Z15" i="9"/>
  <c r="Z11" i="9"/>
  <c r="Z7" i="9"/>
  <c r="Z16" i="9"/>
  <c r="Z12" i="9"/>
  <c r="Z8" i="9"/>
  <c r="Z18" i="9"/>
  <c r="Z13" i="9"/>
  <c r="Z9" i="9"/>
  <c r="Z5" i="9"/>
  <c r="Z20" i="9"/>
  <c r="M71" i="6"/>
  <c r="M67" i="6"/>
  <c r="AA57" i="7"/>
  <c r="AA62" i="7" s="1"/>
  <c r="Z57" i="7"/>
  <c r="Z62" i="7" s="1"/>
  <c r="AG57" i="7"/>
  <c r="AE57" i="7"/>
  <c r="M73" i="6"/>
  <c r="AF57" i="7"/>
  <c r="M68" i="6"/>
  <c r="AM61" i="7"/>
  <c r="M18" i="6"/>
  <c r="M30" i="6"/>
  <c r="M34" i="6"/>
  <c r="M38" i="6"/>
  <c r="M42" i="6"/>
  <c r="M46" i="6"/>
  <c r="M50" i="6"/>
  <c r="M54" i="6"/>
  <c r="O59" i="6"/>
  <c r="O64" i="6" s="1"/>
  <c r="O51" i="7" s="1"/>
  <c r="R59" i="6"/>
  <c r="R64" i="6" s="1"/>
  <c r="R40" i="7" s="1"/>
  <c r="M7" i="6"/>
  <c r="M26" i="6"/>
  <c r="L59" i="6"/>
  <c r="L64" i="6" s="1"/>
  <c r="L34" i="7" s="1"/>
  <c r="V59" i="6"/>
  <c r="AF59" i="6"/>
  <c r="AF64" i="6" s="1"/>
  <c r="AH59" i="6"/>
  <c r="AH64" i="6" s="1"/>
  <c r="AH42" i="7" s="1"/>
  <c r="M31" i="6"/>
  <c r="M35" i="6"/>
  <c r="M39" i="6"/>
  <c r="M43" i="6"/>
  <c r="M47" i="6"/>
  <c r="M51" i="6"/>
  <c r="M55" i="6"/>
  <c r="Q59" i="6"/>
  <c r="Q64" i="6" s="1"/>
  <c r="Q21" i="7" s="1"/>
  <c r="X59" i="6"/>
  <c r="X64" i="6" s="1"/>
  <c r="M11" i="6"/>
  <c r="M21" i="6"/>
  <c r="M27" i="6"/>
  <c r="Z59" i="6"/>
  <c r="M17" i="6"/>
  <c r="M12" i="6"/>
  <c r="M22" i="6"/>
  <c r="M32" i="6"/>
  <c r="M36" i="6"/>
  <c r="M40" i="6"/>
  <c r="M44" i="6"/>
  <c r="M48" i="6"/>
  <c r="M52" i="6"/>
  <c r="S59" i="6"/>
  <c r="S64" i="6" s="1"/>
  <c r="S47" i="7" s="1"/>
  <c r="U59" i="6"/>
  <c r="U64" i="6" s="1"/>
  <c r="U42" i="7" s="1"/>
  <c r="AC59" i="6"/>
  <c r="AC64" i="6" s="1"/>
  <c r="AC38" i="7" s="1"/>
  <c r="AE59" i="6"/>
  <c r="AE64" i="6" s="1"/>
  <c r="M25" i="6"/>
  <c r="M15" i="6"/>
  <c r="M23" i="6"/>
  <c r="M28" i="6"/>
  <c r="P59" i="6"/>
  <c r="P64" i="6" s="1"/>
  <c r="P46" i="7" s="1"/>
  <c r="W59" i="6"/>
  <c r="W64" i="6" s="1"/>
  <c r="M29" i="6"/>
  <c r="M24" i="6"/>
  <c r="M33" i="6"/>
  <c r="M37" i="6"/>
  <c r="M41" i="6"/>
  <c r="M45" i="6"/>
  <c r="M49" i="6"/>
  <c r="AA59" i="6"/>
  <c r="D37" i="5"/>
  <c r="E36" i="5"/>
  <c r="F36" i="5"/>
  <c r="T49" i="12" l="1"/>
  <c r="Y23" i="7"/>
  <c r="Y38" i="7"/>
  <c r="Y10" i="7"/>
  <c r="Y46" i="7"/>
  <c r="Y50" i="7"/>
  <c r="AI6" i="17"/>
  <c r="AI7" i="17"/>
  <c r="AI8" i="17"/>
  <c r="V8" i="25"/>
  <c r="E8" i="25"/>
  <c r="X9" i="21"/>
  <c r="AF9" i="21" s="1"/>
  <c r="AE67" i="24"/>
  <c r="X68" i="24"/>
  <c r="AG68" i="24"/>
  <c r="X52" i="24"/>
  <c r="AB52" i="24"/>
  <c r="AW63" i="23"/>
  <c r="AB58" i="24"/>
  <c r="M72" i="6"/>
  <c r="AF64" i="24"/>
  <c r="Y64" i="24"/>
  <c r="Z51" i="24"/>
  <c r="D6" i="26" s="1"/>
  <c r="AH51" i="24"/>
  <c r="J8" i="26"/>
  <c r="J8" i="25"/>
  <c r="P10" i="25"/>
  <c r="AI83" i="23"/>
  <c r="AO83" i="23"/>
  <c r="AN105" i="23"/>
  <c r="BA73" i="23"/>
  <c r="T6" i="25" s="1"/>
  <c r="AJ73" i="23"/>
  <c r="AW61" i="23"/>
  <c r="AO61" i="23"/>
  <c r="H8" i="25" s="1"/>
  <c r="M74" i="6"/>
  <c r="AF60" i="24"/>
  <c r="AB45" i="10"/>
  <c r="AB66" i="24"/>
  <c r="AI59" i="6"/>
  <c r="AI64" i="6" s="1"/>
  <c r="AH61" i="24"/>
  <c r="AE50" i="24"/>
  <c r="I8" i="26" s="1"/>
  <c r="X50" i="24"/>
  <c r="B8" i="26" s="1"/>
  <c r="X56" i="24"/>
  <c r="AD59" i="24"/>
  <c r="AD49" i="24"/>
  <c r="H8" i="26" s="1"/>
  <c r="AK64" i="23"/>
  <c r="D8" i="25" s="1"/>
  <c r="T10" i="25"/>
  <c r="K6" i="25"/>
  <c r="K10" i="25"/>
  <c r="K8" i="25"/>
  <c r="O6" i="25"/>
  <c r="O10" i="25"/>
  <c r="O8" i="25"/>
  <c r="D10" i="26"/>
  <c r="D8" i="26"/>
  <c r="I10" i="26"/>
  <c r="I6" i="26"/>
  <c r="H6" i="25"/>
  <c r="S6" i="25"/>
  <c r="S10" i="25"/>
  <c r="S8" i="25"/>
  <c r="F6" i="25"/>
  <c r="F10" i="25"/>
  <c r="W6" i="25"/>
  <c r="W10" i="25"/>
  <c r="W8" i="25"/>
  <c r="C6" i="25"/>
  <c r="C10" i="25"/>
  <c r="C8" i="25"/>
  <c r="E10" i="26"/>
  <c r="E6" i="26"/>
  <c r="B6" i="25"/>
  <c r="B10" i="25"/>
  <c r="N6" i="25"/>
  <c r="N10" i="25"/>
  <c r="B10" i="26"/>
  <c r="B6" i="26"/>
  <c r="J6" i="25"/>
  <c r="J10" i="25"/>
  <c r="E10" i="25"/>
  <c r="E6" i="25"/>
  <c r="V6" i="25"/>
  <c r="V10" i="25"/>
  <c r="G6" i="26"/>
  <c r="G10" i="26"/>
  <c r="J10" i="26"/>
  <c r="J6" i="26"/>
  <c r="R6" i="25"/>
  <c r="R10" i="25"/>
  <c r="M10" i="25"/>
  <c r="M6" i="25"/>
  <c r="T8" i="25"/>
  <c r="L6" i="26"/>
  <c r="L10" i="26"/>
  <c r="D10" i="25"/>
  <c r="D6" i="25"/>
  <c r="U10" i="25"/>
  <c r="U6" i="25"/>
  <c r="P6" i="25"/>
  <c r="K6" i="26"/>
  <c r="K10" i="26"/>
  <c r="Q10" i="25"/>
  <c r="Q6" i="25"/>
  <c r="G6" i="25"/>
  <c r="G10" i="25"/>
  <c r="G8" i="25"/>
  <c r="F10" i="26"/>
  <c r="F6" i="26"/>
  <c r="C6" i="26"/>
  <c r="C10" i="26"/>
  <c r="I10" i="25"/>
  <c r="I6" i="25"/>
  <c r="L10" i="25"/>
  <c r="L6" i="25"/>
  <c r="X12" i="21"/>
  <c r="AF12" i="21" s="1"/>
  <c r="AO10" i="16"/>
  <c r="M49" i="12"/>
  <c r="M35" i="11"/>
  <c r="Y14" i="7"/>
  <c r="Y36" i="7"/>
  <c r="Y51" i="7"/>
  <c r="Y16" i="7"/>
  <c r="Y26" i="7"/>
  <c r="Y9" i="7"/>
  <c r="M27" i="11"/>
  <c r="O38" i="7"/>
  <c r="Y13" i="7"/>
  <c r="Y20" i="7"/>
  <c r="Y39" i="7"/>
  <c r="Y34" i="7"/>
  <c r="Y19" i="7"/>
  <c r="Y42" i="7"/>
  <c r="Y6" i="7"/>
  <c r="P49" i="12"/>
  <c r="M24" i="11"/>
  <c r="M24" i="13" s="1"/>
  <c r="Y17" i="7"/>
  <c r="Y5" i="7"/>
  <c r="Y12" i="7"/>
  <c r="Y28" i="7"/>
  <c r="Y29" i="7"/>
  <c r="Y49" i="7"/>
  <c r="V49" i="11"/>
  <c r="M15" i="11"/>
  <c r="Y22" i="7"/>
  <c r="Y11" i="7"/>
  <c r="Y30" i="7"/>
  <c r="Y31" i="7"/>
  <c r="Y32" i="7"/>
  <c r="Y52" i="7"/>
  <c r="N49" i="11"/>
  <c r="R16" i="11"/>
  <c r="S16" i="11" s="1"/>
  <c r="L55" i="7"/>
  <c r="Y21" i="7"/>
  <c r="Y15" i="7"/>
  <c r="Y27" i="7"/>
  <c r="Y41" i="7"/>
  <c r="Y35" i="7"/>
  <c r="Y55" i="7"/>
  <c r="S36" i="7"/>
  <c r="M20" i="11"/>
  <c r="S35" i="7"/>
  <c r="AD38" i="7"/>
  <c r="AC38" i="9"/>
  <c r="AD38" i="9" s="1"/>
  <c r="O51" i="9"/>
  <c r="Q21" i="9"/>
  <c r="AH42" i="9"/>
  <c r="P46" i="9"/>
  <c r="L34" i="9"/>
  <c r="S20" i="11"/>
  <c r="F37" i="5"/>
  <c r="R48" i="13"/>
  <c r="R48" i="12"/>
  <c r="R48" i="10"/>
  <c r="R48" i="11"/>
  <c r="M24" i="12"/>
  <c r="P41" i="7"/>
  <c r="AC39" i="7"/>
  <c r="E37" i="5"/>
  <c r="R47" i="13"/>
  <c r="R47" i="12"/>
  <c r="R47" i="11"/>
  <c r="R50" i="11" s="1"/>
  <c r="R47" i="10"/>
  <c r="M41" i="12"/>
  <c r="M41" i="24" s="1"/>
  <c r="M85" i="24" s="1"/>
  <c r="M41" i="13"/>
  <c r="L37" i="7"/>
  <c r="AH53" i="7"/>
  <c r="S27" i="7"/>
  <c r="S26" i="7"/>
  <c r="P37" i="7"/>
  <c r="U43" i="7"/>
  <c r="AC54" i="7"/>
  <c r="AC53" i="7"/>
  <c r="R31" i="7"/>
  <c r="R28" i="7"/>
  <c r="R25" i="7"/>
  <c r="R15" i="7"/>
  <c r="R27" i="7"/>
  <c r="R30" i="7"/>
  <c r="R33" i="7"/>
  <c r="R26" i="7"/>
  <c r="R20" i="7"/>
  <c r="R16" i="7"/>
  <c r="R11" i="7"/>
  <c r="R5" i="7"/>
  <c r="R21" i="7"/>
  <c r="R14" i="7"/>
  <c r="R29" i="7"/>
  <c r="R10" i="7"/>
  <c r="R7" i="7"/>
  <c r="R22" i="7"/>
  <c r="R18" i="7"/>
  <c r="R17" i="7"/>
  <c r="R32" i="7"/>
  <c r="R23" i="7"/>
  <c r="R13" i="7"/>
  <c r="R24" i="7"/>
  <c r="R19" i="7"/>
  <c r="R9" i="7"/>
  <c r="R6" i="7"/>
  <c r="R12" i="7"/>
  <c r="R8" i="7"/>
  <c r="R38" i="7"/>
  <c r="R47" i="7"/>
  <c r="R46" i="7"/>
  <c r="R55" i="7"/>
  <c r="R54" i="7"/>
  <c r="R36" i="7"/>
  <c r="R34" i="7"/>
  <c r="R44" i="7"/>
  <c r="R45" i="7"/>
  <c r="R41" i="7"/>
  <c r="R42" i="7"/>
  <c r="R52" i="7"/>
  <c r="R53" i="7"/>
  <c r="R35" i="7"/>
  <c r="R49" i="7"/>
  <c r="R50" i="7"/>
  <c r="R43" i="7"/>
  <c r="M35" i="12"/>
  <c r="M35" i="13"/>
  <c r="AH45" i="7"/>
  <c r="P47" i="7"/>
  <c r="P54" i="7"/>
  <c r="U35" i="7"/>
  <c r="P36" i="7"/>
  <c r="AC29" i="7"/>
  <c r="AC22" i="7"/>
  <c r="AC19" i="7"/>
  <c r="AC16" i="7"/>
  <c r="AC20" i="7"/>
  <c r="AC14" i="7"/>
  <c r="AC10" i="7"/>
  <c r="AC7" i="7"/>
  <c r="AC21" i="7"/>
  <c r="AC17" i="7"/>
  <c r="AC13" i="7"/>
  <c r="AC6" i="7"/>
  <c r="AC23" i="7"/>
  <c r="AC18" i="7"/>
  <c r="AC9" i="7"/>
  <c r="AC12" i="7"/>
  <c r="AC24" i="7"/>
  <c r="AC8" i="7"/>
  <c r="AC15" i="7"/>
  <c r="AC11" i="7"/>
  <c r="AC5" i="7"/>
  <c r="AC55" i="7"/>
  <c r="AC44" i="7"/>
  <c r="AC33" i="7"/>
  <c r="AC25" i="7"/>
  <c r="AC26" i="7"/>
  <c r="AC52" i="7"/>
  <c r="AC46" i="7"/>
  <c r="AC45" i="7"/>
  <c r="AC32" i="7"/>
  <c r="AC41" i="7"/>
  <c r="AC34" i="7"/>
  <c r="AC35" i="7"/>
  <c r="AC40" i="7"/>
  <c r="AC49" i="7"/>
  <c r="AC42" i="7"/>
  <c r="AC43" i="7"/>
  <c r="AC48" i="7"/>
  <c r="AC50" i="7"/>
  <c r="AC51" i="7"/>
  <c r="AC30" i="7"/>
  <c r="AC31" i="7"/>
  <c r="X54" i="7"/>
  <c r="X50" i="7"/>
  <c r="X53" i="7"/>
  <c r="X46" i="7"/>
  <c r="X55" i="7"/>
  <c r="X52" i="7"/>
  <c r="X49" i="7"/>
  <c r="X39" i="7"/>
  <c r="X36" i="7"/>
  <c r="X33" i="7"/>
  <c r="X42" i="7"/>
  <c r="X26" i="7"/>
  <c r="X48" i="7"/>
  <c r="X47" i="7"/>
  <c r="X45" i="7"/>
  <c r="X35" i="7"/>
  <c r="X32" i="7"/>
  <c r="X29" i="7"/>
  <c r="X38" i="7"/>
  <c r="X44" i="7"/>
  <c r="X41" i="7"/>
  <c r="X31" i="7"/>
  <c r="X28" i="7"/>
  <c r="X25" i="7"/>
  <c r="X34" i="7"/>
  <c r="X51" i="7"/>
  <c r="X43" i="7"/>
  <c r="X40" i="7"/>
  <c r="X37" i="7"/>
  <c r="X27" i="7"/>
  <c r="X24" i="7"/>
  <c r="X21" i="7"/>
  <c r="X23" i="7"/>
  <c r="X18" i="7"/>
  <c r="X9" i="7"/>
  <c r="X6" i="7"/>
  <c r="X19" i="7"/>
  <c r="X12" i="7"/>
  <c r="X8" i="7"/>
  <c r="X15" i="7"/>
  <c r="X11" i="7"/>
  <c r="X5" i="7"/>
  <c r="X20" i="7"/>
  <c r="X16" i="7"/>
  <c r="X14" i="7"/>
  <c r="X30" i="7"/>
  <c r="X10" i="7"/>
  <c r="X7" i="7"/>
  <c r="X13" i="7"/>
  <c r="X22" i="7"/>
  <c r="X17" i="7"/>
  <c r="O29" i="7"/>
  <c r="O24" i="7"/>
  <c r="O21" i="7"/>
  <c r="O9" i="7"/>
  <c r="O6" i="7"/>
  <c r="O12" i="7"/>
  <c r="O20" i="7"/>
  <c r="O16" i="7"/>
  <c r="O15" i="7"/>
  <c r="O8" i="7"/>
  <c r="O11" i="7"/>
  <c r="O5" i="7"/>
  <c r="O14" i="7"/>
  <c r="O22" i="7"/>
  <c r="O17" i="7"/>
  <c r="O10" i="7"/>
  <c r="O7" i="7"/>
  <c r="O23" i="7"/>
  <c r="O18" i="7"/>
  <c r="O13" i="7"/>
  <c r="O19" i="7"/>
  <c r="O40" i="7"/>
  <c r="O41" i="7"/>
  <c r="O42" i="7"/>
  <c r="O49" i="7"/>
  <c r="O50" i="7"/>
  <c r="O27" i="7"/>
  <c r="O30" i="7"/>
  <c r="O36" i="7"/>
  <c r="O31" i="7"/>
  <c r="O48" i="7"/>
  <c r="O46" i="7"/>
  <c r="O26" i="7"/>
  <c r="O44" i="7"/>
  <c r="O28" i="7"/>
  <c r="O39" i="7"/>
  <c r="O35" i="7"/>
  <c r="O52" i="7"/>
  <c r="O37" i="7"/>
  <c r="O47" i="7"/>
  <c r="O32" i="7"/>
  <c r="O25" i="7"/>
  <c r="O43" i="7"/>
  <c r="O45" i="7"/>
  <c r="O55" i="7"/>
  <c r="Z52" i="8"/>
  <c r="Y52" i="23" s="1"/>
  <c r="Y108" i="23" s="1"/>
  <c r="Z55" i="8"/>
  <c r="Y55" i="23" s="1"/>
  <c r="Y111" i="23" s="1"/>
  <c r="Z49" i="8"/>
  <c r="Y49" i="23" s="1"/>
  <c r="Y105" i="23" s="1"/>
  <c r="Z47" i="8"/>
  <c r="Y47" i="23" s="1"/>
  <c r="Y103" i="23" s="1"/>
  <c r="Z45" i="8"/>
  <c r="Y45" i="23" s="1"/>
  <c r="Y101" i="23" s="1"/>
  <c r="Z31" i="8"/>
  <c r="Y31" i="23" s="1"/>
  <c r="Y87" i="23" s="1"/>
  <c r="Z54" i="8"/>
  <c r="Y54" i="23" s="1"/>
  <c r="Y110" i="23" s="1"/>
  <c r="Z51" i="8"/>
  <c r="Y51" i="23" s="1"/>
  <c r="Y107" i="23" s="1"/>
  <c r="Z44" i="8"/>
  <c r="Y44" i="23" s="1"/>
  <c r="Y100" i="23" s="1"/>
  <c r="Z38" i="8"/>
  <c r="Y38" i="23" s="1"/>
  <c r="Y94" i="23" s="1"/>
  <c r="Z30" i="8"/>
  <c r="Y30" i="23" s="1"/>
  <c r="Y86" i="23" s="1"/>
  <c r="Z22" i="8"/>
  <c r="Y22" i="23" s="1"/>
  <c r="Y78" i="23" s="1"/>
  <c r="Z43" i="8"/>
  <c r="Y43" i="23" s="1"/>
  <c r="Y99" i="23" s="1"/>
  <c r="Z37" i="8"/>
  <c r="Y37" i="23" s="1"/>
  <c r="Y93" i="23" s="1"/>
  <c r="Z29" i="8"/>
  <c r="Y29" i="23" s="1"/>
  <c r="Y85" i="23" s="1"/>
  <c r="Z48" i="8"/>
  <c r="Y48" i="23" s="1"/>
  <c r="Y104" i="23" s="1"/>
  <c r="Z36" i="8"/>
  <c r="Y36" i="23" s="1"/>
  <c r="Y92" i="23" s="1"/>
  <c r="Z28" i="8"/>
  <c r="Y28" i="23" s="1"/>
  <c r="Y84" i="23" s="1"/>
  <c r="Z53" i="8"/>
  <c r="Y53" i="23" s="1"/>
  <c r="Y109" i="23" s="1"/>
  <c r="Z50" i="8"/>
  <c r="Y50" i="23" s="1"/>
  <c r="Y106" i="23" s="1"/>
  <c r="Z42" i="8"/>
  <c r="Y42" i="23" s="1"/>
  <c r="Y98" i="23" s="1"/>
  <c r="Z35" i="8"/>
  <c r="Y35" i="23" s="1"/>
  <c r="Y91" i="23" s="1"/>
  <c r="Z27" i="8"/>
  <c r="Y27" i="23" s="1"/>
  <c r="Y83" i="23" s="1"/>
  <c r="Z41" i="8"/>
  <c r="Y41" i="23" s="1"/>
  <c r="Y97" i="23" s="1"/>
  <c r="Z34" i="8"/>
  <c r="Y34" i="23" s="1"/>
  <c r="Y90" i="23" s="1"/>
  <c r="Z26" i="8"/>
  <c r="Y26" i="23" s="1"/>
  <c r="Y82" i="23" s="1"/>
  <c r="Z18" i="8"/>
  <c r="Y18" i="23" s="1"/>
  <c r="Y74" i="23" s="1"/>
  <c r="Z33" i="8"/>
  <c r="Y33" i="23" s="1"/>
  <c r="Y89" i="23" s="1"/>
  <c r="Z23" i="8"/>
  <c r="Y23" i="23" s="1"/>
  <c r="Y79" i="23" s="1"/>
  <c r="Z14" i="8"/>
  <c r="Y14" i="23" s="1"/>
  <c r="Y70" i="23" s="1"/>
  <c r="Z9" i="8"/>
  <c r="Y9" i="23" s="1"/>
  <c r="Y65" i="23" s="1"/>
  <c r="Z46" i="8"/>
  <c r="Y46" i="23" s="1"/>
  <c r="Y102" i="23" s="1"/>
  <c r="Z40" i="8"/>
  <c r="Y40" i="23" s="1"/>
  <c r="Y96" i="23" s="1"/>
  <c r="Z13" i="8"/>
  <c r="Y13" i="23" s="1"/>
  <c r="Y69" i="23" s="1"/>
  <c r="Z8" i="8"/>
  <c r="Y8" i="23" s="1"/>
  <c r="Y64" i="23" s="1"/>
  <c r="Z24" i="8"/>
  <c r="Y24" i="23" s="1"/>
  <c r="Y80" i="23" s="1"/>
  <c r="Z19" i="8"/>
  <c r="Y19" i="23" s="1"/>
  <c r="Y75" i="23" s="1"/>
  <c r="Z7" i="8"/>
  <c r="Y7" i="23" s="1"/>
  <c r="Y63" i="23" s="1"/>
  <c r="Z12" i="8"/>
  <c r="Y12" i="23" s="1"/>
  <c r="Y68" i="23" s="1"/>
  <c r="Z32" i="8"/>
  <c r="Y32" i="23" s="1"/>
  <c r="Y88" i="23" s="1"/>
  <c r="Z17" i="8"/>
  <c r="Y17" i="23" s="1"/>
  <c r="Y73" i="23" s="1"/>
  <c r="Z11" i="8"/>
  <c r="Y11" i="23" s="1"/>
  <c r="Y67" i="23" s="1"/>
  <c r="Z6" i="8"/>
  <c r="Y6" i="23" s="1"/>
  <c r="Y62" i="23" s="1"/>
  <c r="Z39" i="8"/>
  <c r="Y39" i="23" s="1"/>
  <c r="Y95" i="23" s="1"/>
  <c r="Z21" i="8"/>
  <c r="Y21" i="23" s="1"/>
  <c r="Y77" i="23" s="1"/>
  <c r="Z15" i="8"/>
  <c r="Y15" i="23" s="1"/>
  <c r="Y71" i="23" s="1"/>
  <c r="Z25" i="8"/>
  <c r="Y25" i="23" s="1"/>
  <c r="Y81" i="23" s="1"/>
  <c r="Z16" i="8"/>
  <c r="Y16" i="23" s="1"/>
  <c r="Y72" i="23" s="1"/>
  <c r="Z10" i="8"/>
  <c r="Y10" i="23" s="1"/>
  <c r="Y66" i="23" s="1"/>
  <c r="Z5" i="8"/>
  <c r="Y5" i="23" s="1"/>
  <c r="Y61" i="23" s="1"/>
  <c r="Z20" i="8"/>
  <c r="Y20" i="23" s="1"/>
  <c r="Y76" i="23" s="1"/>
  <c r="R40" i="9"/>
  <c r="L55" i="9"/>
  <c r="O38" i="9"/>
  <c r="M27" i="12"/>
  <c r="AC36" i="7"/>
  <c r="O53" i="7"/>
  <c r="R39" i="7"/>
  <c r="S19" i="11"/>
  <c r="D30" i="5"/>
  <c r="D35" i="5" s="1"/>
  <c r="S46" i="13"/>
  <c r="S46" i="12"/>
  <c r="S46" i="11"/>
  <c r="S46" i="10"/>
  <c r="U24" i="7"/>
  <c r="U21" i="7"/>
  <c r="U29" i="7"/>
  <c r="U22" i="7"/>
  <c r="U10" i="7"/>
  <c r="U7" i="7"/>
  <c r="U17" i="7"/>
  <c r="U23" i="7"/>
  <c r="U18" i="7"/>
  <c r="U13" i="7"/>
  <c r="U9" i="7"/>
  <c r="U6" i="7"/>
  <c r="U19" i="7"/>
  <c r="U12" i="7"/>
  <c r="U8" i="7"/>
  <c r="U20" i="7"/>
  <c r="U15" i="7"/>
  <c r="U11" i="7"/>
  <c r="U5" i="7"/>
  <c r="U16" i="7"/>
  <c r="U14" i="7"/>
  <c r="U44" i="7"/>
  <c r="U50" i="7"/>
  <c r="U51" i="7"/>
  <c r="U32" i="7"/>
  <c r="U25" i="7"/>
  <c r="U40" i="7"/>
  <c r="U41" i="7"/>
  <c r="U37" i="7"/>
  <c r="U30" i="7"/>
  <c r="U48" i="7"/>
  <c r="U27" i="7"/>
  <c r="U45" i="7"/>
  <c r="U38" i="7"/>
  <c r="U39" i="7"/>
  <c r="U36" i="7"/>
  <c r="U53" i="7"/>
  <c r="U46" i="7"/>
  <c r="U47" i="7"/>
  <c r="U49" i="7"/>
  <c r="U26" i="7"/>
  <c r="U52" i="7"/>
  <c r="U54" i="7"/>
  <c r="U55" i="7"/>
  <c r="Q32" i="7"/>
  <c r="Q31" i="7"/>
  <c r="Q28" i="7"/>
  <c r="Q25" i="7"/>
  <c r="Q27" i="7"/>
  <c r="Q30" i="7"/>
  <c r="Q33" i="7"/>
  <c r="Q20" i="7"/>
  <c r="Q17" i="7"/>
  <c r="Q26" i="7"/>
  <c r="Q8" i="7"/>
  <c r="Q5" i="7"/>
  <c r="Q14" i="7"/>
  <c r="Q10" i="7"/>
  <c r="Q18" i="7"/>
  <c r="Q13" i="7"/>
  <c r="Q19" i="7"/>
  <c r="Q9" i="7"/>
  <c r="Q6" i="7"/>
  <c r="Q12" i="7"/>
  <c r="Q16" i="7"/>
  <c r="Q23" i="7"/>
  <c r="Q34" i="7"/>
  <c r="Q51" i="7"/>
  <c r="Q15" i="7"/>
  <c r="Q39" i="7"/>
  <c r="Q40" i="7"/>
  <c r="Q50" i="7"/>
  <c r="Q11" i="7"/>
  <c r="Q22" i="7"/>
  <c r="Q47" i="7"/>
  <c r="Q48" i="7"/>
  <c r="Q29" i="7"/>
  <c r="Q24" i="7"/>
  <c r="Q42" i="7"/>
  <c r="Q38" i="7"/>
  <c r="Q55" i="7"/>
  <c r="Q41" i="7"/>
  <c r="Q35" i="7"/>
  <c r="Q7" i="7"/>
  <c r="Q37" i="7"/>
  <c r="Q46" i="7"/>
  <c r="Q49" i="7"/>
  <c r="Q36" i="7"/>
  <c r="Q45" i="7"/>
  <c r="Q54" i="7"/>
  <c r="AH17" i="7"/>
  <c r="AH29" i="7"/>
  <c r="AH18" i="7"/>
  <c r="AH15" i="7"/>
  <c r="AH21" i="7"/>
  <c r="AH16" i="7"/>
  <c r="AH13" i="7"/>
  <c r="AH22" i="7"/>
  <c r="AH9" i="7"/>
  <c r="AH6" i="7"/>
  <c r="AH23" i="7"/>
  <c r="AH12" i="7"/>
  <c r="AH24" i="7"/>
  <c r="AH8" i="7"/>
  <c r="AH5" i="7"/>
  <c r="AH19" i="7"/>
  <c r="AH11" i="7"/>
  <c r="AH20" i="7"/>
  <c r="AH14" i="7"/>
  <c r="AH7" i="7"/>
  <c r="AH10" i="7"/>
  <c r="AH55" i="7"/>
  <c r="AH32" i="7"/>
  <c r="AH50" i="7"/>
  <c r="AH31" i="7"/>
  <c r="AH40" i="7"/>
  <c r="AH33" i="7"/>
  <c r="AH39" i="7"/>
  <c r="AH48" i="7"/>
  <c r="AH41" i="7"/>
  <c r="AH30" i="7"/>
  <c r="AH49" i="7"/>
  <c r="AH38" i="7"/>
  <c r="AH47" i="7"/>
  <c r="AH52" i="7"/>
  <c r="AH26" i="7"/>
  <c r="AH46" i="7"/>
  <c r="AH25" i="7"/>
  <c r="AH35" i="7"/>
  <c r="AH27" i="7"/>
  <c r="AH28" i="7"/>
  <c r="AH54" i="7"/>
  <c r="M20" i="12"/>
  <c r="M20" i="13"/>
  <c r="AC27" i="7"/>
  <c r="AH44" i="7"/>
  <c r="AH51" i="7"/>
  <c r="L42" i="7"/>
  <c r="AH34" i="7"/>
  <c r="Q53" i="7"/>
  <c r="U34" i="7"/>
  <c r="AC28" i="7"/>
  <c r="P26" i="7"/>
  <c r="P32" i="7"/>
  <c r="P29" i="7"/>
  <c r="P19" i="7"/>
  <c r="P16" i="7"/>
  <c r="P31" i="7"/>
  <c r="P28" i="7"/>
  <c r="P27" i="7"/>
  <c r="P30" i="7"/>
  <c r="P33" i="7"/>
  <c r="P25" i="7"/>
  <c r="P12" i="7"/>
  <c r="P20" i="7"/>
  <c r="P15" i="7"/>
  <c r="P8" i="7"/>
  <c r="P11" i="7"/>
  <c r="P5" i="7"/>
  <c r="P21" i="7"/>
  <c r="P14" i="7"/>
  <c r="P22" i="7"/>
  <c r="P17" i="7"/>
  <c r="P10" i="7"/>
  <c r="P7" i="7"/>
  <c r="P23" i="7"/>
  <c r="P18" i="7"/>
  <c r="P13" i="7"/>
  <c r="P6" i="7"/>
  <c r="P9" i="7"/>
  <c r="P24" i="7"/>
  <c r="P45" i="7"/>
  <c r="P55" i="7"/>
  <c r="P40" i="7"/>
  <c r="P53" i="7"/>
  <c r="P48" i="7"/>
  <c r="P39" i="7"/>
  <c r="P35" i="7"/>
  <c r="P44" i="7"/>
  <c r="P50" i="7"/>
  <c r="P43" i="7"/>
  <c r="P52" i="7"/>
  <c r="P42" i="7"/>
  <c r="P51" i="7"/>
  <c r="P38" i="7"/>
  <c r="S18" i="7"/>
  <c r="S29" i="7"/>
  <c r="S19" i="7"/>
  <c r="S16" i="7"/>
  <c r="S21" i="7"/>
  <c r="S14" i="7"/>
  <c r="S10" i="7"/>
  <c r="S7" i="7"/>
  <c r="S22" i="7"/>
  <c r="S17" i="7"/>
  <c r="S23" i="7"/>
  <c r="S13" i="7"/>
  <c r="S24" i="7"/>
  <c r="S9" i="7"/>
  <c r="S6" i="7"/>
  <c r="S12" i="7"/>
  <c r="S8" i="7"/>
  <c r="S38" i="7"/>
  <c r="S20" i="7"/>
  <c r="S5" i="7"/>
  <c r="S25" i="7"/>
  <c r="S11" i="7"/>
  <c r="S15" i="7"/>
  <c r="S39" i="7"/>
  <c r="S34" i="7"/>
  <c r="S43" i="7"/>
  <c r="S44" i="7"/>
  <c r="S37" i="7"/>
  <c r="S42" i="7"/>
  <c r="S51" i="7"/>
  <c r="S52" i="7"/>
  <c r="S45" i="7"/>
  <c r="S55" i="7"/>
  <c r="S33" i="7"/>
  <c r="S50" i="7"/>
  <c r="S53" i="7"/>
  <c r="S32" i="7"/>
  <c r="S41" i="7"/>
  <c r="S40" i="7"/>
  <c r="S49" i="7"/>
  <c r="S31" i="7"/>
  <c r="S48" i="7"/>
  <c r="S30" i="7"/>
  <c r="S54" i="7"/>
  <c r="S28" i="7"/>
  <c r="AH36" i="7"/>
  <c r="AH43" i="7"/>
  <c r="O34" i="7"/>
  <c r="Q52" i="7"/>
  <c r="R37" i="7"/>
  <c r="AH37" i="7"/>
  <c r="U28" i="7"/>
  <c r="U33" i="7"/>
  <c r="Q43" i="7"/>
  <c r="W51" i="7"/>
  <c r="W48" i="7"/>
  <c r="W47" i="7"/>
  <c r="W50" i="7"/>
  <c r="W53" i="7"/>
  <c r="W46" i="7"/>
  <c r="W55" i="7"/>
  <c r="W49" i="7"/>
  <c r="W30" i="7"/>
  <c r="W39" i="7"/>
  <c r="W36" i="7"/>
  <c r="W33" i="7"/>
  <c r="W23" i="7"/>
  <c r="W20" i="7"/>
  <c r="W17" i="7"/>
  <c r="W54" i="7"/>
  <c r="W42" i="7"/>
  <c r="W26" i="7"/>
  <c r="W45" i="7"/>
  <c r="W35" i="7"/>
  <c r="W32" i="7"/>
  <c r="W29" i="7"/>
  <c r="W52" i="7"/>
  <c r="W38" i="7"/>
  <c r="W44" i="7"/>
  <c r="W41" i="7"/>
  <c r="W31" i="7"/>
  <c r="W28" i="7"/>
  <c r="W25" i="7"/>
  <c r="W34" i="7"/>
  <c r="W18" i="7"/>
  <c r="W22" i="7"/>
  <c r="W13" i="7"/>
  <c r="W9" i="7"/>
  <c r="W6" i="7"/>
  <c r="W24" i="7"/>
  <c r="W19" i="7"/>
  <c r="W12" i="7"/>
  <c r="W27" i="7"/>
  <c r="W8" i="7"/>
  <c r="W40" i="7"/>
  <c r="W37" i="7"/>
  <c r="W15" i="7"/>
  <c r="W11" i="7"/>
  <c r="W5" i="7"/>
  <c r="W43" i="7"/>
  <c r="W16" i="7"/>
  <c r="W14" i="7"/>
  <c r="W21" i="7"/>
  <c r="W10" i="7"/>
  <c r="W7" i="7"/>
  <c r="AA51" i="8"/>
  <c r="Z51" i="23" s="1"/>
  <c r="Z107" i="23" s="1"/>
  <c r="AA50" i="8"/>
  <c r="Z50" i="23" s="1"/>
  <c r="Z106" i="23" s="1"/>
  <c r="AA54" i="8"/>
  <c r="Z54" i="23" s="1"/>
  <c r="Z110" i="23" s="1"/>
  <c r="AA44" i="8"/>
  <c r="Z44" i="23" s="1"/>
  <c r="Z100" i="23" s="1"/>
  <c r="AA38" i="8"/>
  <c r="Z38" i="23" s="1"/>
  <c r="Z94" i="23" s="1"/>
  <c r="AA30" i="8"/>
  <c r="Z30" i="23" s="1"/>
  <c r="Z86" i="23" s="1"/>
  <c r="AA43" i="8"/>
  <c r="Z43" i="23" s="1"/>
  <c r="Z99" i="23" s="1"/>
  <c r="AA37" i="8"/>
  <c r="Z37" i="23" s="1"/>
  <c r="Z93" i="23" s="1"/>
  <c r="AA29" i="8"/>
  <c r="Z29" i="23" s="1"/>
  <c r="Z85" i="23" s="1"/>
  <c r="AA21" i="8"/>
  <c r="Z21" i="23" s="1"/>
  <c r="Z77" i="23" s="1"/>
  <c r="AA48" i="8"/>
  <c r="Z48" i="23" s="1"/>
  <c r="Z104" i="23" s="1"/>
  <c r="AA36" i="8"/>
  <c r="Z36" i="23" s="1"/>
  <c r="Z92" i="23" s="1"/>
  <c r="AA28" i="8"/>
  <c r="Z28" i="23" s="1"/>
  <c r="Z84" i="23" s="1"/>
  <c r="AA53" i="8"/>
  <c r="Z53" i="23" s="1"/>
  <c r="Z109" i="23" s="1"/>
  <c r="AA42" i="8"/>
  <c r="Z42" i="23" s="1"/>
  <c r="Z98" i="23" s="1"/>
  <c r="AA35" i="8"/>
  <c r="Z35" i="23" s="1"/>
  <c r="Z91" i="23" s="1"/>
  <c r="AA41" i="8"/>
  <c r="Z41" i="23" s="1"/>
  <c r="Z97" i="23" s="1"/>
  <c r="AA34" i="8"/>
  <c r="Z34" i="23" s="1"/>
  <c r="Z90" i="23" s="1"/>
  <c r="AA55" i="8"/>
  <c r="Z55" i="23" s="1"/>
  <c r="Z111" i="23" s="1"/>
  <c r="AA40" i="8"/>
  <c r="Z40" i="23" s="1"/>
  <c r="Z96" i="23" s="1"/>
  <c r="AA33" i="8"/>
  <c r="Z33" i="23" s="1"/>
  <c r="Z89" i="23" s="1"/>
  <c r="AA25" i="8"/>
  <c r="Z25" i="23" s="1"/>
  <c r="Z81" i="23" s="1"/>
  <c r="AA46" i="8"/>
  <c r="Z46" i="23" s="1"/>
  <c r="Z102" i="23" s="1"/>
  <c r="AA31" i="8"/>
  <c r="Z31" i="23" s="1"/>
  <c r="Z87" i="23" s="1"/>
  <c r="AA27" i="8"/>
  <c r="Z27" i="23" s="1"/>
  <c r="Z83" i="23" s="1"/>
  <c r="AA26" i="8"/>
  <c r="Z26" i="23" s="1"/>
  <c r="Z82" i="23" s="1"/>
  <c r="AA24" i="8"/>
  <c r="Z24" i="23" s="1"/>
  <c r="Z80" i="23" s="1"/>
  <c r="AA19" i="8"/>
  <c r="Z19" i="23" s="1"/>
  <c r="Z75" i="23" s="1"/>
  <c r="AA7" i="8"/>
  <c r="Z7" i="23" s="1"/>
  <c r="Z63" i="23" s="1"/>
  <c r="AA12" i="8"/>
  <c r="Z12" i="23" s="1"/>
  <c r="Z68" i="23" s="1"/>
  <c r="AA32" i="8"/>
  <c r="Z32" i="23" s="1"/>
  <c r="Z88" i="23" s="1"/>
  <c r="AA22" i="8"/>
  <c r="Z22" i="23" s="1"/>
  <c r="Z78" i="23" s="1"/>
  <c r="AA17" i="8"/>
  <c r="Z17" i="23" s="1"/>
  <c r="Z73" i="23" s="1"/>
  <c r="AA11" i="8"/>
  <c r="Z11" i="23" s="1"/>
  <c r="Z67" i="23" s="1"/>
  <c r="AA6" i="8"/>
  <c r="Z6" i="23" s="1"/>
  <c r="Z62" i="23" s="1"/>
  <c r="AA47" i="8"/>
  <c r="Z47" i="23" s="1"/>
  <c r="Z103" i="23" s="1"/>
  <c r="AA45" i="8"/>
  <c r="Z45" i="23" s="1"/>
  <c r="Z101" i="23" s="1"/>
  <c r="AA20" i="8"/>
  <c r="Z20" i="23" s="1"/>
  <c r="Z76" i="23" s="1"/>
  <c r="AA16" i="8"/>
  <c r="Z16" i="23" s="1"/>
  <c r="Z72" i="23" s="1"/>
  <c r="AA5" i="8"/>
  <c r="Z5" i="23" s="1"/>
  <c r="Z61" i="23" s="1"/>
  <c r="P11" i="25" s="1"/>
  <c r="AA39" i="8"/>
  <c r="Z39" i="23" s="1"/>
  <c r="Z95" i="23" s="1"/>
  <c r="AA15" i="8"/>
  <c r="Z15" i="23" s="1"/>
  <c r="Z71" i="23" s="1"/>
  <c r="AA9" i="8"/>
  <c r="Z9" i="23" s="1"/>
  <c r="Z65" i="23" s="1"/>
  <c r="AA23" i="8"/>
  <c r="Z23" i="23" s="1"/>
  <c r="Z79" i="23" s="1"/>
  <c r="AA10" i="8"/>
  <c r="Z10" i="23" s="1"/>
  <c r="Z66" i="23" s="1"/>
  <c r="AA52" i="8"/>
  <c r="Z52" i="23" s="1"/>
  <c r="Z108" i="23" s="1"/>
  <c r="AA49" i="8"/>
  <c r="Z49" i="23" s="1"/>
  <c r="Z105" i="23" s="1"/>
  <c r="AA13" i="8"/>
  <c r="Z13" i="23" s="1"/>
  <c r="Z69" i="23" s="1"/>
  <c r="AA14" i="8"/>
  <c r="Z14" i="23" s="1"/>
  <c r="Z70" i="23" s="1"/>
  <c r="AA18" i="8"/>
  <c r="Z18" i="23" s="1"/>
  <c r="Z74" i="23" s="1"/>
  <c r="AA8" i="8"/>
  <c r="Z8" i="23" s="1"/>
  <c r="Z64" i="23" s="1"/>
  <c r="P9" i="25" s="1"/>
  <c r="R11" i="11"/>
  <c r="R6" i="11"/>
  <c r="R17" i="11"/>
  <c r="R9" i="11"/>
  <c r="R12" i="11"/>
  <c r="R7" i="11"/>
  <c r="R10" i="11"/>
  <c r="R32" i="11"/>
  <c r="R24" i="11"/>
  <c r="R8" i="11"/>
  <c r="R29" i="11"/>
  <c r="R5" i="11"/>
  <c r="R13" i="11"/>
  <c r="R21" i="11"/>
  <c r="R25" i="11"/>
  <c r="R15" i="11"/>
  <c r="R27" i="11"/>
  <c r="R28" i="11"/>
  <c r="R37" i="11"/>
  <c r="R33" i="11"/>
  <c r="R40" i="11"/>
  <c r="R35" i="11"/>
  <c r="R36" i="11"/>
  <c r="R41" i="11"/>
  <c r="R43" i="11"/>
  <c r="R22" i="11"/>
  <c r="R18" i="11"/>
  <c r="R30" i="11"/>
  <c r="R14" i="11"/>
  <c r="R39" i="11"/>
  <c r="R26" i="11"/>
  <c r="R38" i="11"/>
  <c r="R23" i="11"/>
  <c r="R42" i="11"/>
  <c r="S46" i="7"/>
  <c r="R51" i="7"/>
  <c r="L48" i="7"/>
  <c r="Q44" i="7"/>
  <c r="P34" i="7"/>
  <c r="U31" i="7"/>
  <c r="AC37" i="7"/>
  <c r="L27" i="7"/>
  <c r="L30" i="7"/>
  <c r="L33" i="7"/>
  <c r="L26" i="7"/>
  <c r="L32" i="7"/>
  <c r="L31" i="7"/>
  <c r="L28" i="7"/>
  <c r="L25" i="7"/>
  <c r="L19" i="7"/>
  <c r="L13" i="7"/>
  <c r="L9" i="7"/>
  <c r="L6" i="7"/>
  <c r="L20" i="7"/>
  <c r="L12" i="7"/>
  <c r="L8" i="7"/>
  <c r="L5" i="7"/>
  <c r="L17" i="7"/>
  <c r="L14" i="7"/>
  <c r="L10" i="7"/>
  <c r="L18" i="7"/>
  <c r="L23" i="7"/>
  <c r="L7" i="7"/>
  <c r="L54" i="7"/>
  <c r="L29" i="7"/>
  <c r="L50" i="7"/>
  <c r="L35" i="7"/>
  <c r="L45" i="7"/>
  <c r="L22" i="7"/>
  <c r="L15" i="7"/>
  <c r="L16" i="7"/>
  <c r="L21" i="7"/>
  <c r="L41" i="7"/>
  <c r="L43" i="7"/>
  <c r="L53" i="7"/>
  <c r="L49" i="7"/>
  <c r="L51" i="7"/>
  <c r="L36" i="7"/>
  <c r="L46" i="7"/>
  <c r="L24" i="7"/>
  <c r="L39" i="7"/>
  <c r="L44" i="7"/>
  <c r="L11" i="7"/>
  <c r="L47" i="7"/>
  <c r="L40" i="7"/>
  <c r="L52" i="7"/>
  <c r="R31" i="11"/>
  <c r="R34" i="11"/>
  <c r="P49" i="7"/>
  <c r="O54" i="7"/>
  <c r="R48" i="7"/>
  <c r="AC47" i="7"/>
  <c r="O33" i="7"/>
  <c r="L38" i="7"/>
  <c r="AA57" i="9"/>
  <c r="M38" i="11"/>
  <c r="M37" i="11"/>
  <c r="U49" i="11"/>
  <c r="M19" i="11"/>
  <c r="W48" i="13"/>
  <c r="W48" i="12"/>
  <c r="W48" i="10"/>
  <c r="W48" i="11"/>
  <c r="O49" i="11"/>
  <c r="M39" i="11"/>
  <c r="M42" i="11"/>
  <c r="AL58" i="8"/>
  <c r="AL58" i="9"/>
  <c r="AL58" i="7"/>
  <c r="M12" i="11"/>
  <c r="M7" i="11"/>
  <c r="M10" i="11"/>
  <c r="M5" i="11"/>
  <c r="M8" i="11"/>
  <c r="M11" i="11"/>
  <c r="M17" i="11"/>
  <c r="M9" i="11"/>
  <c r="M30" i="11"/>
  <c r="M22" i="11"/>
  <c r="M14" i="11"/>
  <c r="M6" i="11"/>
  <c r="M31" i="11"/>
  <c r="M34" i="11"/>
  <c r="M33" i="11"/>
  <c r="R50" i="12"/>
  <c r="R49" i="12" s="1"/>
  <c r="AB58" i="8"/>
  <c r="AB58" i="9"/>
  <c r="AB58" i="7"/>
  <c r="M23" i="11"/>
  <c r="M26" i="11"/>
  <c r="M25" i="11"/>
  <c r="M43" i="11"/>
  <c r="M13" i="11"/>
  <c r="M29" i="11"/>
  <c r="M36" i="11"/>
  <c r="M18" i="11"/>
  <c r="M16" i="11"/>
  <c r="Z49" i="11"/>
  <c r="M40" i="11"/>
  <c r="M21" i="11"/>
  <c r="M28" i="11"/>
  <c r="M32" i="11"/>
  <c r="U62" i="8"/>
  <c r="U18" i="9" s="1"/>
  <c r="V50" i="10"/>
  <c r="Z50" i="10"/>
  <c r="U50" i="10"/>
  <c r="P50" i="10"/>
  <c r="T50" i="10"/>
  <c r="N50" i="10"/>
  <c r="O50" i="10"/>
  <c r="Z57" i="9"/>
  <c r="M69" i="6"/>
  <c r="M75" i="6" s="1"/>
  <c r="Y60" i="6"/>
  <c r="V60" i="6"/>
  <c r="M59" i="6"/>
  <c r="M64" i="6" s="1"/>
  <c r="M25" i="7" s="1"/>
  <c r="O7" i="25" l="1"/>
  <c r="P7" i="25"/>
  <c r="AI10" i="7"/>
  <c r="AI13" i="7"/>
  <c r="AI27" i="7"/>
  <c r="AI16" i="7"/>
  <c r="AI53" i="7"/>
  <c r="AI23" i="7"/>
  <c r="AI47" i="7"/>
  <c r="AI26" i="7"/>
  <c r="AI32" i="7"/>
  <c r="AI37" i="7"/>
  <c r="AI8" i="7"/>
  <c r="AI18" i="7"/>
  <c r="AI17" i="7"/>
  <c r="AI48" i="7"/>
  <c r="AI20" i="7"/>
  <c r="AI44" i="7"/>
  <c r="AI14" i="7"/>
  <c r="AI6" i="7"/>
  <c r="AI50" i="7"/>
  <c r="AI55" i="7"/>
  <c r="AI34" i="7"/>
  <c r="AI15" i="7"/>
  <c r="AI9" i="7"/>
  <c r="AI46" i="7"/>
  <c r="AI45" i="7"/>
  <c r="AI31" i="7"/>
  <c r="AI12" i="7"/>
  <c r="AI22" i="7"/>
  <c r="AI49" i="7"/>
  <c r="AI29" i="7"/>
  <c r="AI28" i="7"/>
  <c r="AI5" i="7"/>
  <c r="AI30" i="7"/>
  <c r="AI40" i="7"/>
  <c r="AI33" i="7"/>
  <c r="AI38" i="7"/>
  <c r="AI52" i="7"/>
  <c r="AI24" i="7"/>
  <c r="AI43" i="7"/>
  <c r="AI42" i="7"/>
  <c r="AI35" i="7"/>
  <c r="AI21" i="7"/>
  <c r="AI11" i="7"/>
  <c r="AI54" i="7"/>
  <c r="AI39" i="7"/>
  <c r="AI41" i="7"/>
  <c r="AI19" i="7"/>
  <c r="AI51" i="7"/>
  <c r="AI36" i="7"/>
  <c r="AI25" i="7"/>
  <c r="AI7" i="7"/>
  <c r="M27" i="13"/>
  <c r="M27" i="24" s="1"/>
  <c r="M71" i="24" s="1"/>
  <c r="H10" i="26"/>
  <c r="M10" i="26" s="1"/>
  <c r="O11" i="25"/>
  <c r="P8" i="25"/>
  <c r="X8" i="25" s="1"/>
  <c r="H6" i="26"/>
  <c r="M6" i="26" s="1"/>
  <c r="AC19" i="9"/>
  <c r="AD19" i="9" s="1"/>
  <c r="M20" i="24"/>
  <c r="M64" i="24" s="1"/>
  <c r="H10" i="25"/>
  <c r="X10" i="25" s="1"/>
  <c r="M24" i="24"/>
  <c r="M68" i="24" s="1"/>
  <c r="O9" i="25"/>
  <c r="M35" i="24"/>
  <c r="M79" i="24" s="1"/>
  <c r="M8" i="26"/>
  <c r="X6" i="25"/>
  <c r="M41" i="7"/>
  <c r="Y57" i="7"/>
  <c r="Y62" i="7" s="1"/>
  <c r="M52" i="7"/>
  <c r="M15" i="12"/>
  <c r="M15" i="24" s="1"/>
  <c r="M59" i="24" s="1"/>
  <c r="M15" i="13"/>
  <c r="R49" i="11"/>
  <c r="R20" i="12"/>
  <c r="R16" i="12"/>
  <c r="S16" i="12" s="1"/>
  <c r="R19" i="12"/>
  <c r="M25" i="9"/>
  <c r="D46" i="5"/>
  <c r="Q46" i="13"/>
  <c r="Q46" i="12"/>
  <c r="Q46" i="11"/>
  <c r="Q46" i="10"/>
  <c r="L23" i="9"/>
  <c r="R43" i="12"/>
  <c r="S43" i="12" s="1"/>
  <c r="S43" i="11"/>
  <c r="R43" i="13"/>
  <c r="S43" i="13" s="1"/>
  <c r="W29" i="9"/>
  <c r="P10" i="9"/>
  <c r="AH28" i="9"/>
  <c r="AH17" i="9"/>
  <c r="U36" i="9"/>
  <c r="U22" i="9"/>
  <c r="O48" i="9"/>
  <c r="X20" i="9"/>
  <c r="X53" i="9"/>
  <c r="AD18" i="7"/>
  <c r="AC18" i="9"/>
  <c r="AD18" i="9" s="1"/>
  <c r="R41" i="9"/>
  <c r="R13" i="9"/>
  <c r="M11" i="7"/>
  <c r="M34" i="7"/>
  <c r="M12" i="12"/>
  <c r="M12" i="24" s="1"/>
  <c r="M56" i="24" s="1"/>
  <c r="M12" i="13"/>
  <c r="M38" i="12"/>
  <c r="M38" i="24" s="1"/>
  <c r="M82" i="24" s="1"/>
  <c r="M38" i="13"/>
  <c r="L18" i="9"/>
  <c r="R41" i="12"/>
  <c r="S41" i="12" s="1"/>
  <c r="S41" i="11"/>
  <c r="R41" i="13"/>
  <c r="S41" i="13" s="1"/>
  <c r="M28" i="7"/>
  <c r="W32" i="9"/>
  <c r="AH36" i="9"/>
  <c r="P44" i="9"/>
  <c r="AH19" i="9"/>
  <c r="Q23" i="9"/>
  <c r="U57" i="7"/>
  <c r="U62" i="7" s="1"/>
  <c r="U42" i="8" s="1"/>
  <c r="U5" i="9"/>
  <c r="Z5" i="11"/>
  <c r="Z8" i="11"/>
  <c r="Z11" i="11"/>
  <c r="Z6" i="11"/>
  <c r="Z17" i="11"/>
  <c r="Z9" i="11"/>
  <c r="Z12" i="11"/>
  <c r="Z40" i="11"/>
  <c r="Z10" i="11"/>
  <c r="Z31" i="11"/>
  <c r="Z23" i="11"/>
  <c r="Z15" i="11"/>
  <c r="Z7" i="11"/>
  <c r="Z37" i="11"/>
  <c r="Z41" i="11"/>
  <c r="Z34" i="11"/>
  <c r="Z19" i="11"/>
  <c r="Z14" i="11"/>
  <c r="Z42" i="11"/>
  <c r="Z27" i="11"/>
  <c r="Z38" i="11"/>
  <c r="Z35" i="11"/>
  <c r="Z24" i="11"/>
  <c r="Z20" i="11"/>
  <c r="Z21" i="11"/>
  <c r="Z32" i="11"/>
  <c r="Z28" i="11"/>
  <c r="Z29" i="11"/>
  <c r="Z13" i="11"/>
  <c r="Z16" i="11"/>
  <c r="Z36" i="11"/>
  <c r="Z22" i="11"/>
  <c r="Z43" i="11"/>
  <c r="Z25" i="11"/>
  <c r="Z33" i="11"/>
  <c r="Z39" i="11"/>
  <c r="Z18" i="11"/>
  <c r="Z30" i="11"/>
  <c r="Z26" i="11"/>
  <c r="M32" i="12"/>
  <c r="M32" i="24" s="1"/>
  <c r="M76" i="24" s="1"/>
  <c r="M32" i="13"/>
  <c r="M9" i="12"/>
  <c r="M9" i="24" s="1"/>
  <c r="M53" i="24" s="1"/>
  <c r="M9" i="13"/>
  <c r="R31" i="12"/>
  <c r="S31" i="12" s="1"/>
  <c r="S31" i="11"/>
  <c r="R31" i="13"/>
  <c r="S31" i="13" s="1"/>
  <c r="L47" i="9"/>
  <c r="L49" i="9"/>
  <c r="L45" i="9"/>
  <c r="L10" i="9"/>
  <c r="L9" i="9"/>
  <c r="L33" i="9"/>
  <c r="M15" i="7"/>
  <c r="P34" i="9"/>
  <c r="R26" i="12"/>
  <c r="S26" i="12" s="1"/>
  <c r="S26" i="11"/>
  <c r="R26" i="13"/>
  <c r="S26" i="13" s="1"/>
  <c r="R36" i="12"/>
  <c r="S36" i="12" s="1"/>
  <c r="S36" i="11"/>
  <c r="R36" i="13"/>
  <c r="S36" i="13" s="1"/>
  <c r="R25" i="12"/>
  <c r="S25" i="12" s="1"/>
  <c r="S25" i="11"/>
  <c r="R25" i="13"/>
  <c r="S25" i="13" s="1"/>
  <c r="R10" i="12"/>
  <c r="S10" i="12" s="1"/>
  <c r="S10" i="11"/>
  <c r="R10" i="13"/>
  <c r="S10" i="13" s="1"/>
  <c r="M45" i="7"/>
  <c r="W11" i="9"/>
  <c r="W24" i="9"/>
  <c r="W28" i="9"/>
  <c r="W35" i="9"/>
  <c r="W33" i="9"/>
  <c r="W50" i="9"/>
  <c r="U28" i="9"/>
  <c r="Q52" i="9"/>
  <c r="P35" i="9"/>
  <c r="P9" i="9"/>
  <c r="P22" i="9"/>
  <c r="P12" i="9"/>
  <c r="P19" i="9"/>
  <c r="AH44" i="9"/>
  <c r="AH35" i="9"/>
  <c r="AH30" i="9"/>
  <c r="AH32" i="9"/>
  <c r="AH5" i="9"/>
  <c r="AH57" i="7"/>
  <c r="AH62" i="7" s="1"/>
  <c r="AH42" i="8" s="1"/>
  <c r="AD42" i="23" s="1"/>
  <c r="AD98" i="23" s="1"/>
  <c r="AH13" i="9"/>
  <c r="Q45" i="9"/>
  <c r="Q55" i="9"/>
  <c r="Q11" i="9"/>
  <c r="Q16" i="9"/>
  <c r="Q14" i="9"/>
  <c r="Q27" i="9"/>
  <c r="U52" i="9"/>
  <c r="U38" i="9"/>
  <c r="U25" i="9"/>
  <c r="U11" i="9"/>
  <c r="U13" i="9"/>
  <c r="U21" i="9"/>
  <c r="O55" i="9"/>
  <c r="O35" i="9"/>
  <c r="O36" i="9"/>
  <c r="O19" i="9"/>
  <c r="O14" i="9"/>
  <c r="O6" i="9"/>
  <c r="X13" i="9"/>
  <c r="X11" i="9"/>
  <c r="X23" i="9"/>
  <c r="X34" i="9"/>
  <c r="X32" i="9"/>
  <c r="X36" i="9"/>
  <c r="X54" i="9"/>
  <c r="AD42" i="7"/>
  <c r="AC42" i="9"/>
  <c r="AD42" i="9" s="1"/>
  <c r="AD46" i="7"/>
  <c r="AC46" i="9"/>
  <c r="AD46" i="9" s="1"/>
  <c r="AD11" i="7"/>
  <c r="AC11" i="9"/>
  <c r="AD11" i="9" s="1"/>
  <c r="AD6" i="7"/>
  <c r="AC6" i="9"/>
  <c r="AD6" i="9" s="1"/>
  <c r="AD16" i="7"/>
  <c r="AC16" i="9"/>
  <c r="AD16" i="9" s="1"/>
  <c r="P47" i="9"/>
  <c r="R50" i="9"/>
  <c r="R44" i="9"/>
  <c r="R8" i="9"/>
  <c r="R32" i="9"/>
  <c r="R21" i="9"/>
  <c r="R27" i="9"/>
  <c r="M24" i="7"/>
  <c r="AH53" i="9"/>
  <c r="M39" i="7"/>
  <c r="R16" i="13"/>
  <c r="S16" i="13" s="1"/>
  <c r="U42" i="9"/>
  <c r="P49" i="9"/>
  <c r="L20" i="9"/>
  <c r="R24" i="12"/>
  <c r="S24" i="12" s="1"/>
  <c r="S24" i="11"/>
  <c r="R24" i="13"/>
  <c r="S24" i="13" s="1"/>
  <c r="W12" i="9"/>
  <c r="W46" i="9"/>
  <c r="P45" i="9"/>
  <c r="P31" i="9"/>
  <c r="AH38" i="9"/>
  <c r="AH9" i="9"/>
  <c r="Q34" i="9"/>
  <c r="U55" i="9"/>
  <c r="U6" i="9"/>
  <c r="O41" i="9"/>
  <c r="O20" i="9"/>
  <c r="X38" i="9"/>
  <c r="AD55" i="7"/>
  <c r="AC55" i="9"/>
  <c r="AD55" i="9" s="1"/>
  <c r="M30" i="7"/>
  <c r="R33" i="9"/>
  <c r="D4" i="5"/>
  <c r="N60" i="6" s="1"/>
  <c r="M23" i="12"/>
  <c r="M23" i="24" s="1"/>
  <c r="M67" i="24" s="1"/>
  <c r="M23" i="13"/>
  <c r="L40" i="9"/>
  <c r="L6" i="9"/>
  <c r="M49" i="7"/>
  <c r="R32" i="12"/>
  <c r="S32" i="12" s="1"/>
  <c r="S32" i="11"/>
  <c r="R32" i="13"/>
  <c r="S32" i="13" s="1"/>
  <c r="W5" i="9"/>
  <c r="W57" i="7"/>
  <c r="W62" i="7" s="1"/>
  <c r="W28" i="8" s="1"/>
  <c r="V28" i="23" s="1"/>
  <c r="V84" i="23" s="1"/>
  <c r="W53" i="9"/>
  <c r="P17" i="9"/>
  <c r="AH27" i="9"/>
  <c r="Q54" i="9"/>
  <c r="Q10" i="9"/>
  <c r="U40" i="9"/>
  <c r="O31" i="9"/>
  <c r="O22" i="9"/>
  <c r="X57" i="7"/>
  <c r="X62" i="7" s="1"/>
  <c r="X20" i="8" s="1"/>
  <c r="W20" i="23" s="1"/>
  <c r="W76" i="23" s="1"/>
  <c r="X5" i="9"/>
  <c r="X51" i="9"/>
  <c r="X33" i="9"/>
  <c r="AD43" i="7"/>
  <c r="AC43" i="9"/>
  <c r="AD43" i="9" s="1"/>
  <c r="AD5" i="7"/>
  <c r="AC5" i="9"/>
  <c r="AC57" i="7"/>
  <c r="AC62" i="7" s="1"/>
  <c r="AC38" i="8" s="1"/>
  <c r="AD20" i="7"/>
  <c r="AC20" i="9"/>
  <c r="AD20" i="9" s="1"/>
  <c r="R43" i="9"/>
  <c r="R38" i="9"/>
  <c r="R30" i="9"/>
  <c r="M36" i="7"/>
  <c r="M7" i="7"/>
  <c r="V7" i="11"/>
  <c r="V10" i="11"/>
  <c r="V5" i="11"/>
  <c r="V8" i="11"/>
  <c r="V11" i="11"/>
  <c r="V6" i="11"/>
  <c r="V36" i="11"/>
  <c r="V28" i="11"/>
  <c r="V20" i="11"/>
  <c r="V12" i="11"/>
  <c r="V25" i="11"/>
  <c r="V33" i="11"/>
  <c r="V9" i="11"/>
  <c r="V17" i="11"/>
  <c r="V13" i="11"/>
  <c r="V40" i="11"/>
  <c r="V26" i="11"/>
  <c r="V19" i="11"/>
  <c r="V14" i="11"/>
  <c r="V22" i="11"/>
  <c r="V34" i="11"/>
  <c r="V27" i="11"/>
  <c r="V23" i="11"/>
  <c r="V30" i="11"/>
  <c r="V42" i="11"/>
  <c r="V35" i="11"/>
  <c r="V43" i="11"/>
  <c r="V31" i="11"/>
  <c r="V38" i="11"/>
  <c r="V39" i="11"/>
  <c r="V41" i="11"/>
  <c r="V15" i="11"/>
  <c r="V16" i="11"/>
  <c r="V24" i="11"/>
  <c r="V21" i="11"/>
  <c r="V37" i="11"/>
  <c r="V32" i="11"/>
  <c r="V29" i="11"/>
  <c r="V18" i="11"/>
  <c r="M28" i="12"/>
  <c r="M28" i="24" s="1"/>
  <c r="M72" i="24" s="1"/>
  <c r="M28" i="13"/>
  <c r="M33" i="12"/>
  <c r="M33" i="24" s="1"/>
  <c r="M77" i="24" s="1"/>
  <c r="M33" i="13"/>
  <c r="M17" i="12"/>
  <c r="M17" i="24" s="1"/>
  <c r="M61" i="24" s="1"/>
  <c r="M17" i="13"/>
  <c r="M42" i="12"/>
  <c r="M42" i="24" s="1"/>
  <c r="M86" i="24" s="1"/>
  <c r="M42" i="13"/>
  <c r="L38" i="9"/>
  <c r="L11" i="9"/>
  <c r="L53" i="9"/>
  <c r="L35" i="9"/>
  <c r="L14" i="9"/>
  <c r="L13" i="9"/>
  <c r="L30" i="9"/>
  <c r="AC37" i="8"/>
  <c r="AD37" i="8" s="1"/>
  <c r="AD37" i="7"/>
  <c r="AC37" i="9"/>
  <c r="AD37" i="9" s="1"/>
  <c r="Q44" i="9"/>
  <c r="S39" i="11"/>
  <c r="R39" i="12"/>
  <c r="S39" i="12" s="1"/>
  <c r="R39" i="13"/>
  <c r="S39" i="13" s="1"/>
  <c r="R35" i="12"/>
  <c r="S35" i="12" s="1"/>
  <c r="S35" i="11"/>
  <c r="R35" i="13"/>
  <c r="S35" i="13" s="1"/>
  <c r="R21" i="12"/>
  <c r="S21" i="12" s="1"/>
  <c r="S21" i="11"/>
  <c r="R21" i="13"/>
  <c r="S21" i="13" s="1"/>
  <c r="R7" i="12"/>
  <c r="S7" i="12" s="1"/>
  <c r="S7" i="11"/>
  <c r="R7" i="13"/>
  <c r="S7" i="13" s="1"/>
  <c r="W7" i="8"/>
  <c r="V7" i="23" s="1"/>
  <c r="V63" i="23" s="1"/>
  <c r="W7" i="9"/>
  <c r="W15" i="9"/>
  <c r="W6" i="9"/>
  <c r="W31" i="8"/>
  <c r="V31" i="23" s="1"/>
  <c r="V87" i="23" s="1"/>
  <c r="W31" i="9"/>
  <c r="W45" i="9"/>
  <c r="W36" i="8"/>
  <c r="V36" i="23" s="1"/>
  <c r="V92" i="23" s="1"/>
  <c r="W36" i="9"/>
  <c r="W47" i="9"/>
  <c r="AH37" i="8"/>
  <c r="AD37" i="23" s="1"/>
  <c r="AD93" i="23" s="1"/>
  <c r="AH37" i="9"/>
  <c r="P38" i="9"/>
  <c r="P39" i="9"/>
  <c r="P6" i="9"/>
  <c r="P14" i="9"/>
  <c r="P25" i="9"/>
  <c r="P29" i="9"/>
  <c r="AD27" i="7"/>
  <c r="AC27" i="9"/>
  <c r="AD27" i="9" s="1"/>
  <c r="AH25" i="8"/>
  <c r="AD25" i="23" s="1"/>
  <c r="AD81" i="23" s="1"/>
  <c r="AH25" i="9"/>
  <c r="AH41" i="8"/>
  <c r="AD41" i="23" s="1"/>
  <c r="AD97" i="23" s="1"/>
  <c r="AH41" i="9"/>
  <c r="AH55" i="8"/>
  <c r="AD55" i="23" s="1"/>
  <c r="AD111" i="23" s="1"/>
  <c r="AH55" i="9"/>
  <c r="AH8" i="8"/>
  <c r="AD8" i="23" s="1"/>
  <c r="AD64" i="23" s="1"/>
  <c r="AH8" i="9"/>
  <c r="AH16" i="8"/>
  <c r="AD16" i="23" s="1"/>
  <c r="AD72" i="23" s="1"/>
  <c r="AH16" i="9"/>
  <c r="Q36" i="9"/>
  <c r="Q38" i="9"/>
  <c r="Q50" i="9"/>
  <c r="Q12" i="9"/>
  <c r="Q5" i="9"/>
  <c r="Q57" i="7"/>
  <c r="Q62" i="7" s="1"/>
  <c r="Q21" i="8" s="1"/>
  <c r="Q21" i="23" s="1"/>
  <c r="Q77" i="23" s="1"/>
  <c r="Q25" i="9"/>
  <c r="U26" i="8"/>
  <c r="T26" i="23" s="1"/>
  <c r="T82" i="23" s="1"/>
  <c r="U26" i="9"/>
  <c r="U45" i="8"/>
  <c r="T45" i="23" s="1"/>
  <c r="T101" i="23" s="1"/>
  <c r="U45" i="9"/>
  <c r="U32" i="8"/>
  <c r="T32" i="23" s="1"/>
  <c r="T88" i="23" s="1"/>
  <c r="U32" i="9"/>
  <c r="U15" i="8"/>
  <c r="T15" i="23" s="1"/>
  <c r="T71" i="23" s="1"/>
  <c r="U15" i="9"/>
  <c r="U18" i="8"/>
  <c r="T18" i="23" s="1"/>
  <c r="T74" i="23" s="1"/>
  <c r="U24" i="8"/>
  <c r="T24" i="23" s="1"/>
  <c r="T80" i="23" s="1"/>
  <c r="U24" i="9"/>
  <c r="M37" i="7"/>
  <c r="O45" i="9"/>
  <c r="O39" i="9"/>
  <c r="O30" i="9"/>
  <c r="O13" i="9"/>
  <c r="O57" i="7"/>
  <c r="O62" i="7" s="1"/>
  <c r="O39" i="8" s="1"/>
  <c r="O39" i="23" s="1"/>
  <c r="O95" i="23" s="1"/>
  <c r="O5" i="9"/>
  <c r="O9" i="9"/>
  <c r="X7" i="8"/>
  <c r="W7" i="23" s="1"/>
  <c r="W63" i="23" s="1"/>
  <c r="X7" i="9"/>
  <c r="X15" i="8"/>
  <c r="W15" i="23" s="1"/>
  <c r="W71" i="23" s="1"/>
  <c r="X15" i="9"/>
  <c r="X21" i="9"/>
  <c r="X25" i="9"/>
  <c r="X35" i="8"/>
  <c r="W35" i="23" s="1"/>
  <c r="W91" i="23" s="1"/>
  <c r="X35" i="9"/>
  <c r="X39" i="8"/>
  <c r="W39" i="23" s="1"/>
  <c r="W95" i="23" s="1"/>
  <c r="X39" i="9"/>
  <c r="M32" i="7"/>
  <c r="AC49" i="8"/>
  <c r="AD49" i="8" s="1"/>
  <c r="AD49" i="7"/>
  <c r="AC49" i="9"/>
  <c r="AD49" i="9" s="1"/>
  <c r="AD52" i="7"/>
  <c r="AC52" i="8"/>
  <c r="AD52" i="8" s="1"/>
  <c r="AC52" i="9"/>
  <c r="AD52" i="9" s="1"/>
  <c r="AD15" i="7"/>
  <c r="AC15" i="8"/>
  <c r="AD15" i="8" s="1"/>
  <c r="AC15" i="9"/>
  <c r="AD15" i="9" s="1"/>
  <c r="AD13" i="7"/>
  <c r="AC13" i="9"/>
  <c r="AD13" i="9" s="1"/>
  <c r="AD19" i="7"/>
  <c r="AH45" i="8"/>
  <c r="AD45" i="23" s="1"/>
  <c r="AD101" i="23" s="1"/>
  <c r="AH45" i="9"/>
  <c r="R49" i="9"/>
  <c r="R34" i="9"/>
  <c r="R12" i="9"/>
  <c r="R17" i="9"/>
  <c r="R57" i="7"/>
  <c r="R5" i="9"/>
  <c r="R15" i="9"/>
  <c r="M38" i="7"/>
  <c r="L37" i="9"/>
  <c r="M21" i="7"/>
  <c r="S47" i="13"/>
  <c r="S47" i="12"/>
  <c r="S47" i="10"/>
  <c r="S47" i="11"/>
  <c r="M37" i="12"/>
  <c r="M37" i="24" s="1"/>
  <c r="M81" i="24" s="1"/>
  <c r="M37" i="13"/>
  <c r="L46" i="13"/>
  <c r="L46" i="12"/>
  <c r="L50" i="12" s="1"/>
  <c r="L46" i="10"/>
  <c r="L46" i="11"/>
  <c r="L50" i="11" s="1"/>
  <c r="O37" i="9"/>
  <c r="X17" i="8"/>
  <c r="W17" i="23" s="1"/>
  <c r="W73" i="23" s="1"/>
  <c r="X17" i="9"/>
  <c r="X42" i="8"/>
  <c r="W42" i="23" s="1"/>
  <c r="W98" i="23" s="1"/>
  <c r="X42" i="9"/>
  <c r="AD32" i="7"/>
  <c r="AC32" i="8"/>
  <c r="AD32" i="8" s="1"/>
  <c r="AC32" i="9"/>
  <c r="AD32" i="9" s="1"/>
  <c r="U35" i="8"/>
  <c r="T35" i="23" s="1"/>
  <c r="T91" i="23" s="1"/>
  <c r="U35" i="9"/>
  <c r="R47" i="9"/>
  <c r="U12" i="11"/>
  <c r="U7" i="11"/>
  <c r="U10" i="11"/>
  <c r="U5" i="11"/>
  <c r="U8" i="11"/>
  <c r="U11" i="11"/>
  <c r="U14" i="11"/>
  <c r="U6" i="11"/>
  <c r="U39" i="11"/>
  <c r="U25" i="11"/>
  <c r="U33" i="11"/>
  <c r="U9" i="11"/>
  <c r="U17" i="11"/>
  <c r="U37" i="11"/>
  <c r="U42" i="11"/>
  <c r="U18" i="11"/>
  <c r="U26" i="11"/>
  <c r="U13" i="11"/>
  <c r="U34" i="11"/>
  <c r="U19" i="11"/>
  <c r="U40" i="11"/>
  <c r="U22" i="11"/>
  <c r="U38" i="11"/>
  <c r="U15" i="11"/>
  <c r="U27" i="11"/>
  <c r="U30" i="11"/>
  <c r="U20" i="11"/>
  <c r="U23" i="11"/>
  <c r="U24" i="11"/>
  <c r="U35" i="11"/>
  <c r="U43" i="11"/>
  <c r="U21" i="11"/>
  <c r="U31" i="11"/>
  <c r="U29" i="11"/>
  <c r="U28" i="11"/>
  <c r="U36" i="11"/>
  <c r="U16" i="11"/>
  <c r="U41" i="11"/>
  <c r="U32" i="11"/>
  <c r="M43" i="12"/>
  <c r="M43" i="24" s="1"/>
  <c r="M87" i="24" s="1"/>
  <c r="M43" i="13"/>
  <c r="M30" i="12"/>
  <c r="M30" i="24" s="1"/>
  <c r="M74" i="24" s="1"/>
  <c r="M30" i="13"/>
  <c r="L51" i="9"/>
  <c r="R38" i="12"/>
  <c r="S38" i="12" s="1"/>
  <c r="S38" i="11"/>
  <c r="R38" i="13"/>
  <c r="S38" i="13" s="1"/>
  <c r="W25" i="8"/>
  <c r="V25" i="23" s="1"/>
  <c r="V81" i="23" s="1"/>
  <c r="W25" i="9"/>
  <c r="R37" i="9"/>
  <c r="P16" i="9"/>
  <c r="AH50" i="8"/>
  <c r="AD50" i="23" s="1"/>
  <c r="AD106" i="23" s="1"/>
  <c r="AH50" i="9"/>
  <c r="Q22" i="9"/>
  <c r="U9" i="8"/>
  <c r="T9" i="23" s="1"/>
  <c r="T65" i="23" s="1"/>
  <c r="U9" i="9"/>
  <c r="R14" i="9"/>
  <c r="F30" i="5"/>
  <c r="M21" i="12"/>
  <c r="M21" i="24" s="1"/>
  <c r="M65" i="24" s="1"/>
  <c r="M21" i="13"/>
  <c r="M16" i="12"/>
  <c r="M16" i="24" s="1"/>
  <c r="M60" i="24" s="1"/>
  <c r="M16" i="13"/>
  <c r="M34" i="12"/>
  <c r="M34" i="24" s="1"/>
  <c r="M78" i="24" s="1"/>
  <c r="M34" i="13"/>
  <c r="M11" i="12"/>
  <c r="M11" i="24" s="1"/>
  <c r="M55" i="24" s="1"/>
  <c r="M11" i="13"/>
  <c r="M39" i="12"/>
  <c r="M39" i="24" s="1"/>
  <c r="M83" i="24" s="1"/>
  <c r="M39" i="13"/>
  <c r="O33" i="9"/>
  <c r="L44" i="9"/>
  <c r="L43" i="9"/>
  <c r="L50" i="9"/>
  <c r="L17" i="9"/>
  <c r="L19" i="9"/>
  <c r="L27" i="9"/>
  <c r="U31" i="8"/>
  <c r="T31" i="23" s="1"/>
  <c r="T87" i="23" s="1"/>
  <c r="U31" i="9"/>
  <c r="L48" i="9"/>
  <c r="R14" i="12"/>
  <c r="S14" i="12" s="1"/>
  <c r="S14" i="11"/>
  <c r="R14" i="13"/>
  <c r="S14" i="13" s="1"/>
  <c r="R40" i="12"/>
  <c r="S40" i="12" s="1"/>
  <c r="S40" i="11"/>
  <c r="R40" i="13"/>
  <c r="S40" i="13" s="1"/>
  <c r="R13" i="12"/>
  <c r="S13" i="12" s="1"/>
  <c r="S13" i="11"/>
  <c r="R13" i="13"/>
  <c r="S13" i="13" s="1"/>
  <c r="R12" i="12"/>
  <c r="S12" i="12" s="1"/>
  <c r="S12" i="11"/>
  <c r="R12" i="13"/>
  <c r="S12" i="13" s="1"/>
  <c r="W10" i="8"/>
  <c r="V10" i="23" s="1"/>
  <c r="V66" i="23" s="1"/>
  <c r="W10" i="9"/>
  <c r="W37" i="8"/>
  <c r="V37" i="23" s="1"/>
  <c r="V93" i="23" s="1"/>
  <c r="W37" i="9"/>
  <c r="W9" i="8"/>
  <c r="V9" i="23" s="1"/>
  <c r="V65" i="23" s="1"/>
  <c r="W9" i="9"/>
  <c r="W41" i="8"/>
  <c r="V41" i="23" s="1"/>
  <c r="V97" i="23" s="1"/>
  <c r="W41" i="9"/>
  <c r="W26" i="8"/>
  <c r="V26" i="23" s="1"/>
  <c r="V82" i="23" s="1"/>
  <c r="W26" i="9"/>
  <c r="W39" i="8"/>
  <c r="V39" i="23" s="1"/>
  <c r="V95" i="23" s="1"/>
  <c r="W39" i="9"/>
  <c r="W48" i="8"/>
  <c r="V48" i="23" s="1"/>
  <c r="V104" i="23" s="1"/>
  <c r="W48" i="9"/>
  <c r="R19" i="13"/>
  <c r="S19" i="13" s="1"/>
  <c r="P51" i="9"/>
  <c r="P48" i="9"/>
  <c r="P13" i="9"/>
  <c r="P21" i="9"/>
  <c r="P33" i="9"/>
  <c r="P32" i="9"/>
  <c r="AH46" i="8"/>
  <c r="AD46" i="23" s="1"/>
  <c r="AD102" i="23" s="1"/>
  <c r="AH46" i="9"/>
  <c r="AH48" i="8"/>
  <c r="AD48" i="23" s="1"/>
  <c r="AD104" i="23" s="1"/>
  <c r="AH48" i="9"/>
  <c r="AH10" i="8"/>
  <c r="AD10" i="23" s="1"/>
  <c r="AD66" i="23" s="1"/>
  <c r="AH10" i="9"/>
  <c r="AH24" i="8"/>
  <c r="AD24" i="23" s="1"/>
  <c r="AD80" i="23" s="1"/>
  <c r="AH24" i="9"/>
  <c r="AH21" i="8"/>
  <c r="AD21" i="23" s="1"/>
  <c r="AD77" i="23" s="1"/>
  <c r="AH21" i="9"/>
  <c r="Q49" i="9"/>
  <c r="Q42" i="9"/>
  <c r="Q40" i="9"/>
  <c r="Q6" i="9"/>
  <c r="Q8" i="9"/>
  <c r="Q28" i="9"/>
  <c r="U49" i="8"/>
  <c r="T49" i="23" s="1"/>
  <c r="T105" i="23" s="1"/>
  <c r="U49" i="9"/>
  <c r="U27" i="8"/>
  <c r="T27" i="23" s="1"/>
  <c r="T83" i="23" s="1"/>
  <c r="U27" i="9"/>
  <c r="U51" i="8"/>
  <c r="T51" i="23" s="1"/>
  <c r="T107" i="23" s="1"/>
  <c r="U51" i="9"/>
  <c r="U20" i="8"/>
  <c r="T20" i="23" s="1"/>
  <c r="T76" i="23" s="1"/>
  <c r="U20" i="9"/>
  <c r="U23" i="8"/>
  <c r="T23" i="23" s="1"/>
  <c r="T79" i="23" s="1"/>
  <c r="U23" i="9"/>
  <c r="R39" i="9"/>
  <c r="O43" i="8"/>
  <c r="O43" i="23" s="1"/>
  <c r="O99" i="23" s="1"/>
  <c r="O43" i="9"/>
  <c r="O28" i="9"/>
  <c r="O27" i="8"/>
  <c r="O27" i="23" s="1"/>
  <c r="O83" i="23" s="1"/>
  <c r="O27" i="9"/>
  <c r="O18" i="9"/>
  <c r="O11" i="8"/>
  <c r="O11" i="23" s="1"/>
  <c r="O67" i="23" s="1"/>
  <c r="O11" i="9"/>
  <c r="O21" i="9"/>
  <c r="X10" i="8"/>
  <c r="W10" i="23" s="1"/>
  <c r="W66" i="23" s="1"/>
  <c r="X10" i="9"/>
  <c r="X8" i="8"/>
  <c r="W8" i="23" s="1"/>
  <c r="W64" i="23" s="1"/>
  <c r="X8" i="9"/>
  <c r="X24" i="8"/>
  <c r="W24" i="23" s="1"/>
  <c r="W80" i="23" s="1"/>
  <c r="X24" i="9"/>
  <c r="X28" i="8"/>
  <c r="W28" i="23" s="1"/>
  <c r="W84" i="23" s="1"/>
  <c r="X28" i="9"/>
  <c r="X45" i="8"/>
  <c r="W45" i="23" s="1"/>
  <c r="W101" i="23" s="1"/>
  <c r="X45" i="9"/>
  <c r="X49" i="8"/>
  <c r="W49" i="23" s="1"/>
  <c r="W105" i="23" s="1"/>
  <c r="X49" i="9"/>
  <c r="AD31" i="7"/>
  <c r="AC31" i="8"/>
  <c r="AD31" i="8" s="1"/>
  <c r="AC31" i="9"/>
  <c r="AD31" i="9" s="1"/>
  <c r="AD40" i="7"/>
  <c r="AC40" i="8"/>
  <c r="AD40" i="8" s="1"/>
  <c r="AC40" i="9"/>
  <c r="AD40" i="9" s="1"/>
  <c r="AD26" i="7"/>
  <c r="AC26" i="8"/>
  <c r="AD26" i="8" s="1"/>
  <c r="AC26" i="9"/>
  <c r="AD26" i="9" s="1"/>
  <c r="AD8" i="7"/>
  <c r="AC8" i="8"/>
  <c r="AD8" i="8" s="1"/>
  <c r="AC8" i="9"/>
  <c r="AD8" i="9" s="1"/>
  <c r="AC17" i="8"/>
  <c r="AD17" i="8" s="1"/>
  <c r="AD17" i="7"/>
  <c r="AC17" i="9"/>
  <c r="AD17" i="9" s="1"/>
  <c r="AD22" i="7"/>
  <c r="AC22" i="8"/>
  <c r="AD22" i="8" s="1"/>
  <c r="AC22" i="9"/>
  <c r="AD22" i="9" s="1"/>
  <c r="R35" i="9"/>
  <c r="R36" i="9"/>
  <c r="R6" i="9"/>
  <c r="R18" i="9"/>
  <c r="R11" i="9"/>
  <c r="R25" i="9"/>
  <c r="AC53" i="8"/>
  <c r="AD53" i="8" s="1"/>
  <c r="AD53" i="7"/>
  <c r="AC53" i="9"/>
  <c r="AD53" i="9" s="1"/>
  <c r="M40" i="7"/>
  <c r="S48" i="12"/>
  <c r="S48" i="10"/>
  <c r="S48" i="13"/>
  <c r="S48" i="11"/>
  <c r="M7" i="12"/>
  <c r="M7" i="24" s="1"/>
  <c r="M51" i="24" s="1"/>
  <c r="M7" i="13"/>
  <c r="L36" i="9"/>
  <c r="M41" i="9"/>
  <c r="R11" i="12"/>
  <c r="S11" i="12" s="1"/>
  <c r="S11" i="11"/>
  <c r="R11" i="13"/>
  <c r="S11" i="13" s="1"/>
  <c r="W43" i="8"/>
  <c r="V43" i="23" s="1"/>
  <c r="V99" i="23" s="1"/>
  <c r="W43" i="9"/>
  <c r="Q43" i="9"/>
  <c r="P50" i="9"/>
  <c r="U34" i="8"/>
  <c r="T34" i="23" s="1"/>
  <c r="T90" i="23" s="1"/>
  <c r="U34" i="9"/>
  <c r="AH31" i="8"/>
  <c r="AD31" i="23" s="1"/>
  <c r="AD87" i="23" s="1"/>
  <c r="AH31" i="9"/>
  <c r="Q18" i="9"/>
  <c r="U41" i="8"/>
  <c r="T41" i="23" s="1"/>
  <c r="T97" i="23" s="1"/>
  <c r="U41" i="9"/>
  <c r="AD36" i="7"/>
  <c r="AC36" i="8"/>
  <c r="AD36" i="8" s="1"/>
  <c r="AC36" i="9"/>
  <c r="AD36" i="9" s="1"/>
  <c r="O17" i="8"/>
  <c r="O17" i="23" s="1"/>
  <c r="O73" i="23" s="1"/>
  <c r="O17" i="9"/>
  <c r="X43" i="8"/>
  <c r="W43" i="23" s="1"/>
  <c r="W99" i="23" s="1"/>
  <c r="X43" i="9"/>
  <c r="AD48" i="7"/>
  <c r="AC48" i="8"/>
  <c r="AD48" i="8" s="1"/>
  <c r="AC48" i="9"/>
  <c r="AD48" i="9" s="1"/>
  <c r="AD14" i="7"/>
  <c r="AC14" i="8"/>
  <c r="AD14" i="8" s="1"/>
  <c r="AC14" i="9"/>
  <c r="AD14" i="9" s="1"/>
  <c r="R29" i="9"/>
  <c r="L22" i="9"/>
  <c r="R15" i="12"/>
  <c r="S15" i="12" s="1"/>
  <c r="S15" i="11"/>
  <c r="R15" i="13"/>
  <c r="S15" i="13" s="1"/>
  <c r="W23" i="8"/>
  <c r="V23" i="23" s="1"/>
  <c r="V79" i="23" s="1"/>
  <c r="W23" i="9"/>
  <c r="P24" i="9"/>
  <c r="AH51" i="8"/>
  <c r="AD51" i="23" s="1"/>
  <c r="AD107" i="23" s="1"/>
  <c r="AH51" i="9"/>
  <c r="AH22" i="8"/>
  <c r="AD22" i="23" s="1"/>
  <c r="AD78" i="23" s="1"/>
  <c r="AH22" i="9"/>
  <c r="U54" i="8"/>
  <c r="T54" i="23" s="1"/>
  <c r="T110" i="23" s="1"/>
  <c r="U54" i="9"/>
  <c r="U29" i="8"/>
  <c r="T29" i="23" s="1"/>
  <c r="T85" i="23" s="1"/>
  <c r="U29" i="9"/>
  <c r="M18" i="7"/>
  <c r="P41" i="9"/>
  <c r="O10" i="11"/>
  <c r="O5" i="11"/>
  <c r="O8" i="11"/>
  <c r="O11" i="11"/>
  <c r="O6" i="11"/>
  <c r="O17" i="11"/>
  <c r="O9" i="11"/>
  <c r="O31" i="11"/>
  <c r="O23" i="11"/>
  <c r="O15" i="11"/>
  <c r="O7" i="11"/>
  <c r="O36" i="11"/>
  <c r="O28" i="11"/>
  <c r="O20" i="11"/>
  <c r="O12" i="11"/>
  <c r="O39" i="11"/>
  <c r="O42" i="11"/>
  <c r="O38" i="11"/>
  <c r="O33" i="11"/>
  <c r="O35" i="11"/>
  <c r="O21" i="11"/>
  <c r="O29" i="11"/>
  <c r="O40" i="11"/>
  <c r="O37" i="11"/>
  <c r="O14" i="11"/>
  <c r="O43" i="11"/>
  <c r="O13" i="11"/>
  <c r="O24" i="11"/>
  <c r="O18" i="11"/>
  <c r="O26" i="11"/>
  <c r="O34" i="11"/>
  <c r="O16" i="11"/>
  <c r="O25" i="11"/>
  <c r="O32" i="11"/>
  <c r="O22" i="11"/>
  <c r="O19" i="11"/>
  <c r="O41" i="11"/>
  <c r="O30" i="11"/>
  <c r="O27" i="11"/>
  <c r="M40" i="12"/>
  <c r="M40" i="24" s="1"/>
  <c r="M84" i="24" s="1"/>
  <c r="M40" i="13"/>
  <c r="M18" i="12"/>
  <c r="M18" i="24" s="1"/>
  <c r="M62" i="24" s="1"/>
  <c r="M18" i="13"/>
  <c r="M31" i="12"/>
  <c r="M31" i="24" s="1"/>
  <c r="M75" i="24" s="1"/>
  <c r="M31" i="13"/>
  <c r="M8" i="12"/>
  <c r="M8" i="24" s="1"/>
  <c r="M52" i="24" s="1"/>
  <c r="M8" i="13"/>
  <c r="AD47" i="7"/>
  <c r="AC47" i="8"/>
  <c r="AD47" i="8" s="1"/>
  <c r="AC47" i="9"/>
  <c r="AD47" i="9" s="1"/>
  <c r="L39" i="9"/>
  <c r="L41" i="9"/>
  <c r="L29" i="9"/>
  <c r="L57" i="7"/>
  <c r="L62" i="7" s="1"/>
  <c r="L49" i="8" s="1"/>
  <c r="L49" i="23" s="1"/>
  <c r="L105" i="23" s="1"/>
  <c r="L5" i="9"/>
  <c r="L25" i="9"/>
  <c r="M47" i="7"/>
  <c r="R51" i="9"/>
  <c r="R30" i="12"/>
  <c r="S30" i="12" s="1"/>
  <c r="S30" i="11"/>
  <c r="R30" i="13"/>
  <c r="S30" i="13" s="1"/>
  <c r="R33" i="12"/>
  <c r="S33" i="12" s="1"/>
  <c r="S33" i="11"/>
  <c r="R33" i="13"/>
  <c r="S33" i="13" s="1"/>
  <c r="R5" i="12"/>
  <c r="Q5" i="24" s="1"/>
  <c r="Q49" i="24" s="1"/>
  <c r="S5" i="11"/>
  <c r="R5" i="13"/>
  <c r="R45" i="11"/>
  <c r="R9" i="12"/>
  <c r="S9" i="12" s="1"/>
  <c r="S9" i="11"/>
  <c r="R9" i="13"/>
  <c r="S9" i="13" s="1"/>
  <c r="AA57" i="8"/>
  <c r="M46" i="7"/>
  <c r="W21" i="8"/>
  <c r="V21" i="23" s="1"/>
  <c r="V77" i="23" s="1"/>
  <c r="W21" i="9"/>
  <c r="W40" i="8"/>
  <c r="V40" i="23" s="1"/>
  <c r="V96" i="23" s="1"/>
  <c r="W40" i="9"/>
  <c r="W13" i="8"/>
  <c r="V13" i="23" s="1"/>
  <c r="V69" i="23" s="1"/>
  <c r="W13" i="9"/>
  <c r="W44" i="8"/>
  <c r="V44" i="23" s="1"/>
  <c r="V100" i="23" s="1"/>
  <c r="W44" i="9"/>
  <c r="W42" i="8"/>
  <c r="V42" i="23" s="1"/>
  <c r="V98" i="23" s="1"/>
  <c r="W42" i="9"/>
  <c r="W30" i="8"/>
  <c r="V30" i="23" s="1"/>
  <c r="V86" i="23" s="1"/>
  <c r="W30" i="9"/>
  <c r="W51" i="8"/>
  <c r="V51" i="23" s="1"/>
  <c r="V107" i="23" s="1"/>
  <c r="W51" i="9"/>
  <c r="M50" i="7"/>
  <c r="P42" i="9"/>
  <c r="P53" i="9"/>
  <c r="P18" i="9"/>
  <c r="P5" i="9"/>
  <c r="P57" i="7"/>
  <c r="P62" i="7" s="1"/>
  <c r="P46" i="8" s="1"/>
  <c r="P46" i="23" s="1"/>
  <c r="P102" i="23" s="1"/>
  <c r="P30" i="9"/>
  <c r="P26" i="9"/>
  <c r="Q53" i="8"/>
  <c r="Q53" i="23" s="1"/>
  <c r="Q109" i="23" s="1"/>
  <c r="Q53" i="9"/>
  <c r="AH26" i="8"/>
  <c r="AD26" i="23" s="1"/>
  <c r="AD82" i="23" s="1"/>
  <c r="AH26" i="9"/>
  <c r="AH39" i="8"/>
  <c r="AD39" i="23" s="1"/>
  <c r="AD95" i="23" s="1"/>
  <c r="AH39" i="9"/>
  <c r="AH7" i="8"/>
  <c r="AD7" i="23" s="1"/>
  <c r="AD63" i="23" s="1"/>
  <c r="AH7" i="9"/>
  <c r="AH12" i="8"/>
  <c r="AD12" i="23" s="1"/>
  <c r="AD68" i="23" s="1"/>
  <c r="AH12" i="9"/>
  <c r="AH15" i="8"/>
  <c r="AD15" i="23" s="1"/>
  <c r="AD71" i="23" s="1"/>
  <c r="AH15" i="9"/>
  <c r="Q46" i="8"/>
  <c r="Q46" i="23" s="1"/>
  <c r="Q102" i="23" s="1"/>
  <c r="Q46" i="9"/>
  <c r="Q24" i="8"/>
  <c r="Q24" i="23" s="1"/>
  <c r="Q80" i="23" s="1"/>
  <c r="Q24" i="9"/>
  <c r="Q39" i="8"/>
  <c r="Q39" i="23" s="1"/>
  <c r="Q95" i="23" s="1"/>
  <c r="Q39" i="9"/>
  <c r="Q9" i="8"/>
  <c r="Q9" i="23" s="1"/>
  <c r="Q65" i="23" s="1"/>
  <c r="Q9" i="9"/>
  <c r="Q26" i="8"/>
  <c r="Q26" i="23" s="1"/>
  <c r="Q82" i="23" s="1"/>
  <c r="Q26" i="9"/>
  <c r="Q31" i="8"/>
  <c r="Q31" i="23" s="1"/>
  <c r="Q87" i="23" s="1"/>
  <c r="Q31" i="9"/>
  <c r="U47" i="8"/>
  <c r="T47" i="23" s="1"/>
  <c r="T103" i="23" s="1"/>
  <c r="U47" i="9"/>
  <c r="U48" i="8"/>
  <c r="T48" i="23" s="1"/>
  <c r="T104" i="23" s="1"/>
  <c r="U48" i="9"/>
  <c r="U50" i="8"/>
  <c r="T50" i="23" s="1"/>
  <c r="T106" i="23" s="1"/>
  <c r="U50" i="9"/>
  <c r="U8" i="8"/>
  <c r="T8" i="23" s="1"/>
  <c r="T64" i="23" s="1"/>
  <c r="U8" i="9"/>
  <c r="U17" i="8"/>
  <c r="T17" i="23" s="1"/>
  <c r="T73" i="23" s="1"/>
  <c r="U17" i="9"/>
  <c r="O25" i="8"/>
  <c r="O25" i="23" s="1"/>
  <c r="O81" i="23" s="1"/>
  <c r="O25" i="9"/>
  <c r="O44" i="8"/>
  <c r="O44" i="23" s="1"/>
  <c r="O100" i="23" s="1"/>
  <c r="O44" i="9"/>
  <c r="O50" i="8"/>
  <c r="O50" i="23" s="1"/>
  <c r="O106" i="23" s="1"/>
  <c r="O50" i="9"/>
  <c r="O23" i="8"/>
  <c r="O23" i="23" s="1"/>
  <c r="O79" i="23" s="1"/>
  <c r="O23" i="9"/>
  <c r="O8" i="8"/>
  <c r="O8" i="23" s="1"/>
  <c r="O64" i="23" s="1"/>
  <c r="O8" i="9"/>
  <c r="O24" i="8"/>
  <c r="O24" i="23" s="1"/>
  <c r="O80" i="23" s="1"/>
  <c r="O24" i="9"/>
  <c r="X30" i="8"/>
  <c r="W30" i="23" s="1"/>
  <c r="W86" i="23" s="1"/>
  <c r="X30" i="9"/>
  <c r="X12" i="8"/>
  <c r="W12" i="23" s="1"/>
  <c r="W68" i="23" s="1"/>
  <c r="X12" i="9"/>
  <c r="X27" i="8"/>
  <c r="W27" i="23" s="1"/>
  <c r="W83" i="23" s="1"/>
  <c r="X27" i="9"/>
  <c r="X31" i="8"/>
  <c r="W31" i="23" s="1"/>
  <c r="W87" i="23" s="1"/>
  <c r="X31" i="9"/>
  <c r="X47" i="8"/>
  <c r="W47" i="23" s="1"/>
  <c r="W103" i="23" s="1"/>
  <c r="X47" i="9"/>
  <c r="X52" i="8"/>
  <c r="W52" i="23" s="1"/>
  <c r="W108" i="23" s="1"/>
  <c r="X52" i="9"/>
  <c r="AD30" i="7"/>
  <c r="AC30" i="8"/>
  <c r="AD30" i="8" s="1"/>
  <c r="AC30" i="9"/>
  <c r="AD30" i="9" s="1"/>
  <c r="AD35" i="7"/>
  <c r="AC35" i="8"/>
  <c r="AD35" i="8" s="1"/>
  <c r="AC35" i="9"/>
  <c r="AD35" i="9" s="1"/>
  <c r="AC25" i="8"/>
  <c r="AD25" i="8" s="1"/>
  <c r="AD25" i="7"/>
  <c r="AC25" i="9"/>
  <c r="AD25" i="9" s="1"/>
  <c r="AD24" i="7"/>
  <c r="AC24" i="8"/>
  <c r="AD24" i="8" s="1"/>
  <c r="AC24" i="9"/>
  <c r="AD24" i="9" s="1"/>
  <c r="AC21" i="8"/>
  <c r="AD21" i="8" s="1"/>
  <c r="AD21" i="7"/>
  <c r="AC21" i="9"/>
  <c r="AD21" i="9" s="1"/>
  <c r="AC29" i="8"/>
  <c r="AD29" i="8" s="1"/>
  <c r="AD29" i="7"/>
  <c r="AC29" i="9"/>
  <c r="AD29" i="9" s="1"/>
  <c r="R53" i="9"/>
  <c r="R54" i="9"/>
  <c r="R9" i="9"/>
  <c r="R22" i="9"/>
  <c r="R16" i="9"/>
  <c r="R28" i="9"/>
  <c r="AD54" i="7"/>
  <c r="AC54" i="8"/>
  <c r="AD54" i="8" s="1"/>
  <c r="AC54" i="9"/>
  <c r="AD54" i="9" s="1"/>
  <c r="AD39" i="7"/>
  <c r="AC39" i="8"/>
  <c r="AD39" i="8" s="1"/>
  <c r="AC39" i="9"/>
  <c r="AD39" i="9" s="1"/>
  <c r="R20" i="13"/>
  <c r="S20" i="13" s="1"/>
  <c r="P5" i="11"/>
  <c r="P8" i="11"/>
  <c r="P11" i="11"/>
  <c r="P6" i="11"/>
  <c r="P17" i="11"/>
  <c r="P9" i="11"/>
  <c r="P12" i="11"/>
  <c r="P42" i="11"/>
  <c r="P34" i="11"/>
  <c r="P26" i="11"/>
  <c r="P18" i="11"/>
  <c r="P10" i="11"/>
  <c r="P7" i="11"/>
  <c r="P15" i="11"/>
  <c r="P20" i="11"/>
  <c r="P24" i="11"/>
  <c r="P19" i="11"/>
  <c r="P28" i="11"/>
  <c r="P21" i="11"/>
  <c r="P38" i="11"/>
  <c r="P32" i="11"/>
  <c r="P27" i="11"/>
  <c r="P36" i="11"/>
  <c r="P29" i="11"/>
  <c r="P41" i="11"/>
  <c r="P31" i="11"/>
  <c r="P40" i="11"/>
  <c r="P35" i="11"/>
  <c r="P37" i="11"/>
  <c r="P14" i="11"/>
  <c r="P16" i="11"/>
  <c r="P23" i="11"/>
  <c r="P13" i="11"/>
  <c r="P25" i="11"/>
  <c r="P22" i="11"/>
  <c r="P30" i="11"/>
  <c r="P39" i="11"/>
  <c r="P33" i="11"/>
  <c r="P43" i="11"/>
  <c r="M26" i="12"/>
  <c r="M26" i="24" s="1"/>
  <c r="M70" i="24" s="1"/>
  <c r="M26" i="13"/>
  <c r="L15" i="9"/>
  <c r="Q35" i="8"/>
  <c r="Q35" i="23" s="1"/>
  <c r="Q91" i="23" s="1"/>
  <c r="Q35" i="9"/>
  <c r="M20" i="7"/>
  <c r="M19" i="7"/>
  <c r="M13" i="7"/>
  <c r="M9" i="7"/>
  <c r="M6" i="7"/>
  <c r="M5" i="7"/>
  <c r="M14" i="7"/>
  <c r="M10" i="7"/>
  <c r="M16" i="7"/>
  <c r="M53" i="7"/>
  <c r="V64" i="6"/>
  <c r="V58" i="8"/>
  <c r="V62" i="8" s="1"/>
  <c r="V58" i="9"/>
  <c r="V58" i="7"/>
  <c r="N7" i="11"/>
  <c r="N10" i="11"/>
  <c r="N5" i="11"/>
  <c r="N8" i="11"/>
  <c r="N11" i="11"/>
  <c r="N6" i="11"/>
  <c r="N33" i="11"/>
  <c r="N25" i="11"/>
  <c r="N17" i="11"/>
  <c r="N9" i="11"/>
  <c r="N12" i="11"/>
  <c r="N43" i="11"/>
  <c r="N21" i="11"/>
  <c r="N20" i="11"/>
  <c r="N18" i="11"/>
  <c r="N29" i="11"/>
  <c r="N38" i="11"/>
  <c r="N28" i="11"/>
  <c r="N26" i="11"/>
  <c r="N37" i="11"/>
  <c r="N13" i="11"/>
  <c r="N14" i="11"/>
  <c r="N15" i="11"/>
  <c r="N41" i="11"/>
  <c r="N36" i="11"/>
  <c r="N34" i="11"/>
  <c r="N22" i="11"/>
  <c r="N23" i="11"/>
  <c r="N24" i="11"/>
  <c r="N42" i="11"/>
  <c r="N30" i="11"/>
  <c r="N31" i="11"/>
  <c r="N32" i="11"/>
  <c r="N19" i="11"/>
  <c r="N39" i="11"/>
  <c r="N16" i="11"/>
  <c r="N40" i="11"/>
  <c r="N27" i="11"/>
  <c r="N35" i="11"/>
  <c r="M36" i="12"/>
  <c r="M36" i="24" s="1"/>
  <c r="M80" i="24" s="1"/>
  <c r="M36" i="13"/>
  <c r="M6" i="12"/>
  <c r="M6" i="24" s="1"/>
  <c r="M50" i="24" s="1"/>
  <c r="M6" i="13"/>
  <c r="M5" i="12"/>
  <c r="M5" i="24" s="1"/>
  <c r="M49" i="24" s="1"/>
  <c r="M45" i="11"/>
  <c r="M5" i="13"/>
  <c r="M19" i="12"/>
  <c r="M19" i="24" s="1"/>
  <c r="M63" i="24" s="1"/>
  <c r="M19" i="13"/>
  <c r="R48" i="9"/>
  <c r="L24" i="9"/>
  <c r="L21" i="9"/>
  <c r="L54" i="9"/>
  <c r="L8" i="8"/>
  <c r="L8" i="23" s="1"/>
  <c r="L64" i="23" s="1"/>
  <c r="L8" i="9"/>
  <c r="L28" i="9"/>
  <c r="M48" i="7"/>
  <c r="R18" i="12"/>
  <c r="S18" i="12" s="1"/>
  <c r="S18" i="11"/>
  <c r="R18" i="13"/>
  <c r="S18" i="13" s="1"/>
  <c r="S37" i="11"/>
  <c r="R37" i="12"/>
  <c r="S37" i="12" s="1"/>
  <c r="R37" i="13"/>
  <c r="S37" i="13" s="1"/>
  <c r="R29" i="12"/>
  <c r="S29" i="12" s="1"/>
  <c r="S29" i="11"/>
  <c r="R29" i="13"/>
  <c r="S29" i="13" s="1"/>
  <c r="R17" i="12"/>
  <c r="S17" i="12" s="1"/>
  <c r="S17" i="11"/>
  <c r="R17" i="13"/>
  <c r="S17" i="13" s="1"/>
  <c r="M51" i="7"/>
  <c r="W14" i="8"/>
  <c r="V14" i="23" s="1"/>
  <c r="V70" i="23" s="1"/>
  <c r="W14" i="9"/>
  <c r="W8" i="8"/>
  <c r="V8" i="23" s="1"/>
  <c r="V64" i="23" s="1"/>
  <c r="W8" i="9"/>
  <c r="W22" i="8"/>
  <c r="V22" i="23" s="1"/>
  <c r="V78" i="23" s="1"/>
  <c r="W22" i="9"/>
  <c r="W38" i="8"/>
  <c r="V38" i="23" s="1"/>
  <c r="V94" i="23" s="1"/>
  <c r="W38" i="9"/>
  <c r="W54" i="8"/>
  <c r="V54" i="23" s="1"/>
  <c r="V110" i="23" s="1"/>
  <c r="W54" i="9"/>
  <c r="W49" i="8"/>
  <c r="V49" i="23" s="1"/>
  <c r="V105" i="23" s="1"/>
  <c r="W49" i="9"/>
  <c r="M29" i="7"/>
  <c r="O34" i="8"/>
  <c r="O34" i="23" s="1"/>
  <c r="O90" i="23" s="1"/>
  <c r="O34" i="9"/>
  <c r="M55" i="7"/>
  <c r="P52" i="8"/>
  <c r="P52" i="23" s="1"/>
  <c r="P108" i="23" s="1"/>
  <c r="P52" i="9"/>
  <c r="P40" i="8"/>
  <c r="P40" i="23" s="1"/>
  <c r="P96" i="23" s="1"/>
  <c r="P40" i="9"/>
  <c r="P23" i="8"/>
  <c r="P23" i="23" s="1"/>
  <c r="P79" i="23" s="1"/>
  <c r="P23" i="9"/>
  <c r="P11" i="9"/>
  <c r="P27" i="8"/>
  <c r="P27" i="9"/>
  <c r="M44" i="7"/>
  <c r="M54" i="7"/>
  <c r="AH52" i="8"/>
  <c r="AD52" i="23" s="1"/>
  <c r="AD108" i="23" s="1"/>
  <c r="AH52" i="9"/>
  <c r="AH33" i="8"/>
  <c r="AD33" i="23" s="1"/>
  <c r="AD89" i="23" s="1"/>
  <c r="AH33" i="9"/>
  <c r="AH14" i="8"/>
  <c r="AD14" i="23" s="1"/>
  <c r="AD70" i="23" s="1"/>
  <c r="AH14" i="9"/>
  <c r="AH23" i="8"/>
  <c r="AD23" i="23" s="1"/>
  <c r="AD79" i="23" s="1"/>
  <c r="AH23" i="9"/>
  <c r="AH18" i="8"/>
  <c r="AD18" i="23" s="1"/>
  <c r="AD74" i="23" s="1"/>
  <c r="AH18" i="9"/>
  <c r="Q37" i="8"/>
  <c r="Q37" i="23" s="1"/>
  <c r="Q93" i="23" s="1"/>
  <c r="Q37" i="9"/>
  <c r="Q29" i="8"/>
  <c r="Q29" i="23" s="1"/>
  <c r="Q85" i="23" s="1"/>
  <c r="Q29" i="9"/>
  <c r="Q15" i="8"/>
  <c r="Q15" i="23" s="1"/>
  <c r="Q71" i="23" s="1"/>
  <c r="Q15" i="9"/>
  <c r="Q19" i="8"/>
  <c r="Q19" i="23" s="1"/>
  <c r="Q75" i="23" s="1"/>
  <c r="Q19" i="9"/>
  <c r="Q17" i="8"/>
  <c r="Q17" i="23" s="1"/>
  <c r="Q73" i="23" s="1"/>
  <c r="Q17" i="9"/>
  <c r="Q32" i="8"/>
  <c r="Q32" i="23" s="1"/>
  <c r="Q88" i="23" s="1"/>
  <c r="Q32" i="9"/>
  <c r="U46" i="8"/>
  <c r="T46" i="23" s="1"/>
  <c r="T102" i="23" s="1"/>
  <c r="U46" i="9"/>
  <c r="U30" i="8"/>
  <c r="T30" i="23" s="1"/>
  <c r="T86" i="23" s="1"/>
  <c r="U30" i="9"/>
  <c r="U44" i="8"/>
  <c r="T44" i="23" s="1"/>
  <c r="T100" i="23" s="1"/>
  <c r="U44" i="9"/>
  <c r="U12" i="8"/>
  <c r="T12" i="23" s="1"/>
  <c r="T68" i="23" s="1"/>
  <c r="U12" i="9"/>
  <c r="U7" i="8"/>
  <c r="T7" i="23" s="1"/>
  <c r="T63" i="23" s="1"/>
  <c r="U7" i="9"/>
  <c r="O32" i="8"/>
  <c r="O32" i="23" s="1"/>
  <c r="O88" i="23" s="1"/>
  <c r="O32" i="9"/>
  <c r="O26" i="8"/>
  <c r="O26" i="23" s="1"/>
  <c r="O82" i="23" s="1"/>
  <c r="O26" i="9"/>
  <c r="O49" i="8"/>
  <c r="O49" i="23" s="1"/>
  <c r="O105" i="23" s="1"/>
  <c r="O49" i="9"/>
  <c r="O7" i="8"/>
  <c r="O7" i="23" s="1"/>
  <c r="O63" i="23" s="1"/>
  <c r="O7" i="9"/>
  <c r="O15" i="8"/>
  <c r="O15" i="23" s="1"/>
  <c r="O71" i="23" s="1"/>
  <c r="O15" i="9"/>
  <c r="O29" i="8"/>
  <c r="O29" i="23" s="1"/>
  <c r="O85" i="23" s="1"/>
  <c r="O29" i="9"/>
  <c r="X14" i="8"/>
  <c r="W14" i="23" s="1"/>
  <c r="W70" i="23" s="1"/>
  <c r="X14" i="9"/>
  <c r="X19" i="8"/>
  <c r="W19" i="23" s="1"/>
  <c r="W75" i="23" s="1"/>
  <c r="X19" i="9"/>
  <c r="X37" i="8"/>
  <c r="W37" i="23" s="1"/>
  <c r="W93" i="23" s="1"/>
  <c r="X37" i="9"/>
  <c r="X41" i="8"/>
  <c r="W41" i="23" s="1"/>
  <c r="W97" i="23" s="1"/>
  <c r="X41" i="9"/>
  <c r="X48" i="8"/>
  <c r="W48" i="23" s="1"/>
  <c r="W104" i="23" s="1"/>
  <c r="X48" i="9"/>
  <c r="X55" i="8"/>
  <c r="W55" i="23" s="1"/>
  <c r="W111" i="23" s="1"/>
  <c r="X55" i="9"/>
  <c r="AD51" i="7"/>
  <c r="AC51" i="8"/>
  <c r="AD51" i="8" s="1"/>
  <c r="AC51" i="9"/>
  <c r="AD51" i="9" s="1"/>
  <c r="AD34" i="7"/>
  <c r="AC34" i="8"/>
  <c r="AD34" i="8" s="1"/>
  <c r="AC34" i="9"/>
  <c r="AD34" i="9" s="1"/>
  <c r="AC33" i="8"/>
  <c r="AD33" i="8" s="1"/>
  <c r="AD33" i="7"/>
  <c r="AC33" i="9"/>
  <c r="AD33" i="9" s="1"/>
  <c r="AD12" i="7"/>
  <c r="AC12" i="8"/>
  <c r="AD12" i="8" s="1"/>
  <c r="AC12" i="9"/>
  <c r="AD12" i="9" s="1"/>
  <c r="AC7" i="8"/>
  <c r="AD7" i="8" s="1"/>
  <c r="AD7" i="7"/>
  <c r="AC7" i="9"/>
  <c r="AD7" i="9" s="1"/>
  <c r="M26" i="7"/>
  <c r="R52" i="9"/>
  <c r="R55" i="9"/>
  <c r="R19" i="9"/>
  <c r="R7" i="9"/>
  <c r="R20" i="9"/>
  <c r="R31" i="9"/>
  <c r="U43" i="8"/>
  <c r="T43" i="23" s="1"/>
  <c r="T99" i="23" s="1"/>
  <c r="U43" i="9"/>
  <c r="M33" i="7"/>
  <c r="M13" i="12"/>
  <c r="M13" i="24" s="1"/>
  <c r="M57" i="24" s="1"/>
  <c r="M13" i="13"/>
  <c r="M22" i="12"/>
  <c r="M22" i="24" s="1"/>
  <c r="M66" i="24" s="1"/>
  <c r="M22" i="13"/>
  <c r="L52" i="9"/>
  <c r="L32" i="9"/>
  <c r="R23" i="12"/>
  <c r="S23" i="12" s="1"/>
  <c r="S23" i="11"/>
  <c r="R23" i="13"/>
  <c r="S23" i="13" s="1"/>
  <c r="R27" i="12"/>
  <c r="S27" i="12" s="1"/>
  <c r="S27" i="11"/>
  <c r="R27" i="13"/>
  <c r="S27" i="13" s="1"/>
  <c r="M52" i="9"/>
  <c r="W34" i="8"/>
  <c r="V34" i="23" s="1"/>
  <c r="V90" i="23" s="1"/>
  <c r="W34" i="9"/>
  <c r="W20" i="8"/>
  <c r="V20" i="23" s="1"/>
  <c r="V76" i="23" s="1"/>
  <c r="W20" i="9"/>
  <c r="AH43" i="8"/>
  <c r="AD43" i="23" s="1"/>
  <c r="AD99" i="23" s="1"/>
  <c r="AH43" i="9"/>
  <c r="P15" i="8"/>
  <c r="P15" i="23" s="1"/>
  <c r="P71" i="23" s="1"/>
  <c r="P15" i="9"/>
  <c r="L42" i="9"/>
  <c r="AH11" i="8"/>
  <c r="AD11" i="23" s="1"/>
  <c r="AD67" i="23" s="1"/>
  <c r="AH11" i="9"/>
  <c r="Q47" i="8"/>
  <c r="Q47" i="23" s="1"/>
  <c r="Q103" i="23" s="1"/>
  <c r="Q47" i="9"/>
  <c r="Q33" i="8"/>
  <c r="Q33" i="23" s="1"/>
  <c r="Q89" i="23" s="1"/>
  <c r="Q33" i="9"/>
  <c r="U16" i="8"/>
  <c r="T16" i="23" s="1"/>
  <c r="T72" i="23" s="1"/>
  <c r="U16" i="9"/>
  <c r="X9" i="8"/>
  <c r="W9" i="23" s="1"/>
  <c r="W65" i="23" s="1"/>
  <c r="X9" i="9"/>
  <c r="R34" i="12"/>
  <c r="S34" i="12" s="1"/>
  <c r="S34" i="11"/>
  <c r="R34" i="13"/>
  <c r="S34" i="13" s="1"/>
  <c r="L26" i="8"/>
  <c r="L26" i="23" s="1"/>
  <c r="L82" i="23" s="1"/>
  <c r="L26" i="9"/>
  <c r="W19" i="8"/>
  <c r="V19" i="23" s="1"/>
  <c r="V75" i="23" s="1"/>
  <c r="W19" i="9"/>
  <c r="U33" i="8"/>
  <c r="T33" i="23" s="1"/>
  <c r="T89" i="23" s="1"/>
  <c r="U33" i="9"/>
  <c r="P20" i="8"/>
  <c r="P20" i="23" s="1"/>
  <c r="P76" i="23" s="1"/>
  <c r="P20" i="9"/>
  <c r="AH49" i="8"/>
  <c r="AD49" i="23" s="1"/>
  <c r="AD105" i="23" s="1"/>
  <c r="AH49" i="9"/>
  <c r="Q41" i="8"/>
  <c r="Q41" i="23" s="1"/>
  <c r="Q97" i="23" s="1"/>
  <c r="Q41" i="9"/>
  <c r="Q30" i="8"/>
  <c r="Q30" i="23" s="1"/>
  <c r="Q86" i="23" s="1"/>
  <c r="Q30" i="9"/>
  <c r="U39" i="8"/>
  <c r="T39" i="23" s="1"/>
  <c r="T95" i="23" s="1"/>
  <c r="U39" i="9"/>
  <c r="O52" i="8"/>
  <c r="O52" i="23" s="1"/>
  <c r="O108" i="23" s="1"/>
  <c r="O52" i="9"/>
  <c r="O40" i="8"/>
  <c r="O40" i="23" s="1"/>
  <c r="O96" i="23" s="1"/>
  <c r="O40" i="9"/>
  <c r="O12" i="8"/>
  <c r="O12" i="23" s="1"/>
  <c r="O68" i="23" s="1"/>
  <c r="O12" i="9"/>
  <c r="X22" i="8"/>
  <c r="W22" i="23" s="1"/>
  <c r="W78" i="23" s="1"/>
  <c r="X22" i="9"/>
  <c r="X18" i="8"/>
  <c r="W18" i="23" s="1"/>
  <c r="W74" i="23" s="1"/>
  <c r="X18" i="9"/>
  <c r="X29" i="8"/>
  <c r="W29" i="23" s="1"/>
  <c r="W85" i="23" s="1"/>
  <c r="X29" i="9"/>
  <c r="X50" i="8"/>
  <c r="W50" i="23" s="1"/>
  <c r="W106" i="23" s="1"/>
  <c r="X50" i="9"/>
  <c r="AC45" i="8"/>
  <c r="AD45" i="8" s="1"/>
  <c r="AD45" i="7"/>
  <c r="AC45" i="9"/>
  <c r="AD45" i="9" s="1"/>
  <c r="AD23" i="7"/>
  <c r="AC23" i="8"/>
  <c r="AD23" i="8" s="1"/>
  <c r="AC23" i="9"/>
  <c r="AD23" i="9" s="1"/>
  <c r="P54" i="8"/>
  <c r="P54" i="23" s="1"/>
  <c r="P110" i="23" s="1"/>
  <c r="P54" i="9"/>
  <c r="R45" i="9"/>
  <c r="R23" i="9"/>
  <c r="Y58" i="8"/>
  <c r="Y62" i="8" s="1"/>
  <c r="Y58" i="9"/>
  <c r="Y58" i="7"/>
  <c r="T17" i="11"/>
  <c r="T9" i="11"/>
  <c r="T12" i="11"/>
  <c r="T7" i="11"/>
  <c r="T10" i="11"/>
  <c r="T5" i="11"/>
  <c r="T8" i="11"/>
  <c r="T30" i="11"/>
  <c r="T22" i="11"/>
  <c r="T14" i="11"/>
  <c r="T6" i="11"/>
  <c r="T11" i="11"/>
  <c r="T20" i="11"/>
  <c r="T32" i="11"/>
  <c r="T25" i="11"/>
  <c r="T28" i="11"/>
  <c r="T33" i="11"/>
  <c r="T39" i="11"/>
  <c r="T18" i="11"/>
  <c r="T36" i="11"/>
  <c r="T13" i="11"/>
  <c r="T41" i="11"/>
  <c r="T42" i="11"/>
  <c r="T19" i="11"/>
  <c r="T26" i="11"/>
  <c r="T21" i="11"/>
  <c r="T38" i="11"/>
  <c r="T37" i="11"/>
  <c r="T35" i="11"/>
  <c r="T27" i="11"/>
  <c r="T34" i="11"/>
  <c r="T29" i="11"/>
  <c r="T23" i="11"/>
  <c r="T43" i="11"/>
  <c r="T31" i="11"/>
  <c r="T16" i="11"/>
  <c r="T40" i="11"/>
  <c r="T15" i="11"/>
  <c r="T24" i="11"/>
  <c r="M29" i="12"/>
  <c r="M29" i="24" s="1"/>
  <c r="M73" i="24" s="1"/>
  <c r="M29" i="13"/>
  <c r="M25" i="12"/>
  <c r="M25" i="24" s="1"/>
  <c r="M69" i="24" s="1"/>
  <c r="M25" i="13"/>
  <c r="M14" i="12"/>
  <c r="M14" i="24" s="1"/>
  <c r="M58" i="24" s="1"/>
  <c r="M14" i="13"/>
  <c r="M10" i="12"/>
  <c r="M10" i="24" s="1"/>
  <c r="M54" i="24" s="1"/>
  <c r="M10" i="13"/>
  <c r="O54" i="8"/>
  <c r="O54" i="23" s="1"/>
  <c r="O110" i="23" s="1"/>
  <c r="O54" i="9"/>
  <c r="M42" i="7"/>
  <c r="L46" i="9"/>
  <c r="L16" i="9"/>
  <c r="L7" i="9"/>
  <c r="L12" i="9"/>
  <c r="L31" i="9"/>
  <c r="M23" i="7"/>
  <c r="S42" i="11"/>
  <c r="R42" i="12"/>
  <c r="S42" i="12" s="1"/>
  <c r="R42" i="13"/>
  <c r="S42" i="13" s="1"/>
  <c r="R22" i="12"/>
  <c r="S22" i="12" s="1"/>
  <c r="S22" i="11"/>
  <c r="R22" i="13"/>
  <c r="S22" i="13" s="1"/>
  <c r="R28" i="12"/>
  <c r="S28" i="12" s="1"/>
  <c r="S28" i="11"/>
  <c r="R28" i="13"/>
  <c r="S28" i="13" s="1"/>
  <c r="R8" i="12"/>
  <c r="S8" i="12" s="1"/>
  <c r="S8" i="11"/>
  <c r="R8" i="13"/>
  <c r="S8" i="13" s="1"/>
  <c r="R6" i="12"/>
  <c r="S6" i="12" s="1"/>
  <c r="S6" i="11"/>
  <c r="R6" i="13"/>
  <c r="S6" i="13" s="1"/>
  <c r="M17" i="7"/>
  <c r="W16" i="8"/>
  <c r="V16" i="23" s="1"/>
  <c r="V72" i="23" s="1"/>
  <c r="W16" i="9"/>
  <c r="W27" i="8"/>
  <c r="V27" i="23" s="1"/>
  <c r="V83" i="23" s="1"/>
  <c r="W27" i="9"/>
  <c r="W18" i="8"/>
  <c r="V18" i="23" s="1"/>
  <c r="V74" i="23" s="1"/>
  <c r="W18" i="9"/>
  <c r="W52" i="8"/>
  <c r="V52" i="23" s="1"/>
  <c r="V108" i="23" s="1"/>
  <c r="W52" i="9"/>
  <c r="W17" i="8"/>
  <c r="V17" i="23" s="1"/>
  <c r="V73" i="23" s="1"/>
  <c r="W17" i="9"/>
  <c r="W55" i="8"/>
  <c r="V55" i="23" s="1"/>
  <c r="V111" i="23" s="1"/>
  <c r="W55" i="9"/>
  <c r="M43" i="7"/>
  <c r="M8" i="7"/>
  <c r="M12" i="7"/>
  <c r="S57" i="7"/>
  <c r="P43" i="8"/>
  <c r="P43" i="23" s="1"/>
  <c r="P99" i="23" s="1"/>
  <c r="P43" i="9"/>
  <c r="P55" i="8"/>
  <c r="P55" i="23" s="1"/>
  <c r="P111" i="23" s="1"/>
  <c r="P55" i="9"/>
  <c r="P7" i="8"/>
  <c r="P7" i="23" s="1"/>
  <c r="P63" i="23" s="1"/>
  <c r="P7" i="9"/>
  <c r="P8" i="8"/>
  <c r="P8" i="23" s="1"/>
  <c r="P64" i="23" s="1"/>
  <c r="P8" i="9"/>
  <c r="P28" i="8"/>
  <c r="P28" i="9"/>
  <c r="AD28" i="7"/>
  <c r="AC28" i="8"/>
  <c r="AD28" i="8" s="1"/>
  <c r="AC28" i="9"/>
  <c r="AD28" i="9" s="1"/>
  <c r="AH34" i="8"/>
  <c r="AD34" i="23" s="1"/>
  <c r="AD90" i="23" s="1"/>
  <c r="AH34" i="9"/>
  <c r="AH54" i="8"/>
  <c r="AD54" i="23" s="1"/>
  <c r="AD110" i="23" s="1"/>
  <c r="AH54" i="9"/>
  <c r="AH47" i="8"/>
  <c r="AD47" i="23" s="1"/>
  <c r="AD103" i="23" s="1"/>
  <c r="AH47" i="9"/>
  <c r="AH40" i="8"/>
  <c r="AD40" i="23" s="1"/>
  <c r="AD96" i="23" s="1"/>
  <c r="AH40" i="9"/>
  <c r="AH20" i="8"/>
  <c r="AD20" i="23" s="1"/>
  <c r="AD76" i="23" s="1"/>
  <c r="AH20" i="9"/>
  <c r="AH6" i="8"/>
  <c r="AD6" i="23" s="1"/>
  <c r="AD62" i="23" s="1"/>
  <c r="AH6" i="9"/>
  <c r="AH29" i="8"/>
  <c r="AD29" i="23" s="1"/>
  <c r="AD85" i="23" s="1"/>
  <c r="AH29" i="9"/>
  <c r="Q7" i="8"/>
  <c r="Q7" i="23" s="1"/>
  <c r="Q63" i="23" s="1"/>
  <c r="Q7" i="9"/>
  <c r="Q48" i="8"/>
  <c r="Q48" i="23" s="1"/>
  <c r="Q104" i="23" s="1"/>
  <c r="Q48" i="9"/>
  <c r="Q51" i="8"/>
  <c r="Q51" i="23" s="1"/>
  <c r="Q107" i="23" s="1"/>
  <c r="Q51" i="9"/>
  <c r="Q13" i="8"/>
  <c r="Q13" i="23" s="1"/>
  <c r="Q69" i="23" s="1"/>
  <c r="Q13" i="9"/>
  <c r="Q20" i="8"/>
  <c r="Q20" i="23" s="1"/>
  <c r="Q76" i="23" s="1"/>
  <c r="Q20" i="9"/>
  <c r="M22" i="7"/>
  <c r="U53" i="8"/>
  <c r="T53" i="23" s="1"/>
  <c r="T109" i="23" s="1"/>
  <c r="U53" i="9"/>
  <c r="U37" i="8"/>
  <c r="T37" i="23" s="1"/>
  <c r="T93" i="23" s="1"/>
  <c r="U37" i="9"/>
  <c r="U14" i="8"/>
  <c r="T14" i="23" s="1"/>
  <c r="T70" i="23" s="1"/>
  <c r="U14" i="9"/>
  <c r="U19" i="8"/>
  <c r="T19" i="23" s="1"/>
  <c r="T75" i="23" s="1"/>
  <c r="U19" i="9"/>
  <c r="U10" i="8"/>
  <c r="T10" i="23" s="1"/>
  <c r="T66" i="23" s="1"/>
  <c r="U10" i="9"/>
  <c r="O53" i="8"/>
  <c r="O53" i="23" s="1"/>
  <c r="O109" i="23" s="1"/>
  <c r="O53" i="9"/>
  <c r="Z57" i="8"/>
  <c r="O47" i="8"/>
  <c r="O47" i="23" s="1"/>
  <c r="O103" i="23" s="1"/>
  <c r="O47" i="9"/>
  <c r="O46" i="8"/>
  <c r="O46" i="23" s="1"/>
  <c r="O102" i="23" s="1"/>
  <c r="O46" i="9"/>
  <c r="O42" i="8"/>
  <c r="O42" i="23" s="1"/>
  <c r="O98" i="23" s="1"/>
  <c r="O42" i="9"/>
  <c r="O10" i="8"/>
  <c r="O10" i="23" s="1"/>
  <c r="O66" i="23" s="1"/>
  <c r="O10" i="9"/>
  <c r="O16" i="8"/>
  <c r="O16" i="23" s="1"/>
  <c r="O72" i="23" s="1"/>
  <c r="O16" i="9"/>
  <c r="M31" i="7"/>
  <c r="X16" i="8"/>
  <c r="W16" i="23" s="1"/>
  <c r="W72" i="23" s="1"/>
  <c r="X16" i="9"/>
  <c r="X6" i="8"/>
  <c r="W6" i="23" s="1"/>
  <c r="W62" i="23" s="1"/>
  <c r="X6" i="9"/>
  <c r="X40" i="8"/>
  <c r="W40" i="23" s="1"/>
  <c r="W96" i="23" s="1"/>
  <c r="X40" i="9"/>
  <c r="X44" i="8"/>
  <c r="W44" i="23" s="1"/>
  <c r="W100" i="23" s="1"/>
  <c r="X44" i="9"/>
  <c r="X26" i="8"/>
  <c r="W26" i="23" s="1"/>
  <c r="W82" i="23" s="1"/>
  <c r="X26" i="9"/>
  <c r="X46" i="8"/>
  <c r="W46" i="23" s="1"/>
  <c r="W102" i="23" s="1"/>
  <c r="X46" i="9"/>
  <c r="AD50" i="7"/>
  <c r="AC50" i="8"/>
  <c r="AD50" i="8" s="1"/>
  <c r="AC50" i="9"/>
  <c r="AD50" i="9" s="1"/>
  <c r="AC41" i="8"/>
  <c r="AD41" i="8" s="1"/>
  <c r="AD41" i="7"/>
  <c r="AC41" i="9"/>
  <c r="AD41" i="9" s="1"/>
  <c r="AD44" i="7"/>
  <c r="AC44" i="8"/>
  <c r="AD44" i="8" s="1"/>
  <c r="AC44" i="9"/>
  <c r="AD44" i="9" s="1"/>
  <c r="AD9" i="7"/>
  <c r="AC9" i="8"/>
  <c r="AD9" i="8" s="1"/>
  <c r="AC9" i="9"/>
  <c r="AD9" i="9" s="1"/>
  <c r="AD10" i="7"/>
  <c r="AC10" i="8"/>
  <c r="AD10" i="8" s="1"/>
  <c r="AC10" i="9"/>
  <c r="AD10" i="9" s="1"/>
  <c r="P36" i="8"/>
  <c r="P36" i="23" s="1"/>
  <c r="P92" i="23" s="1"/>
  <c r="P36" i="9"/>
  <c r="R42" i="9"/>
  <c r="R46" i="9"/>
  <c r="R24" i="9"/>
  <c r="R10" i="9"/>
  <c r="R26" i="9"/>
  <c r="M35" i="7"/>
  <c r="P37" i="8"/>
  <c r="P37" i="23" s="1"/>
  <c r="P93" i="23" s="1"/>
  <c r="P37" i="9"/>
  <c r="M27" i="7"/>
  <c r="F4" i="5"/>
  <c r="E4" i="5"/>
  <c r="D10" i="5"/>
  <c r="T60" i="6" s="1"/>
  <c r="C7" i="26" l="1"/>
  <c r="C13" i="26" s="1"/>
  <c r="C9" i="26"/>
  <c r="C15" i="26" s="1"/>
  <c r="C11" i="26"/>
  <c r="Q8" i="8"/>
  <c r="Q8" i="23" s="1"/>
  <c r="Q64" i="23" s="1"/>
  <c r="Q49" i="8"/>
  <c r="Q49" i="23" s="1"/>
  <c r="Q105" i="23" s="1"/>
  <c r="AC13" i="8"/>
  <c r="W45" i="8"/>
  <c r="V45" i="23" s="1"/>
  <c r="V101" i="23" s="1"/>
  <c r="U25" i="8"/>
  <c r="T25" i="23" s="1"/>
  <c r="T81" i="23" s="1"/>
  <c r="P15" i="25"/>
  <c r="Q31" i="24"/>
  <c r="Q75" i="24" s="1"/>
  <c r="AA45" i="23"/>
  <c r="AA101" i="23" s="1"/>
  <c r="Q21" i="24"/>
  <c r="Q65" i="24" s="1"/>
  <c r="Q35" i="24"/>
  <c r="Q79" i="24" s="1"/>
  <c r="AA21" i="23"/>
  <c r="AA77" i="23" s="1"/>
  <c r="AA40" i="23"/>
  <c r="AA96" i="23" s="1"/>
  <c r="AI36" i="9"/>
  <c r="AI35" i="9"/>
  <c r="AI30" i="9"/>
  <c r="AI30" i="8"/>
  <c r="AE30" i="23" s="1"/>
  <c r="AE86" i="23" s="1"/>
  <c r="AI45" i="9"/>
  <c r="AI14" i="9"/>
  <c r="AI32" i="9"/>
  <c r="AI10" i="9"/>
  <c r="AA52" i="23"/>
  <c r="AA108" i="23" s="1"/>
  <c r="Q24" i="24"/>
  <c r="Q68" i="24" s="1"/>
  <c r="T42" i="23"/>
  <c r="T98" i="23" s="1"/>
  <c r="S19" i="12"/>
  <c r="Q19" i="24"/>
  <c r="Q63" i="24" s="1"/>
  <c r="Q17" i="24"/>
  <c r="Q61" i="24" s="1"/>
  <c r="AA32" i="23"/>
  <c r="AA88" i="23" s="1"/>
  <c r="Q12" i="24"/>
  <c r="Q56" i="24" s="1"/>
  <c r="Q39" i="24"/>
  <c r="Q83" i="24" s="1"/>
  <c r="AA7" i="23"/>
  <c r="AA63" i="23" s="1"/>
  <c r="AA39" i="23"/>
  <c r="AA95" i="23" s="1"/>
  <c r="AA24" i="23"/>
  <c r="AA80" i="23" s="1"/>
  <c r="AA31" i="23"/>
  <c r="AA87" i="23" s="1"/>
  <c r="Q32" i="24"/>
  <c r="Q76" i="24" s="1"/>
  <c r="Q27" i="24"/>
  <c r="Q71" i="24" s="1"/>
  <c r="AI51" i="9"/>
  <c r="AI51" i="8"/>
  <c r="AE51" i="23" s="1"/>
  <c r="AE107" i="23" s="1"/>
  <c r="AI42" i="9"/>
  <c r="AI5" i="9"/>
  <c r="AI57" i="7"/>
  <c r="AI62" i="7" s="1"/>
  <c r="AI32" i="8" s="1"/>
  <c r="AE32" i="23" s="1"/>
  <c r="AE88" i="23" s="1"/>
  <c r="AI5" i="8"/>
  <c r="AI46" i="9"/>
  <c r="AI44" i="9"/>
  <c r="AI44" i="8"/>
  <c r="AE44" i="23" s="1"/>
  <c r="AE100" i="23" s="1"/>
  <c r="AI26" i="9"/>
  <c r="AI26" i="8"/>
  <c r="AE26" i="23" s="1"/>
  <c r="AE82" i="23" s="1"/>
  <c r="AA49" i="23"/>
  <c r="AA105" i="23" s="1"/>
  <c r="Q43" i="24"/>
  <c r="Q87" i="24" s="1"/>
  <c r="Q6" i="8"/>
  <c r="Q6" i="23" s="1"/>
  <c r="Q62" i="23" s="1"/>
  <c r="U6" i="8"/>
  <c r="T6" i="23" s="1"/>
  <c r="T62" i="23" s="1"/>
  <c r="Q37" i="24"/>
  <c r="Q81" i="24" s="1"/>
  <c r="AA48" i="23"/>
  <c r="AA104" i="23" s="1"/>
  <c r="AA10" i="23"/>
  <c r="AA66" i="23" s="1"/>
  <c r="Q13" i="24"/>
  <c r="Q57" i="24" s="1"/>
  <c r="AA12" i="23"/>
  <c r="AA68" i="23" s="1"/>
  <c r="AA53" i="23"/>
  <c r="AA109" i="23" s="1"/>
  <c r="AA25" i="23"/>
  <c r="AA81" i="23" s="1"/>
  <c r="Q15" i="24"/>
  <c r="Q59" i="24" s="1"/>
  <c r="Q23" i="24"/>
  <c r="Q67" i="24" s="1"/>
  <c r="AE19" i="23"/>
  <c r="AE75" i="23" s="1"/>
  <c r="AI19" i="9"/>
  <c r="AI19" i="8"/>
  <c r="AI43" i="9"/>
  <c r="AI43" i="8"/>
  <c r="AE43" i="23" s="1"/>
  <c r="AE99" i="23" s="1"/>
  <c r="AI28" i="9"/>
  <c r="AI28" i="8"/>
  <c r="AE28" i="23" s="1"/>
  <c r="AE84" i="23" s="1"/>
  <c r="AE9" i="23"/>
  <c r="AE65" i="23" s="1"/>
  <c r="AI9" i="9"/>
  <c r="AI9" i="8"/>
  <c r="AI20" i="9"/>
  <c r="AI20" i="8"/>
  <c r="AE20" i="23" s="1"/>
  <c r="AE76" i="23" s="1"/>
  <c r="AI47" i="9"/>
  <c r="AI47" i="8"/>
  <c r="AE47" i="23" s="1"/>
  <c r="AE103" i="23" s="1"/>
  <c r="AA37" i="23"/>
  <c r="AA93" i="23" s="1"/>
  <c r="Q43" i="8"/>
  <c r="Q43" i="23" s="1"/>
  <c r="Q99" i="23" s="1"/>
  <c r="Q5" i="8"/>
  <c r="Q5" i="23" s="1"/>
  <c r="Q61" i="23" s="1"/>
  <c r="S20" i="12"/>
  <c r="Q20" i="24"/>
  <c r="Q64" i="24" s="1"/>
  <c r="Q6" i="24"/>
  <c r="Q50" i="24" s="1"/>
  <c r="G9" i="26" s="1"/>
  <c r="G15" i="26" s="1"/>
  <c r="Q29" i="24"/>
  <c r="Q73" i="24" s="1"/>
  <c r="Q16" i="24"/>
  <c r="Q60" i="24" s="1"/>
  <c r="Q9" i="24"/>
  <c r="Q53" i="24" s="1"/>
  <c r="AA9" i="23"/>
  <c r="AA65" i="23" s="1"/>
  <c r="Q40" i="24"/>
  <c r="Q84" i="24" s="1"/>
  <c r="AA54" i="23"/>
  <c r="AA110" i="23" s="1"/>
  <c r="AA33" i="23"/>
  <c r="AA89" i="23" s="1"/>
  <c r="AA35" i="23"/>
  <c r="AA91" i="23" s="1"/>
  <c r="Q10" i="24"/>
  <c r="Q54" i="24" s="1"/>
  <c r="Q41" i="24"/>
  <c r="Q85" i="24" s="1"/>
  <c r="AA47" i="23"/>
  <c r="AA103" i="23" s="1"/>
  <c r="AE41" i="23"/>
  <c r="AE97" i="23" s="1"/>
  <c r="AI41" i="9"/>
  <c r="AI41" i="8"/>
  <c r="AI24" i="9"/>
  <c r="AI24" i="8"/>
  <c r="AE24" i="23" s="1"/>
  <c r="AE80" i="23" s="1"/>
  <c r="AI29" i="9"/>
  <c r="AI29" i="8"/>
  <c r="AE29" i="23" s="1"/>
  <c r="AE85" i="23" s="1"/>
  <c r="AE15" i="23"/>
  <c r="AE71" i="23" s="1"/>
  <c r="AI15" i="9"/>
  <c r="AI15" i="8"/>
  <c r="AI48" i="9"/>
  <c r="AI48" i="8"/>
  <c r="AE48" i="23" s="1"/>
  <c r="AE104" i="23" s="1"/>
  <c r="AI23" i="9"/>
  <c r="AI23" i="8"/>
  <c r="AE23" i="23" s="1"/>
  <c r="AE79" i="23" s="1"/>
  <c r="Q18" i="8"/>
  <c r="Q18" i="23" s="1"/>
  <c r="Q74" i="23" s="1"/>
  <c r="Q40" i="8"/>
  <c r="Q40" i="23" s="1"/>
  <c r="Q96" i="23" s="1"/>
  <c r="AC19" i="8"/>
  <c r="U55" i="8"/>
  <c r="T55" i="23" s="1"/>
  <c r="T111" i="23" s="1"/>
  <c r="Q8" i="24"/>
  <c r="Q52" i="24" s="1"/>
  <c r="Q18" i="24"/>
  <c r="Q62" i="24" s="1"/>
  <c r="AA44" i="23"/>
  <c r="AA100" i="23" s="1"/>
  <c r="Q14" i="24"/>
  <c r="Q58" i="24" s="1"/>
  <c r="AA34" i="23"/>
  <c r="AA90" i="23" s="1"/>
  <c r="AA28" i="23"/>
  <c r="AA84" i="23" s="1"/>
  <c r="AA30" i="23"/>
  <c r="AA86" i="23" s="1"/>
  <c r="Q36" i="24"/>
  <c r="Q80" i="24" s="1"/>
  <c r="AA22" i="23"/>
  <c r="AA78" i="23" s="1"/>
  <c r="Q38" i="24"/>
  <c r="Q82" i="24" s="1"/>
  <c r="AI39" i="9"/>
  <c r="AI39" i="8"/>
  <c r="AE39" i="23" s="1"/>
  <c r="AE95" i="23" s="1"/>
  <c r="AI52" i="9"/>
  <c r="AI52" i="8"/>
  <c r="AE52" i="23" s="1"/>
  <c r="AE108" i="23" s="1"/>
  <c r="AE49" i="23"/>
  <c r="AE105" i="23" s="1"/>
  <c r="AI49" i="9"/>
  <c r="AI49" i="8"/>
  <c r="AI34" i="9"/>
  <c r="AI34" i="8"/>
  <c r="AE34" i="23" s="1"/>
  <c r="AE90" i="23" s="1"/>
  <c r="AI17" i="9"/>
  <c r="AI17" i="8"/>
  <c r="AE17" i="23" s="1"/>
  <c r="AE73" i="23" s="1"/>
  <c r="AI53" i="9"/>
  <c r="AI53" i="8"/>
  <c r="AE53" i="23" s="1"/>
  <c r="AE109" i="23" s="1"/>
  <c r="Q22" i="8"/>
  <c r="Q22" i="23" s="1"/>
  <c r="Q78" i="23" s="1"/>
  <c r="W15" i="8"/>
  <c r="V15" i="23" s="1"/>
  <c r="V71" i="23" s="1"/>
  <c r="Q28" i="24"/>
  <c r="Q72" i="24" s="1"/>
  <c r="Q33" i="24"/>
  <c r="Q77" i="24" s="1"/>
  <c r="AA41" i="23"/>
  <c r="AA97" i="23" s="1"/>
  <c r="AA51" i="23"/>
  <c r="AA107" i="23" s="1"/>
  <c r="AA17" i="23"/>
  <c r="AA73" i="23" s="1"/>
  <c r="AI54" i="9"/>
  <c r="AE54" i="23" s="1"/>
  <c r="AE110" i="23" s="1"/>
  <c r="AI54" i="8"/>
  <c r="AE38" i="23"/>
  <c r="AE94" i="23" s="1"/>
  <c r="AI38" i="9"/>
  <c r="AI38" i="8"/>
  <c r="AI22" i="9"/>
  <c r="AI22" i="8"/>
  <c r="AE22" i="23" s="1"/>
  <c r="AE78" i="23" s="1"/>
  <c r="AI55" i="9"/>
  <c r="AI55" i="8"/>
  <c r="AE55" i="23" s="1"/>
  <c r="AE111" i="23" s="1"/>
  <c r="AE18" i="23"/>
  <c r="AE74" i="23" s="1"/>
  <c r="AI18" i="9"/>
  <c r="AI18" i="8"/>
  <c r="AI16" i="9"/>
  <c r="AI16" i="8"/>
  <c r="AE16" i="23" s="1"/>
  <c r="AE72" i="23" s="1"/>
  <c r="Q28" i="8"/>
  <c r="Q28" i="23" s="1"/>
  <c r="Q84" i="23" s="1"/>
  <c r="Q42" i="8"/>
  <c r="Q42" i="23" s="1"/>
  <c r="Q98" i="23" s="1"/>
  <c r="E30" i="5"/>
  <c r="AD38" i="8"/>
  <c r="AA38" i="23"/>
  <c r="AA94" i="23" s="1"/>
  <c r="O15" i="25"/>
  <c r="Q22" i="24"/>
  <c r="Q66" i="24" s="1"/>
  <c r="AA23" i="23"/>
  <c r="AA79" i="23" s="1"/>
  <c r="AA14" i="23"/>
  <c r="AA70" i="23" s="1"/>
  <c r="Q30" i="24"/>
  <c r="Q74" i="24" s="1"/>
  <c r="Q34" i="24"/>
  <c r="Q78" i="24" s="1"/>
  <c r="AA50" i="23"/>
  <c r="AA106" i="23" s="1"/>
  <c r="Q25" i="24"/>
  <c r="Q69" i="24" s="1"/>
  <c r="AA8" i="23"/>
  <c r="AA64" i="23" s="1"/>
  <c r="AI7" i="9"/>
  <c r="AI7" i="8"/>
  <c r="AE7" i="23" s="1"/>
  <c r="AE63" i="23" s="1"/>
  <c r="AI11" i="9"/>
  <c r="AI11" i="8"/>
  <c r="AE11" i="23" s="1"/>
  <c r="AE67" i="23" s="1"/>
  <c r="AE33" i="23"/>
  <c r="AE89" i="23" s="1"/>
  <c r="AI33" i="9"/>
  <c r="AI33" i="8"/>
  <c r="AI12" i="9"/>
  <c r="AI12" i="8"/>
  <c r="AE12" i="23" s="1"/>
  <c r="AE68" i="23" s="1"/>
  <c r="AI50" i="9"/>
  <c r="AI50" i="8"/>
  <c r="AE50" i="23" s="1"/>
  <c r="AE106" i="23" s="1"/>
  <c r="AE8" i="23"/>
  <c r="AE64" i="23" s="1"/>
  <c r="AI8" i="9"/>
  <c r="AI8" i="8"/>
  <c r="AI27" i="9"/>
  <c r="AE27" i="23" s="1"/>
  <c r="AE83" i="23" s="1"/>
  <c r="AI27" i="8"/>
  <c r="AA36" i="23"/>
  <c r="AA92" i="23" s="1"/>
  <c r="Q42" i="24"/>
  <c r="Q86" i="24" s="1"/>
  <c r="Q26" i="24"/>
  <c r="Q70" i="24" s="1"/>
  <c r="Q7" i="24"/>
  <c r="Q51" i="24" s="1"/>
  <c r="AA29" i="23"/>
  <c r="AA85" i="23" s="1"/>
  <c r="AA26" i="23"/>
  <c r="AA82" i="23" s="1"/>
  <c r="AE25" i="23"/>
  <c r="AE81" i="23" s="1"/>
  <c r="AI25" i="9"/>
  <c r="AI25" i="8"/>
  <c r="AI21" i="9"/>
  <c r="AI21" i="8"/>
  <c r="AE21" i="23" s="1"/>
  <c r="AE77" i="23" s="1"/>
  <c r="AI40" i="9"/>
  <c r="AI40" i="8"/>
  <c r="AE40" i="23" s="1"/>
  <c r="AE96" i="23" s="1"/>
  <c r="AE31" i="23"/>
  <c r="AE87" i="23" s="1"/>
  <c r="AI31" i="9"/>
  <c r="AI31" i="8"/>
  <c r="AI6" i="9"/>
  <c r="AI6" i="8"/>
  <c r="AE6" i="23" s="1"/>
  <c r="AE62" i="23" s="1"/>
  <c r="AI37" i="9"/>
  <c r="AI37" i="8"/>
  <c r="AE37" i="23" s="1"/>
  <c r="AE93" i="23" s="1"/>
  <c r="AI13" i="9"/>
  <c r="AI13" i="8"/>
  <c r="AE13" i="23" s="1"/>
  <c r="AE69" i="23" s="1"/>
  <c r="AA15" i="23"/>
  <c r="AA71" i="23" s="1"/>
  <c r="Q11" i="24"/>
  <c r="Q55" i="24" s="1"/>
  <c r="G14" i="26"/>
  <c r="C14" i="26"/>
  <c r="P13" i="25"/>
  <c r="O13" i="25"/>
  <c r="P14" i="25"/>
  <c r="O14" i="25"/>
  <c r="X5" i="8"/>
  <c r="W5" i="23" s="1"/>
  <c r="W61" i="23" s="1"/>
  <c r="M9" i="25" s="1"/>
  <c r="U5" i="8"/>
  <c r="T5" i="23" s="1"/>
  <c r="T61" i="23" s="1"/>
  <c r="O48" i="8"/>
  <c r="O48" i="23" s="1"/>
  <c r="O104" i="23" s="1"/>
  <c r="X25" i="8"/>
  <c r="W25" i="23" s="1"/>
  <c r="W81" i="23" s="1"/>
  <c r="Q12" i="8"/>
  <c r="Q12" i="23" s="1"/>
  <c r="Q68" i="23" s="1"/>
  <c r="AH30" i="8"/>
  <c r="AD30" i="23" s="1"/>
  <c r="AD86" i="23" s="1"/>
  <c r="P9" i="8"/>
  <c r="P9" i="23" s="1"/>
  <c r="P65" i="23" s="1"/>
  <c r="Y23" i="8"/>
  <c r="Y43" i="8"/>
  <c r="Y16" i="8"/>
  <c r="Y28" i="8"/>
  <c r="Y31" i="8"/>
  <c r="X31" i="23" s="1"/>
  <c r="X87" i="23" s="1"/>
  <c r="Y21" i="8"/>
  <c r="Y6" i="8"/>
  <c r="Y38" i="8"/>
  <c r="Y45" i="8"/>
  <c r="Y24" i="8"/>
  <c r="Y46" i="8"/>
  <c r="Y26" i="8"/>
  <c r="Y13" i="8"/>
  <c r="X13" i="23" s="1"/>
  <c r="X69" i="23" s="1"/>
  <c r="Y15" i="8"/>
  <c r="Y48" i="8"/>
  <c r="Y30" i="8"/>
  <c r="Y54" i="8"/>
  <c r="Y20" i="8"/>
  <c r="Y49" i="8"/>
  <c r="Y52" i="8"/>
  <c r="Y27" i="8"/>
  <c r="Y25" i="8"/>
  <c r="Y47" i="8"/>
  <c r="Y39" i="8"/>
  <c r="Y50" i="8"/>
  <c r="Y34" i="8"/>
  <c r="X34" i="23" s="1"/>
  <c r="X90" i="23" s="1"/>
  <c r="Y35" i="8"/>
  <c r="Y37" i="8"/>
  <c r="Y18" i="8"/>
  <c r="X18" i="23" s="1"/>
  <c r="X74" i="23" s="1"/>
  <c r="Y12" i="8"/>
  <c r="Y40" i="8"/>
  <c r="Y14" i="8"/>
  <c r="Y19" i="8"/>
  <c r="Y17" i="8"/>
  <c r="Y22" i="8"/>
  <c r="X22" i="23" s="1"/>
  <c r="X78" i="23" s="1"/>
  <c r="Y55" i="8"/>
  <c r="Y44" i="8"/>
  <c r="X44" i="23" s="1"/>
  <c r="X100" i="23" s="1"/>
  <c r="Y7" i="8"/>
  <c r="Y5" i="8"/>
  <c r="Y11" i="8"/>
  <c r="Y8" i="8"/>
  <c r="X8" i="23" s="1"/>
  <c r="X64" i="23" s="1"/>
  <c r="Y33" i="8"/>
  <c r="X33" i="23" s="1"/>
  <c r="X89" i="23" s="1"/>
  <c r="Y53" i="8"/>
  <c r="Y10" i="8"/>
  <c r="Y36" i="8"/>
  <c r="X36" i="23" s="1"/>
  <c r="X92" i="23" s="1"/>
  <c r="Y51" i="8"/>
  <c r="P5" i="8"/>
  <c r="P5" i="23" s="1"/>
  <c r="P61" i="23" s="1"/>
  <c r="P24" i="8"/>
  <c r="P24" i="23" s="1"/>
  <c r="P80" i="23" s="1"/>
  <c r="X21" i="8"/>
  <c r="W21" i="23" s="1"/>
  <c r="W77" i="23" s="1"/>
  <c r="O31" i="8"/>
  <c r="O31" i="23" s="1"/>
  <c r="O87" i="23" s="1"/>
  <c r="AH9" i="8"/>
  <c r="AD9" i="23" s="1"/>
  <c r="AD65" i="23" s="1"/>
  <c r="AH13" i="8"/>
  <c r="AD13" i="23" s="1"/>
  <c r="AD69" i="23" s="1"/>
  <c r="Y9" i="8"/>
  <c r="X9" i="23" s="1"/>
  <c r="X65" i="23" s="1"/>
  <c r="P18" i="8"/>
  <c r="P18" i="23" s="1"/>
  <c r="P74" i="23" s="1"/>
  <c r="O13" i="8"/>
  <c r="O13" i="23" s="1"/>
  <c r="O69" i="23" s="1"/>
  <c r="Q44" i="8"/>
  <c r="Q44" i="23" s="1"/>
  <c r="Q100" i="23" s="1"/>
  <c r="X33" i="8"/>
  <c r="W33" i="23" s="1"/>
  <c r="W89" i="23" s="1"/>
  <c r="W5" i="8"/>
  <c r="V5" i="23" s="1"/>
  <c r="V61" i="23" s="1"/>
  <c r="X11" i="8"/>
  <c r="W11" i="23" s="1"/>
  <c r="W67" i="23" s="1"/>
  <c r="AH44" i="8"/>
  <c r="AD44" i="23" s="1"/>
  <c r="AD100" i="23" s="1"/>
  <c r="AH17" i="8"/>
  <c r="AD17" i="23" s="1"/>
  <c r="AD73" i="23" s="1"/>
  <c r="Y42" i="8"/>
  <c r="Q36" i="8"/>
  <c r="Q36" i="23" s="1"/>
  <c r="Q92" i="23" s="1"/>
  <c r="P14" i="8"/>
  <c r="P14" i="23" s="1"/>
  <c r="P70" i="23" s="1"/>
  <c r="AH38" i="8"/>
  <c r="AD38" i="23" s="1"/>
  <c r="AD94" i="23" s="1"/>
  <c r="U21" i="8"/>
  <c r="T21" i="23" s="1"/>
  <c r="T77" i="23" s="1"/>
  <c r="Y29" i="8"/>
  <c r="X29" i="23" s="1"/>
  <c r="X85" i="23" s="1"/>
  <c r="P11" i="8"/>
  <c r="P11" i="23" s="1"/>
  <c r="P67" i="23" s="1"/>
  <c r="P53" i="8"/>
  <c r="P53" i="23" s="1"/>
  <c r="P109" i="23" s="1"/>
  <c r="P13" i="8"/>
  <c r="P13" i="23" s="1"/>
  <c r="P69" i="23" s="1"/>
  <c r="O37" i="8"/>
  <c r="O37" i="23" s="1"/>
  <c r="O93" i="23" s="1"/>
  <c r="AH5" i="8"/>
  <c r="AD5" i="23" s="1"/>
  <c r="AD61" i="23" s="1"/>
  <c r="Y32" i="8"/>
  <c r="P30" i="8"/>
  <c r="X36" i="8"/>
  <c r="W36" i="23" s="1"/>
  <c r="W92" i="23" s="1"/>
  <c r="Y41" i="8"/>
  <c r="Y52" i="9"/>
  <c r="Y27" i="9"/>
  <c r="Y29" i="9"/>
  <c r="Y41" i="9"/>
  <c r="Y24" i="9"/>
  <c r="Y23" i="9"/>
  <c r="Y26" i="9"/>
  <c r="Y48" i="9"/>
  <c r="Y43" i="9"/>
  <c r="Y25" i="9"/>
  <c r="Y35" i="9"/>
  <c r="Y22" i="9"/>
  <c r="Y19" i="9"/>
  <c r="Y53" i="9"/>
  <c r="Y44" i="9"/>
  <c r="Y39" i="9"/>
  <c r="Y20" i="9"/>
  <c r="Y15" i="9"/>
  <c r="Y18" i="9"/>
  <c r="Y6" i="9"/>
  <c r="Y54" i="9"/>
  <c r="Y49" i="9"/>
  <c r="Y37" i="9"/>
  <c r="Y45" i="9"/>
  <c r="Y17" i="9"/>
  <c r="Y11" i="9"/>
  <c r="Y13" i="9"/>
  <c r="Y31" i="9"/>
  <c r="Y50" i="9"/>
  <c r="Y46" i="9"/>
  <c r="Y32" i="9"/>
  <c r="Y40" i="9"/>
  <c r="Y21" i="9"/>
  <c r="Y7" i="9"/>
  <c r="Y9" i="9"/>
  <c r="Y8" i="9"/>
  <c r="Y55" i="9"/>
  <c r="Y42" i="9"/>
  <c r="Y28" i="9"/>
  <c r="Y34" i="9"/>
  <c r="Y14" i="9"/>
  <c r="Y16" i="9"/>
  <c r="Y5" i="9"/>
  <c r="Y33" i="9"/>
  <c r="Y51" i="9"/>
  <c r="Y36" i="9"/>
  <c r="Y38" i="9"/>
  <c r="Y30" i="9"/>
  <c r="Y10" i="9"/>
  <c r="Y12" i="9"/>
  <c r="Y47" i="9"/>
  <c r="S45" i="11"/>
  <c r="AA35" i="11"/>
  <c r="Z35" i="12"/>
  <c r="AA35" i="12" s="1"/>
  <c r="Z35" i="13"/>
  <c r="AA35" i="13" s="1"/>
  <c r="T58" i="8"/>
  <c r="T58" i="7"/>
  <c r="T58" i="9"/>
  <c r="M27" i="9"/>
  <c r="M17" i="9"/>
  <c r="M23" i="9"/>
  <c r="L16" i="8"/>
  <c r="L16" i="23" s="1"/>
  <c r="L72" i="23" s="1"/>
  <c r="W40" i="11"/>
  <c r="T40" i="12"/>
  <c r="R40" i="24" s="1"/>
  <c r="R84" i="24" s="1"/>
  <c r="T40" i="13"/>
  <c r="W35" i="11"/>
  <c r="T35" i="12"/>
  <c r="R35" i="24" s="1"/>
  <c r="R79" i="24" s="1"/>
  <c r="T35" i="13"/>
  <c r="W13" i="11"/>
  <c r="T13" i="12"/>
  <c r="R13" i="24" s="1"/>
  <c r="R57" i="24" s="1"/>
  <c r="T13" i="13"/>
  <c r="W20" i="11"/>
  <c r="T20" i="12"/>
  <c r="R20" i="24" s="1"/>
  <c r="R64" i="24" s="1"/>
  <c r="T20" i="13"/>
  <c r="W10" i="11"/>
  <c r="T10" i="12"/>
  <c r="R10" i="24" s="1"/>
  <c r="R54" i="24" s="1"/>
  <c r="T10" i="13"/>
  <c r="O57" i="9"/>
  <c r="L42" i="8"/>
  <c r="L42" i="23" s="1"/>
  <c r="L98" i="23" s="1"/>
  <c r="N19" i="12"/>
  <c r="N19" i="24" s="1"/>
  <c r="N63" i="24" s="1"/>
  <c r="N19" i="13"/>
  <c r="N34" i="12"/>
  <c r="N34" i="24" s="1"/>
  <c r="N78" i="24" s="1"/>
  <c r="N34" i="13"/>
  <c r="N28" i="12"/>
  <c r="N28" i="24" s="1"/>
  <c r="N72" i="24" s="1"/>
  <c r="N28" i="13"/>
  <c r="N9" i="12"/>
  <c r="N9" i="24" s="1"/>
  <c r="N53" i="24" s="1"/>
  <c r="N9" i="13"/>
  <c r="N10" i="12"/>
  <c r="N10" i="24" s="1"/>
  <c r="N54" i="24" s="1"/>
  <c r="N10" i="13"/>
  <c r="M10" i="9"/>
  <c r="P39" i="12"/>
  <c r="P39" i="24" s="1"/>
  <c r="P83" i="24" s="1"/>
  <c r="P39" i="13"/>
  <c r="P37" i="12"/>
  <c r="P37" i="24" s="1"/>
  <c r="P81" i="24" s="1"/>
  <c r="P37" i="13"/>
  <c r="P32" i="12"/>
  <c r="P32" i="24" s="1"/>
  <c r="P76" i="24" s="1"/>
  <c r="P32" i="13"/>
  <c r="P7" i="12"/>
  <c r="P7" i="24" s="1"/>
  <c r="P51" i="24" s="1"/>
  <c r="P7" i="13"/>
  <c r="P17" i="12"/>
  <c r="P17" i="24" s="1"/>
  <c r="P61" i="24" s="1"/>
  <c r="P17" i="13"/>
  <c r="P42" i="8"/>
  <c r="P42" i="23" s="1"/>
  <c r="P98" i="23" s="1"/>
  <c r="M46" i="9"/>
  <c r="S5" i="12"/>
  <c r="S45" i="12" s="1"/>
  <c r="R45" i="12"/>
  <c r="L5" i="8"/>
  <c r="L5" i="23" s="1"/>
  <c r="L61" i="23" s="1"/>
  <c r="O25" i="12"/>
  <c r="O25" i="24" s="1"/>
  <c r="O69" i="24" s="1"/>
  <c r="O25" i="13"/>
  <c r="O14" i="12"/>
  <c r="O14" i="24" s="1"/>
  <c r="O58" i="24" s="1"/>
  <c r="O14" i="13"/>
  <c r="O42" i="12"/>
  <c r="O42" i="24" s="1"/>
  <c r="O86" i="24" s="1"/>
  <c r="O42" i="13"/>
  <c r="O23" i="12"/>
  <c r="O23" i="24" s="1"/>
  <c r="O67" i="24" s="1"/>
  <c r="O23" i="13"/>
  <c r="O10" i="12"/>
  <c r="O10" i="24" s="1"/>
  <c r="O54" i="24" s="1"/>
  <c r="O10" i="13"/>
  <c r="P33" i="8"/>
  <c r="P51" i="8"/>
  <c r="P51" i="23" s="1"/>
  <c r="P107" i="23" s="1"/>
  <c r="L50" i="8"/>
  <c r="L50" i="23" s="1"/>
  <c r="L106" i="23" s="1"/>
  <c r="U16" i="12"/>
  <c r="S16" i="24" s="1"/>
  <c r="S60" i="24" s="1"/>
  <c r="U16" i="13"/>
  <c r="U24" i="12"/>
  <c r="S24" i="24" s="1"/>
  <c r="S68" i="24" s="1"/>
  <c r="U24" i="13"/>
  <c r="U40" i="12"/>
  <c r="S40" i="24" s="1"/>
  <c r="S84" i="24" s="1"/>
  <c r="U40" i="13"/>
  <c r="U17" i="12"/>
  <c r="S17" i="24" s="1"/>
  <c r="S61" i="24" s="1"/>
  <c r="U17" i="13"/>
  <c r="U8" i="12"/>
  <c r="S8" i="24" s="1"/>
  <c r="S52" i="24" s="1"/>
  <c r="U8" i="13"/>
  <c r="R62" i="7"/>
  <c r="S62" i="7"/>
  <c r="Q50" i="8"/>
  <c r="Q50" i="23" s="1"/>
  <c r="Q106" i="23" s="1"/>
  <c r="AC27" i="8"/>
  <c r="L30" i="8"/>
  <c r="L30" i="23" s="1"/>
  <c r="L86" i="23" s="1"/>
  <c r="L53" i="8"/>
  <c r="L53" i="23" s="1"/>
  <c r="L109" i="23" s="1"/>
  <c r="V37" i="12"/>
  <c r="T37" i="24" s="1"/>
  <c r="T81" i="24" s="1"/>
  <c r="V37" i="13"/>
  <c r="V31" i="12"/>
  <c r="T31" i="24" s="1"/>
  <c r="T75" i="24" s="1"/>
  <c r="V31" i="13"/>
  <c r="V22" i="12"/>
  <c r="T22" i="24" s="1"/>
  <c r="T66" i="24" s="1"/>
  <c r="V22" i="13"/>
  <c r="V33" i="12"/>
  <c r="T33" i="24" s="1"/>
  <c r="T77" i="24" s="1"/>
  <c r="V33" i="13"/>
  <c r="V8" i="12"/>
  <c r="T8" i="24" s="1"/>
  <c r="T52" i="24" s="1"/>
  <c r="V8" i="13"/>
  <c r="AD57" i="7"/>
  <c r="X51" i="8"/>
  <c r="W51" i="23" s="1"/>
  <c r="W107" i="23" s="1"/>
  <c r="AH27" i="8"/>
  <c r="AD27" i="23" s="1"/>
  <c r="AD83" i="23" s="1"/>
  <c r="O41" i="8"/>
  <c r="O41" i="23" s="1"/>
  <c r="O97" i="23" s="1"/>
  <c r="Q34" i="8"/>
  <c r="Q34" i="23" s="1"/>
  <c r="Q90" i="23" s="1"/>
  <c r="P45" i="8"/>
  <c r="P45" i="23" s="1"/>
  <c r="P101" i="23" s="1"/>
  <c r="AH53" i="8"/>
  <c r="AD53" i="23" s="1"/>
  <c r="AD109" i="23" s="1"/>
  <c r="AC6" i="8"/>
  <c r="X32" i="8"/>
  <c r="W32" i="23" s="1"/>
  <c r="W88" i="23" s="1"/>
  <c r="X13" i="8"/>
  <c r="W13" i="23" s="1"/>
  <c r="W69" i="23" s="1"/>
  <c r="O36" i="8"/>
  <c r="O36" i="23" s="1"/>
  <c r="O92" i="23" s="1"/>
  <c r="Q27" i="8"/>
  <c r="Q27" i="23" s="1"/>
  <c r="Q83" i="23" s="1"/>
  <c r="Q55" i="8"/>
  <c r="Q55" i="23" s="1"/>
  <c r="Q111" i="23" s="1"/>
  <c r="W50" i="8"/>
  <c r="V50" i="23" s="1"/>
  <c r="V106" i="23" s="1"/>
  <c r="W24" i="8"/>
  <c r="V24" i="23" s="1"/>
  <c r="V80" i="23" s="1"/>
  <c r="L10" i="8"/>
  <c r="L10" i="23" s="1"/>
  <c r="L66" i="23" s="1"/>
  <c r="AA18" i="11"/>
  <c r="Z18" i="12"/>
  <c r="AA18" i="12" s="1"/>
  <c r="Z18" i="13"/>
  <c r="AA18" i="13" s="1"/>
  <c r="AA13" i="11"/>
  <c r="Z13" i="12"/>
  <c r="AA13" i="12" s="1"/>
  <c r="Z13" i="13"/>
  <c r="AA13" i="13" s="1"/>
  <c r="AA38" i="11"/>
  <c r="Z38" i="12"/>
  <c r="AA38" i="12" s="1"/>
  <c r="Z38" i="13"/>
  <c r="AA38" i="13" s="1"/>
  <c r="AA7" i="11"/>
  <c r="Z7" i="12"/>
  <c r="AA7" i="12" s="1"/>
  <c r="Z7" i="13"/>
  <c r="AA7" i="13" s="1"/>
  <c r="AA17" i="11"/>
  <c r="Z17" i="12"/>
  <c r="AA17" i="12" s="1"/>
  <c r="Z17" i="13"/>
  <c r="AA17" i="13" s="1"/>
  <c r="AH36" i="8"/>
  <c r="AD36" i="23" s="1"/>
  <c r="AD92" i="23" s="1"/>
  <c r="L18" i="8"/>
  <c r="L18" i="23" s="1"/>
  <c r="L74" i="23" s="1"/>
  <c r="AC18" i="8"/>
  <c r="W5" i="11"/>
  <c r="T5" i="12"/>
  <c r="R5" i="24" s="1"/>
  <c r="R49" i="24" s="1"/>
  <c r="T45" i="11"/>
  <c r="T5" i="13"/>
  <c r="N22" i="12"/>
  <c r="N22" i="24" s="1"/>
  <c r="N66" i="24" s="1"/>
  <c r="N22" i="13"/>
  <c r="M16" i="9"/>
  <c r="P14" i="12"/>
  <c r="P14" i="24" s="1"/>
  <c r="P58" i="24" s="1"/>
  <c r="P14" i="13"/>
  <c r="O43" i="12"/>
  <c r="O43" i="24" s="1"/>
  <c r="O87" i="24" s="1"/>
  <c r="O43" i="13"/>
  <c r="U35" i="12"/>
  <c r="S35" i="24" s="1"/>
  <c r="S79" i="24" s="1"/>
  <c r="U35" i="13"/>
  <c r="V32" i="12"/>
  <c r="T32" i="24" s="1"/>
  <c r="T76" i="24" s="1"/>
  <c r="V32" i="13"/>
  <c r="V9" i="12"/>
  <c r="T9" i="24" s="1"/>
  <c r="T53" i="24" s="1"/>
  <c r="V9" i="13"/>
  <c r="M30" i="9"/>
  <c r="AB46" i="13"/>
  <c r="AB46" i="12"/>
  <c r="AB46" i="10"/>
  <c r="AB46" i="11"/>
  <c r="N59" i="9"/>
  <c r="N59" i="8"/>
  <c r="N59" i="7"/>
  <c r="M12" i="9"/>
  <c r="W16" i="11"/>
  <c r="T16" i="12"/>
  <c r="R16" i="24" s="1"/>
  <c r="R60" i="24" s="1"/>
  <c r="T16" i="13"/>
  <c r="W37" i="11"/>
  <c r="T37" i="12"/>
  <c r="R37" i="24" s="1"/>
  <c r="R81" i="24" s="1"/>
  <c r="T37" i="13"/>
  <c r="W36" i="11"/>
  <c r="T36" i="12"/>
  <c r="R36" i="24" s="1"/>
  <c r="R80" i="24" s="1"/>
  <c r="T36" i="13"/>
  <c r="W11" i="11"/>
  <c r="T11" i="12"/>
  <c r="R11" i="24" s="1"/>
  <c r="R55" i="24" s="1"/>
  <c r="T11" i="13"/>
  <c r="W7" i="11"/>
  <c r="T7" i="12"/>
  <c r="R7" i="24" s="1"/>
  <c r="R51" i="24" s="1"/>
  <c r="T7" i="13"/>
  <c r="M33" i="9"/>
  <c r="M29" i="9"/>
  <c r="L54" i="8"/>
  <c r="L54" i="23" s="1"/>
  <c r="L110" i="23" s="1"/>
  <c r="N32" i="12"/>
  <c r="N32" i="24" s="1"/>
  <c r="N76" i="24" s="1"/>
  <c r="N32" i="13"/>
  <c r="N36" i="12"/>
  <c r="N36" i="24" s="1"/>
  <c r="N80" i="24" s="1"/>
  <c r="N36" i="13"/>
  <c r="N38" i="12"/>
  <c r="N38" i="24" s="1"/>
  <c r="N82" i="24" s="1"/>
  <c r="N38" i="13"/>
  <c r="N17" i="12"/>
  <c r="N17" i="24" s="1"/>
  <c r="N61" i="24" s="1"/>
  <c r="N17" i="13"/>
  <c r="N7" i="12"/>
  <c r="N7" i="24" s="1"/>
  <c r="N51" i="24" s="1"/>
  <c r="N7" i="13"/>
  <c r="M14" i="9"/>
  <c r="P30" i="12"/>
  <c r="P30" i="24" s="1"/>
  <c r="P74" i="24" s="1"/>
  <c r="P30" i="13"/>
  <c r="P35" i="12"/>
  <c r="P35" i="24" s="1"/>
  <c r="P79" i="24" s="1"/>
  <c r="P35" i="13"/>
  <c r="P38" i="12"/>
  <c r="P38" i="24" s="1"/>
  <c r="P82" i="24" s="1"/>
  <c r="P38" i="13"/>
  <c r="P10" i="12"/>
  <c r="P10" i="24" s="1"/>
  <c r="P54" i="24" s="1"/>
  <c r="P10" i="13"/>
  <c r="P6" i="12"/>
  <c r="P6" i="24" s="1"/>
  <c r="P50" i="24" s="1"/>
  <c r="P6" i="13"/>
  <c r="M50" i="9"/>
  <c r="O16" i="12"/>
  <c r="O16" i="24" s="1"/>
  <c r="O60" i="24" s="1"/>
  <c r="O16" i="13"/>
  <c r="O37" i="12"/>
  <c r="O37" i="24" s="1"/>
  <c r="O81" i="24" s="1"/>
  <c r="O37" i="13"/>
  <c r="O39" i="12"/>
  <c r="O39" i="24" s="1"/>
  <c r="O83" i="24" s="1"/>
  <c r="O39" i="13"/>
  <c r="O31" i="12"/>
  <c r="O31" i="24" s="1"/>
  <c r="O75" i="24" s="1"/>
  <c r="O31" i="13"/>
  <c r="O21" i="8"/>
  <c r="O21" i="23" s="1"/>
  <c r="O77" i="23" s="1"/>
  <c r="O28" i="8"/>
  <c r="O28" i="23" s="1"/>
  <c r="O84" i="23" s="1"/>
  <c r="M45" i="13"/>
  <c r="F35" i="5"/>
  <c r="L48" i="13"/>
  <c r="L48" i="10"/>
  <c r="L48" i="11"/>
  <c r="L48" i="12"/>
  <c r="L51" i="8"/>
  <c r="L51" i="23" s="1"/>
  <c r="L107" i="23" s="1"/>
  <c r="U36" i="12"/>
  <c r="S36" i="24" s="1"/>
  <c r="S80" i="24" s="1"/>
  <c r="U36" i="13"/>
  <c r="U23" i="12"/>
  <c r="S23" i="24" s="1"/>
  <c r="S67" i="24" s="1"/>
  <c r="U23" i="13"/>
  <c r="U19" i="12"/>
  <c r="S19" i="24" s="1"/>
  <c r="S63" i="24" s="1"/>
  <c r="U19" i="13"/>
  <c r="U9" i="12"/>
  <c r="S9" i="24" s="1"/>
  <c r="S53" i="24" s="1"/>
  <c r="U9" i="13"/>
  <c r="U45" i="11"/>
  <c r="U5" i="12"/>
  <c r="S5" i="24" s="1"/>
  <c r="S49" i="24" s="1"/>
  <c r="U5" i="13"/>
  <c r="L37" i="8"/>
  <c r="L37" i="23" s="1"/>
  <c r="L93" i="23" s="1"/>
  <c r="O30" i="8"/>
  <c r="O30" i="23" s="1"/>
  <c r="O86" i="23" s="1"/>
  <c r="Q25" i="8"/>
  <c r="Q25" i="23" s="1"/>
  <c r="Q81" i="23" s="1"/>
  <c r="P6" i="8"/>
  <c r="P6" i="23" s="1"/>
  <c r="P62" i="23" s="1"/>
  <c r="W47" i="8"/>
  <c r="V47" i="23" s="1"/>
  <c r="V103" i="23" s="1"/>
  <c r="W6" i="8"/>
  <c r="V6" i="23" s="1"/>
  <c r="V62" i="23" s="1"/>
  <c r="V21" i="12"/>
  <c r="T21" i="24" s="1"/>
  <c r="T65" i="24" s="1"/>
  <c r="V21" i="13"/>
  <c r="V43" i="12"/>
  <c r="T43" i="24" s="1"/>
  <c r="T87" i="24" s="1"/>
  <c r="V43" i="13"/>
  <c r="V14" i="12"/>
  <c r="T14" i="24" s="1"/>
  <c r="T58" i="24" s="1"/>
  <c r="V14" i="13"/>
  <c r="V25" i="12"/>
  <c r="T25" i="24" s="1"/>
  <c r="T69" i="24" s="1"/>
  <c r="V25" i="13"/>
  <c r="V5" i="12"/>
  <c r="T5" i="24" s="1"/>
  <c r="T49" i="24" s="1"/>
  <c r="V45" i="11"/>
  <c r="V5" i="13"/>
  <c r="AC5" i="8"/>
  <c r="AA5" i="23" s="1"/>
  <c r="AA61" i="23" s="1"/>
  <c r="AC55" i="8"/>
  <c r="L20" i="8"/>
  <c r="L20" i="23" s="1"/>
  <c r="L76" i="23" s="1"/>
  <c r="M24" i="9"/>
  <c r="AC42" i="8"/>
  <c r="AH32" i="8"/>
  <c r="AD32" i="23" s="1"/>
  <c r="AD88" i="23" s="1"/>
  <c r="P19" i="8"/>
  <c r="P19" i="23" s="1"/>
  <c r="P75" i="23" s="1"/>
  <c r="P35" i="8"/>
  <c r="P35" i="23" s="1"/>
  <c r="P91" i="23" s="1"/>
  <c r="P34" i="8"/>
  <c r="P34" i="23" s="1"/>
  <c r="P90" i="23" s="1"/>
  <c r="AA39" i="11"/>
  <c r="Z39" i="12"/>
  <c r="AA39" i="12" s="1"/>
  <c r="Z39" i="13"/>
  <c r="AA39" i="13" s="1"/>
  <c r="AA29" i="11"/>
  <c r="Z29" i="12"/>
  <c r="AA29" i="12" s="1"/>
  <c r="Z29" i="13"/>
  <c r="AA29" i="13" s="1"/>
  <c r="AA27" i="11"/>
  <c r="Z27" i="12"/>
  <c r="AA27" i="12" s="1"/>
  <c r="Z27" i="13"/>
  <c r="AA27" i="13" s="1"/>
  <c r="AA15" i="11"/>
  <c r="Z15" i="12"/>
  <c r="AA15" i="12" s="1"/>
  <c r="Z15" i="13"/>
  <c r="AA15" i="13" s="1"/>
  <c r="AA6" i="11"/>
  <c r="Z6" i="12"/>
  <c r="AA6" i="12" s="1"/>
  <c r="Z6" i="13"/>
  <c r="AA6" i="13" s="1"/>
  <c r="AH28" i="8"/>
  <c r="AD28" i="23" s="1"/>
  <c r="AD84" i="23" s="1"/>
  <c r="W32" i="11"/>
  <c r="T32" i="12"/>
  <c r="R32" i="24" s="1"/>
  <c r="R76" i="24" s="1"/>
  <c r="T32" i="13"/>
  <c r="N39" i="12"/>
  <c r="N39" i="24" s="1"/>
  <c r="N83" i="24" s="1"/>
  <c r="N39" i="13"/>
  <c r="N5" i="12"/>
  <c r="N5" i="24" s="1"/>
  <c r="N49" i="24" s="1"/>
  <c r="N5" i="13"/>
  <c r="N45" i="11"/>
  <c r="P27" i="12"/>
  <c r="P27" i="24" s="1"/>
  <c r="P71" i="24" s="1"/>
  <c r="P27" i="13"/>
  <c r="O15" i="12"/>
  <c r="O15" i="24" s="1"/>
  <c r="O59" i="24" s="1"/>
  <c r="O15" i="13"/>
  <c r="U22" i="12"/>
  <c r="S22" i="24" s="1"/>
  <c r="S66" i="24" s="1"/>
  <c r="U22" i="13"/>
  <c r="AA30" i="11"/>
  <c r="Z30" i="12"/>
  <c r="AA30" i="12" s="1"/>
  <c r="Z30" i="13"/>
  <c r="AA30" i="13" s="1"/>
  <c r="AA16" i="11"/>
  <c r="Z16" i="12"/>
  <c r="AA16" i="12" s="1"/>
  <c r="Z16" i="13"/>
  <c r="AA16" i="13" s="1"/>
  <c r="AA37" i="11"/>
  <c r="Z37" i="12"/>
  <c r="AA37" i="12" s="1"/>
  <c r="Z37" i="13"/>
  <c r="AA37" i="13" s="1"/>
  <c r="AA9" i="11"/>
  <c r="Z9" i="12"/>
  <c r="AA9" i="12" s="1"/>
  <c r="Z9" i="13"/>
  <c r="AA9" i="13" s="1"/>
  <c r="N60" i="9"/>
  <c r="N60" i="8"/>
  <c r="N60" i="7"/>
  <c r="M22" i="9"/>
  <c r="M8" i="9"/>
  <c r="L31" i="8"/>
  <c r="L31" i="23" s="1"/>
  <c r="L87" i="23" s="1"/>
  <c r="L46" i="8"/>
  <c r="L46" i="23" s="1"/>
  <c r="L102" i="23" s="1"/>
  <c r="W31" i="11"/>
  <c r="T31" i="12"/>
  <c r="R31" i="24" s="1"/>
  <c r="R75" i="24" s="1"/>
  <c r="T31" i="13"/>
  <c r="W38" i="11"/>
  <c r="T38" i="12"/>
  <c r="R38" i="24" s="1"/>
  <c r="R82" i="24" s="1"/>
  <c r="T38" i="13"/>
  <c r="W18" i="11"/>
  <c r="T18" i="12"/>
  <c r="R18" i="24" s="1"/>
  <c r="R62" i="24" s="1"/>
  <c r="T18" i="13"/>
  <c r="W6" i="11"/>
  <c r="T6" i="12"/>
  <c r="R6" i="24" s="1"/>
  <c r="R50" i="24" s="1"/>
  <c r="T6" i="13"/>
  <c r="W12" i="11"/>
  <c r="T12" i="12"/>
  <c r="R12" i="24" s="1"/>
  <c r="R56" i="24" s="1"/>
  <c r="T12" i="13"/>
  <c r="L32" i="8"/>
  <c r="L32" i="23" s="1"/>
  <c r="L88" i="23" s="1"/>
  <c r="M54" i="9"/>
  <c r="N31" i="12"/>
  <c r="N31" i="24" s="1"/>
  <c r="N75" i="24" s="1"/>
  <c r="N31" i="13"/>
  <c r="N41" i="12"/>
  <c r="N41" i="24" s="1"/>
  <c r="N85" i="24" s="1"/>
  <c r="N41" i="13"/>
  <c r="N29" i="12"/>
  <c r="N29" i="24" s="1"/>
  <c r="N73" i="24" s="1"/>
  <c r="N29" i="13"/>
  <c r="N25" i="12"/>
  <c r="N25" i="24" s="1"/>
  <c r="N69" i="24" s="1"/>
  <c r="N25" i="13"/>
  <c r="M5" i="9"/>
  <c r="M57" i="7"/>
  <c r="M62" i="7" s="1"/>
  <c r="M27" i="8" s="1"/>
  <c r="M27" i="23" s="1"/>
  <c r="M83" i="23" s="1"/>
  <c r="P22" i="12"/>
  <c r="P22" i="24" s="1"/>
  <c r="P66" i="24" s="1"/>
  <c r="P22" i="13"/>
  <c r="P40" i="12"/>
  <c r="P40" i="24" s="1"/>
  <c r="P84" i="24" s="1"/>
  <c r="P40" i="13"/>
  <c r="P21" i="12"/>
  <c r="P21" i="24" s="1"/>
  <c r="P65" i="24" s="1"/>
  <c r="P21" i="13"/>
  <c r="P18" i="12"/>
  <c r="P18" i="24" s="1"/>
  <c r="P62" i="24" s="1"/>
  <c r="P18" i="13"/>
  <c r="P11" i="12"/>
  <c r="P11" i="24" s="1"/>
  <c r="P55" i="24" s="1"/>
  <c r="P11" i="13"/>
  <c r="L29" i="8"/>
  <c r="L29" i="23" s="1"/>
  <c r="L85" i="23" s="1"/>
  <c r="O27" i="12"/>
  <c r="O27" i="24" s="1"/>
  <c r="O71" i="24" s="1"/>
  <c r="O27" i="13"/>
  <c r="O34" i="12"/>
  <c r="O34" i="24" s="1"/>
  <c r="O78" i="24" s="1"/>
  <c r="O34" i="13"/>
  <c r="O40" i="12"/>
  <c r="O40" i="24" s="1"/>
  <c r="O84" i="24" s="1"/>
  <c r="O40" i="13"/>
  <c r="O12" i="12"/>
  <c r="O12" i="24" s="1"/>
  <c r="O56" i="24" s="1"/>
  <c r="O12" i="13"/>
  <c r="O9" i="12"/>
  <c r="O9" i="24" s="1"/>
  <c r="O53" i="24" s="1"/>
  <c r="O9" i="13"/>
  <c r="P41" i="8"/>
  <c r="P41" i="23" s="1"/>
  <c r="P97" i="23" s="1"/>
  <c r="P21" i="8"/>
  <c r="P21" i="23" s="1"/>
  <c r="P77" i="23" s="1"/>
  <c r="L27" i="8"/>
  <c r="L27" i="23" s="1"/>
  <c r="L83" i="23" s="1"/>
  <c r="L43" i="8"/>
  <c r="L43" i="23" s="1"/>
  <c r="L99" i="23" s="1"/>
  <c r="U28" i="12"/>
  <c r="S28" i="24" s="1"/>
  <c r="S72" i="24" s="1"/>
  <c r="U28" i="13"/>
  <c r="U20" i="12"/>
  <c r="S20" i="24" s="1"/>
  <c r="S64" i="24" s="1"/>
  <c r="U20" i="13"/>
  <c r="U34" i="12"/>
  <c r="S34" i="24" s="1"/>
  <c r="S78" i="24" s="1"/>
  <c r="U34" i="13"/>
  <c r="U33" i="12"/>
  <c r="S33" i="24" s="1"/>
  <c r="S77" i="24" s="1"/>
  <c r="U33" i="13"/>
  <c r="U10" i="12"/>
  <c r="S10" i="24" s="1"/>
  <c r="S54" i="24" s="1"/>
  <c r="U10" i="13"/>
  <c r="M38" i="9"/>
  <c r="O9" i="8"/>
  <c r="O9" i="23" s="1"/>
  <c r="O65" i="23" s="1"/>
  <c r="Q38" i="8"/>
  <c r="Q38" i="23" s="1"/>
  <c r="Q94" i="23" s="1"/>
  <c r="L13" i="8"/>
  <c r="L13" i="23" s="1"/>
  <c r="L69" i="23" s="1"/>
  <c r="L11" i="8"/>
  <c r="L11" i="23" s="1"/>
  <c r="L67" i="23" s="1"/>
  <c r="V24" i="12"/>
  <c r="T24" i="24" s="1"/>
  <c r="T68" i="24" s="1"/>
  <c r="V24" i="13"/>
  <c r="V35" i="12"/>
  <c r="T35" i="24" s="1"/>
  <c r="T79" i="24" s="1"/>
  <c r="V35" i="13"/>
  <c r="V19" i="12"/>
  <c r="T19" i="24" s="1"/>
  <c r="T63" i="24" s="1"/>
  <c r="V19" i="13"/>
  <c r="V12" i="12"/>
  <c r="T12" i="24" s="1"/>
  <c r="T56" i="24" s="1"/>
  <c r="V12" i="13"/>
  <c r="V10" i="12"/>
  <c r="T10" i="24" s="1"/>
  <c r="T54" i="24" s="1"/>
  <c r="V10" i="13"/>
  <c r="U40" i="8"/>
  <c r="T40" i="23" s="1"/>
  <c r="T96" i="23" s="1"/>
  <c r="P17" i="8"/>
  <c r="P17" i="23" s="1"/>
  <c r="P73" i="23" s="1"/>
  <c r="N58" i="8"/>
  <c r="N62" i="8" s="1"/>
  <c r="N58" i="9"/>
  <c r="N58" i="7"/>
  <c r="W46" i="8"/>
  <c r="V46" i="23" s="1"/>
  <c r="V102" i="23" s="1"/>
  <c r="X34" i="8"/>
  <c r="W34" i="23" s="1"/>
  <c r="W90" i="23" s="1"/>
  <c r="O6" i="8"/>
  <c r="O6" i="23" s="1"/>
  <c r="O62" i="23" s="1"/>
  <c r="O35" i="8"/>
  <c r="O35" i="23" s="1"/>
  <c r="O91" i="23" s="1"/>
  <c r="U13" i="8"/>
  <c r="T13" i="23" s="1"/>
  <c r="T69" i="23" s="1"/>
  <c r="Q14" i="8"/>
  <c r="Q14" i="23" s="1"/>
  <c r="Q70" i="23" s="1"/>
  <c r="Q45" i="8"/>
  <c r="Q45" i="23" s="1"/>
  <c r="Q101" i="23" s="1"/>
  <c r="W33" i="8"/>
  <c r="V33" i="23" s="1"/>
  <c r="V89" i="23" s="1"/>
  <c r="W11" i="8"/>
  <c r="V11" i="23" s="1"/>
  <c r="V67" i="23" s="1"/>
  <c r="M15" i="9"/>
  <c r="L45" i="8"/>
  <c r="L45" i="23" s="1"/>
  <c r="L101" i="23" s="1"/>
  <c r="AA33" i="11"/>
  <c r="Z33" i="12"/>
  <c r="AA33" i="12" s="1"/>
  <c r="Z33" i="13"/>
  <c r="AA33" i="13" s="1"/>
  <c r="AA28" i="11"/>
  <c r="Z28" i="12"/>
  <c r="AA28" i="12" s="1"/>
  <c r="Z28" i="13"/>
  <c r="AA28" i="13" s="1"/>
  <c r="AA42" i="11"/>
  <c r="Z42" i="12"/>
  <c r="AA42" i="12" s="1"/>
  <c r="Z42" i="13"/>
  <c r="AA42" i="13" s="1"/>
  <c r="AA23" i="11"/>
  <c r="Z23" i="12"/>
  <c r="AA23" i="12" s="1"/>
  <c r="Z23" i="13"/>
  <c r="AA23" i="13" s="1"/>
  <c r="AA11" i="11"/>
  <c r="Z11" i="12"/>
  <c r="AA11" i="12" s="1"/>
  <c r="Z11" i="13"/>
  <c r="AA11" i="13" s="1"/>
  <c r="Q23" i="8"/>
  <c r="Q23" i="23" s="1"/>
  <c r="Q79" i="23" s="1"/>
  <c r="W32" i="8"/>
  <c r="V32" i="23" s="1"/>
  <c r="V88" i="23" s="1"/>
  <c r="U22" i="8"/>
  <c r="T22" i="23" s="1"/>
  <c r="T78" i="23" s="1"/>
  <c r="L23" i="8"/>
  <c r="L23" i="23" s="1"/>
  <c r="L79" i="23" s="1"/>
  <c r="W27" i="11"/>
  <c r="T27" i="12"/>
  <c r="R27" i="24" s="1"/>
  <c r="R71" i="24" s="1"/>
  <c r="T27" i="13"/>
  <c r="P9" i="12"/>
  <c r="P9" i="24" s="1"/>
  <c r="P53" i="24" s="1"/>
  <c r="P9" i="13"/>
  <c r="AH57" i="9"/>
  <c r="U41" i="12"/>
  <c r="S41" i="24" s="1"/>
  <c r="S85" i="24" s="1"/>
  <c r="U41" i="13"/>
  <c r="U11" i="12"/>
  <c r="S11" i="24" s="1"/>
  <c r="S55" i="24" s="1"/>
  <c r="U11" i="13"/>
  <c r="V38" i="12"/>
  <c r="T38" i="24" s="1"/>
  <c r="T82" i="24" s="1"/>
  <c r="V38" i="13"/>
  <c r="V34" i="12"/>
  <c r="T34" i="24" s="1"/>
  <c r="T78" i="24" s="1"/>
  <c r="V34" i="13"/>
  <c r="V11" i="12"/>
  <c r="T11" i="24" s="1"/>
  <c r="T55" i="24" s="1"/>
  <c r="V11" i="13"/>
  <c r="L40" i="8"/>
  <c r="L40" i="23" s="1"/>
  <c r="L96" i="23" s="1"/>
  <c r="M35" i="9"/>
  <c r="M43" i="9"/>
  <c r="M42" i="9"/>
  <c r="W43" i="11"/>
  <c r="T43" i="12"/>
  <c r="R43" i="24" s="1"/>
  <c r="R87" i="24" s="1"/>
  <c r="T43" i="13"/>
  <c r="W21" i="11"/>
  <c r="T21" i="12"/>
  <c r="R21" i="24" s="1"/>
  <c r="R65" i="24" s="1"/>
  <c r="T21" i="13"/>
  <c r="W39" i="11"/>
  <c r="T39" i="12"/>
  <c r="R39" i="24" s="1"/>
  <c r="R83" i="24" s="1"/>
  <c r="T39" i="13"/>
  <c r="W14" i="11"/>
  <c r="T14" i="12"/>
  <c r="R14" i="24" s="1"/>
  <c r="R58" i="24" s="1"/>
  <c r="T14" i="13"/>
  <c r="W9" i="11"/>
  <c r="T9" i="12"/>
  <c r="R9" i="24" s="1"/>
  <c r="R53" i="24" s="1"/>
  <c r="T9" i="13"/>
  <c r="W9" i="13" s="1"/>
  <c r="M44" i="9"/>
  <c r="M48" i="9"/>
  <c r="L21" i="8"/>
  <c r="L21" i="23" s="1"/>
  <c r="L77" i="23" s="1"/>
  <c r="N35" i="12"/>
  <c r="N35" i="24" s="1"/>
  <c r="N79" i="24" s="1"/>
  <c r="N35" i="13"/>
  <c r="N30" i="12"/>
  <c r="N30" i="24" s="1"/>
  <c r="N74" i="24" s="1"/>
  <c r="N30" i="13"/>
  <c r="N15" i="12"/>
  <c r="N15" i="24" s="1"/>
  <c r="N59" i="24" s="1"/>
  <c r="N15" i="13"/>
  <c r="N18" i="12"/>
  <c r="N18" i="24" s="1"/>
  <c r="N62" i="24" s="1"/>
  <c r="N18" i="13"/>
  <c r="N33" i="12"/>
  <c r="N33" i="24" s="1"/>
  <c r="N77" i="24" s="1"/>
  <c r="N33" i="13"/>
  <c r="M6" i="9"/>
  <c r="L15" i="8"/>
  <c r="L15" i="23" s="1"/>
  <c r="L71" i="23" s="1"/>
  <c r="P25" i="12"/>
  <c r="P25" i="24" s="1"/>
  <c r="P69" i="24" s="1"/>
  <c r="P25" i="13"/>
  <c r="P31" i="12"/>
  <c r="P31" i="24" s="1"/>
  <c r="P75" i="24" s="1"/>
  <c r="P31" i="13"/>
  <c r="P28" i="12"/>
  <c r="P28" i="24" s="1"/>
  <c r="P72" i="24" s="1"/>
  <c r="P28" i="13"/>
  <c r="P26" i="12"/>
  <c r="P26" i="24" s="1"/>
  <c r="P70" i="24" s="1"/>
  <c r="P26" i="13"/>
  <c r="P8" i="12"/>
  <c r="P8" i="24" s="1"/>
  <c r="P52" i="24" s="1"/>
  <c r="P8" i="13"/>
  <c r="M47" i="9"/>
  <c r="O30" i="12"/>
  <c r="O30" i="24" s="1"/>
  <c r="O74" i="24" s="1"/>
  <c r="O30" i="13"/>
  <c r="O26" i="12"/>
  <c r="O26" i="24" s="1"/>
  <c r="O70" i="24" s="1"/>
  <c r="O26" i="13"/>
  <c r="O29" i="12"/>
  <c r="O29" i="24" s="1"/>
  <c r="O73" i="24" s="1"/>
  <c r="O29" i="13"/>
  <c r="O20" i="12"/>
  <c r="O20" i="24" s="1"/>
  <c r="O64" i="24" s="1"/>
  <c r="O20" i="13"/>
  <c r="O17" i="12"/>
  <c r="O17" i="24" s="1"/>
  <c r="O61" i="24" s="1"/>
  <c r="O17" i="13"/>
  <c r="M18" i="9"/>
  <c r="P50" i="8"/>
  <c r="P50" i="23" s="1"/>
  <c r="P106" i="23" s="1"/>
  <c r="U29" i="12"/>
  <c r="S29" i="24" s="1"/>
  <c r="S73" i="24" s="1"/>
  <c r="U29" i="13"/>
  <c r="U30" i="12"/>
  <c r="S30" i="24" s="1"/>
  <c r="S74" i="24" s="1"/>
  <c r="U30" i="13"/>
  <c r="U13" i="12"/>
  <c r="S13" i="24" s="1"/>
  <c r="S57" i="24" s="1"/>
  <c r="U13" i="13"/>
  <c r="U25" i="12"/>
  <c r="S25" i="24" s="1"/>
  <c r="S69" i="24" s="1"/>
  <c r="U25" i="13"/>
  <c r="U7" i="12"/>
  <c r="S7" i="24" s="1"/>
  <c r="S51" i="24" s="1"/>
  <c r="U7" i="13"/>
  <c r="Q57" i="9"/>
  <c r="P29" i="8"/>
  <c r="P29" i="23" s="1"/>
  <c r="P85" i="23" s="1"/>
  <c r="P39" i="8"/>
  <c r="P39" i="23" s="1"/>
  <c r="P95" i="23" s="1"/>
  <c r="V16" i="12"/>
  <c r="T16" i="24" s="1"/>
  <c r="T60" i="24" s="1"/>
  <c r="V16" i="13"/>
  <c r="V42" i="12"/>
  <c r="T42" i="24" s="1"/>
  <c r="T86" i="24" s="1"/>
  <c r="V42" i="13"/>
  <c r="V26" i="12"/>
  <c r="T26" i="24" s="1"/>
  <c r="T70" i="24" s="1"/>
  <c r="V26" i="13"/>
  <c r="V20" i="12"/>
  <c r="T20" i="24" s="1"/>
  <c r="T64" i="24" s="1"/>
  <c r="V20" i="13"/>
  <c r="V7" i="12"/>
  <c r="T7" i="24" s="1"/>
  <c r="T51" i="24" s="1"/>
  <c r="V7" i="13"/>
  <c r="AC43" i="8"/>
  <c r="M49" i="9"/>
  <c r="P49" i="8"/>
  <c r="P49" i="23" s="1"/>
  <c r="P105" i="23" s="1"/>
  <c r="P47" i="8"/>
  <c r="P47" i="23" s="1"/>
  <c r="P103" i="23" s="1"/>
  <c r="AC11" i="8"/>
  <c r="U38" i="8"/>
  <c r="T38" i="23" s="1"/>
  <c r="T94" i="23" s="1"/>
  <c r="P12" i="8"/>
  <c r="P12" i="23" s="1"/>
  <c r="P68" i="23" s="1"/>
  <c r="Q52" i="8"/>
  <c r="Q52" i="23" s="1"/>
  <c r="Q108" i="23" s="1"/>
  <c r="M45" i="9"/>
  <c r="AA25" i="11"/>
  <c r="Z25" i="12"/>
  <c r="AA25" i="12" s="1"/>
  <c r="Z25" i="13"/>
  <c r="AA25" i="13" s="1"/>
  <c r="AA32" i="11"/>
  <c r="Z32" i="12"/>
  <c r="AA32" i="12" s="1"/>
  <c r="Z32" i="13"/>
  <c r="AA32" i="13" s="1"/>
  <c r="AA14" i="11"/>
  <c r="Z14" i="12"/>
  <c r="AA14" i="12" s="1"/>
  <c r="Z14" i="13"/>
  <c r="AA14" i="13" s="1"/>
  <c r="AA31" i="11"/>
  <c r="Z31" i="12"/>
  <c r="AA31" i="12" s="1"/>
  <c r="Z31" i="13"/>
  <c r="AA31" i="13" s="1"/>
  <c r="AA8" i="11"/>
  <c r="Z8" i="12"/>
  <c r="AA8" i="12" s="1"/>
  <c r="Z8" i="13"/>
  <c r="AA8" i="13" s="1"/>
  <c r="M28" i="9"/>
  <c r="X53" i="8"/>
  <c r="W53" i="23" s="1"/>
  <c r="W109" i="23" s="1"/>
  <c r="P10" i="8"/>
  <c r="P10" i="23" s="1"/>
  <c r="P66" i="23" s="1"/>
  <c r="W41" i="11"/>
  <c r="T41" i="12"/>
  <c r="R41" i="24" s="1"/>
  <c r="R85" i="24" s="1"/>
  <c r="T41" i="13"/>
  <c r="N12" i="12"/>
  <c r="N12" i="24" s="1"/>
  <c r="N56" i="24" s="1"/>
  <c r="N12" i="13"/>
  <c r="P33" i="12"/>
  <c r="P33" i="24" s="1"/>
  <c r="P77" i="24" s="1"/>
  <c r="P33" i="13"/>
  <c r="O32" i="12"/>
  <c r="O32" i="24" s="1"/>
  <c r="O76" i="24" s="1"/>
  <c r="O32" i="13"/>
  <c r="U37" i="12"/>
  <c r="S37" i="24" s="1"/>
  <c r="S81" i="24" s="1"/>
  <c r="U37" i="13"/>
  <c r="AD5" i="9"/>
  <c r="AD57" i="9" s="1"/>
  <c r="AC57" i="9"/>
  <c r="L12" i="8"/>
  <c r="L12" i="23" s="1"/>
  <c r="L68" i="23" s="1"/>
  <c r="W23" i="11"/>
  <c r="T23" i="12"/>
  <c r="R23" i="24" s="1"/>
  <c r="R67" i="24" s="1"/>
  <c r="T23" i="13"/>
  <c r="W26" i="11"/>
  <c r="T26" i="12"/>
  <c r="R26" i="24" s="1"/>
  <c r="R70" i="24" s="1"/>
  <c r="T26" i="13"/>
  <c r="W26" i="13" s="1"/>
  <c r="W33" i="11"/>
  <c r="T33" i="12"/>
  <c r="R33" i="24" s="1"/>
  <c r="R77" i="24" s="1"/>
  <c r="T33" i="13"/>
  <c r="W33" i="13" s="1"/>
  <c r="W22" i="11"/>
  <c r="T22" i="12"/>
  <c r="R22" i="24" s="1"/>
  <c r="R66" i="24" s="1"/>
  <c r="T22" i="13"/>
  <c r="W17" i="11"/>
  <c r="T17" i="12"/>
  <c r="R17" i="24" s="1"/>
  <c r="R61" i="24" s="1"/>
  <c r="T17" i="13"/>
  <c r="L52" i="8"/>
  <c r="L52" i="23" s="1"/>
  <c r="L108" i="23" s="1"/>
  <c r="N27" i="12"/>
  <c r="N27" i="24" s="1"/>
  <c r="N71" i="24" s="1"/>
  <c r="N27" i="13"/>
  <c r="N42" i="12"/>
  <c r="N42" i="24" s="1"/>
  <c r="N86" i="24" s="1"/>
  <c r="N42" i="13"/>
  <c r="N14" i="12"/>
  <c r="N14" i="24" s="1"/>
  <c r="N58" i="24" s="1"/>
  <c r="N14" i="13"/>
  <c r="N20" i="12"/>
  <c r="N20" i="24" s="1"/>
  <c r="N64" i="24" s="1"/>
  <c r="N20" i="13"/>
  <c r="N6" i="12"/>
  <c r="N6" i="24" s="1"/>
  <c r="N50" i="24" s="1"/>
  <c r="N6" i="13"/>
  <c r="M9" i="9"/>
  <c r="P13" i="12"/>
  <c r="P13" i="24" s="1"/>
  <c r="P57" i="24" s="1"/>
  <c r="P13" i="13"/>
  <c r="P41" i="12"/>
  <c r="P41" i="24" s="1"/>
  <c r="P85" i="24" s="1"/>
  <c r="P41" i="13"/>
  <c r="P19" i="12"/>
  <c r="P19" i="24" s="1"/>
  <c r="P63" i="24" s="1"/>
  <c r="P19" i="13"/>
  <c r="P34" i="12"/>
  <c r="P34" i="24" s="1"/>
  <c r="P78" i="24" s="1"/>
  <c r="P34" i="13"/>
  <c r="P5" i="12"/>
  <c r="P5" i="24" s="1"/>
  <c r="P49" i="24" s="1"/>
  <c r="P5" i="13"/>
  <c r="P45" i="11"/>
  <c r="L41" i="8"/>
  <c r="L41" i="23" s="1"/>
  <c r="L97" i="23" s="1"/>
  <c r="O41" i="12"/>
  <c r="O41" i="24" s="1"/>
  <c r="O85" i="24" s="1"/>
  <c r="O41" i="13"/>
  <c r="O18" i="12"/>
  <c r="O18" i="24" s="1"/>
  <c r="O62" i="24" s="1"/>
  <c r="O18" i="13"/>
  <c r="O21" i="12"/>
  <c r="O21" i="24" s="1"/>
  <c r="O65" i="24" s="1"/>
  <c r="O21" i="13"/>
  <c r="O28" i="12"/>
  <c r="O28" i="24" s="1"/>
  <c r="O72" i="24" s="1"/>
  <c r="O28" i="13"/>
  <c r="O6" i="12"/>
  <c r="O6" i="24" s="1"/>
  <c r="O50" i="24" s="1"/>
  <c r="O6" i="13"/>
  <c r="L19" i="8"/>
  <c r="L19" i="23" s="1"/>
  <c r="L75" i="23" s="1"/>
  <c r="L44" i="8"/>
  <c r="L44" i="23" s="1"/>
  <c r="L100" i="23" s="1"/>
  <c r="U31" i="12"/>
  <c r="S31" i="24" s="1"/>
  <c r="S75" i="24" s="1"/>
  <c r="U31" i="13"/>
  <c r="U27" i="12"/>
  <c r="S27" i="24" s="1"/>
  <c r="S71" i="24" s="1"/>
  <c r="U27" i="13"/>
  <c r="U26" i="12"/>
  <c r="S26" i="24" s="1"/>
  <c r="S70" i="24" s="1"/>
  <c r="U26" i="13"/>
  <c r="U39" i="12"/>
  <c r="S39" i="24" s="1"/>
  <c r="S83" i="24" s="1"/>
  <c r="U39" i="13"/>
  <c r="U12" i="12"/>
  <c r="S12" i="24" s="1"/>
  <c r="S56" i="24" s="1"/>
  <c r="U12" i="13"/>
  <c r="M32" i="9"/>
  <c r="O51" i="8"/>
  <c r="O51" i="23" s="1"/>
  <c r="O107" i="23" s="1"/>
  <c r="O38" i="8"/>
  <c r="O38" i="23" s="1"/>
  <c r="O94" i="23" s="1"/>
  <c r="W57" i="9"/>
  <c r="L14" i="8"/>
  <c r="L14" i="23" s="1"/>
  <c r="L70" i="23" s="1"/>
  <c r="L38" i="8"/>
  <c r="L38" i="23" s="1"/>
  <c r="L94" i="23" s="1"/>
  <c r="V15" i="12"/>
  <c r="T15" i="24" s="1"/>
  <c r="T59" i="24" s="1"/>
  <c r="V15" i="13"/>
  <c r="V30" i="12"/>
  <c r="T30" i="24" s="1"/>
  <c r="T74" i="24" s="1"/>
  <c r="V30" i="13"/>
  <c r="V40" i="12"/>
  <c r="T40" i="24" s="1"/>
  <c r="T84" i="24" s="1"/>
  <c r="V40" i="13"/>
  <c r="V28" i="12"/>
  <c r="T28" i="24" s="1"/>
  <c r="T72" i="24" s="1"/>
  <c r="V28" i="13"/>
  <c r="E35" i="5"/>
  <c r="L47" i="12"/>
  <c r="L47" i="13"/>
  <c r="L47" i="10"/>
  <c r="L47" i="11"/>
  <c r="AC20" i="8"/>
  <c r="Q10" i="8"/>
  <c r="W53" i="8"/>
  <c r="V53" i="23" s="1"/>
  <c r="V109" i="23" s="1"/>
  <c r="X38" i="8"/>
  <c r="W38" i="23" s="1"/>
  <c r="W94" i="23" s="1"/>
  <c r="W12" i="8"/>
  <c r="V12" i="23" s="1"/>
  <c r="V68" i="23" s="1"/>
  <c r="X54" i="8"/>
  <c r="W54" i="23" s="1"/>
  <c r="W110" i="23" s="1"/>
  <c r="X23" i="8"/>
  <c r="W23" i="23" s="1"/>
  <c r="W79" i="23" s="1"/>
  <c r="O14" i="8"/>
  <c r="O14" i="23" s="1"/>
  <c r="O70" i="23" s="1"/>
  <c r="O55" i="8"/>
  <c r="O55" i="23" s="1"/>
  <c r="O111" i="23" s="1"/>
  <c r="Q16" i="8"/>
  <c r="Q16" i="23" s="1"/>
  <c r="Q72" i="23" s="1"/>
  <c r="W35" i="8"/>
  <c r="V35" i="23" s="1"/>
  <c r="V91" i="23" s="1"/>
  <c r="L33" i="8"/>
  <c r="L33" i="23" s="1"/>
  <c r="L89" i="23" s="1"/>
  <c r="AA43" i="11"/>
  <c r="Z43" i="12"/>
  <c r="AA43" i="12" s="1"/>
  <c r="Z43" i="13"/>
  <c r="AA43" i="13" s="1"/>
  <c r="AA21" i="11"/>
  <c r="Z21" i="12"/>
  <c r="AA21" i="12" s="1"/>
  <c r="Z21" i="13"/>
  <c r="AA21" i="13" s="1"/>
  <c r="AA19" i="11"/>
  <c r="Z19" i="12"/>
  <c r="AA19" i="12" s="1"/>
  <c r="Z19" i="13"/>
  <c r="AA19" i="13" s="1"/>
  <c r="AA10" i="11"/>
  <c r="Z10" i="12"/>
  <c r="AA10" i="12" s="1"/>
  <c r="Z10" i="13"/>
  <c r="AA10" i="13" s="1"/>
  <c r="AA5" i="11"/>
  <c r="Z5" i="12"/>
  <c r="V5" i="24" s="1"/>
  <c r="V49" i="24" s="1"/>
  <c r="Z5" i="13"/>
  <c r="Z45" i="11"/>
  <c r="AH19" i="8"/>
  <c r="U36" i="8"/>
  <c r="T36" i="23" s="1"/>
  <c r="T92" i="23" s="1"/>
  <c r="L34" i="8"/>
  <c r="L34" i="23" s="1"/>
  <c r="L90" i="23" s="1"/>
  <c r="L55" i="8"/>
  <c r="L55" i="23" s="1"/>
  <c r="L111" i="23" s="1"/>
  <c r="O38" i="12"/>
  <c r="O38" i="24" s="1"/>
  <c r="O82" i="24" s="1"/>
  <c r="O38" i="13"/>
  <c r="M31" i="9"/>
  <c r="L57" i="9"/>
  <c r="W29" i="11"/>
  <c r="T29" i="12"/>
  <c r="R29" i="24" s="1"/>
  <c r="R73" i="24" s="1"/>
  <c r="T29" i="13"/>
  <c r="W19" i="11"/>
  <c r="T19" i="12"/>
  <c r="W19" i="12" s="1"/>
  <c r="T19" i="13"/>
  <c r="W28" i="11"/>
  <c r="T28" i="12"/>
  <c r="R28" i="24" s="1"/>
  <c r="R72" i="24" s="1"/>
  <c r="T28" i="13"/>
  <c r="W28" i="13" s="1"/>
  <c r="W30" i="11"/>
  <c r="T30" i="12"/>
  <c r="R30" i="24" s="1"/>
  <c r="R74" i="24" s="1"/>
  <c r="T30" i="13"/>
  <c r="R57" i="9"/>
  <c r="M26" i="9"/>
  <c r="L28" i="8"/>
  <c r="L28" i="23" s="1"/>
  <c r="L84" i="23" s="1"/>
  <c r="L24" i="8"/>
  <c r="L24" i="23" s="1"/>
  <c r="L80" i="23" s="1"/>
  <c r="N40" i="12"/>
  <c r="N40" i="24" s="1"/>
  <c r="N84" i="24" s="1"/>
  <c r="N40" i="13"/>
  <c r="N24" i="12"/>
  <c r="N24" i="24" s="1"/>
  <c r="N68" i="24" s="1"/>
  <c r="N24" i="13"/>
  <c r="N13" i="12"/>
  <c r="N13" i="24" s="1"/>
  <c r="N57" i="24" s="1"/>
  <c r="N13" i="13"/>
  <c r="N21" i="12"/>
  <c r="N21" i="24" s="1"/>
  <c r="N65" i="24" s="1"/>
  <c r="N21" i="13"/>
  <c r="N11" i="12"/>
  <c r="N11" i="24" s="1"/>
  <c r="N55" i="24" s="1"/>
  <c r="N11" i="13"/>
  <c r="V29" i="7"/>
  <c r="V17" i="7"/>
  <c r="V23" i="7"/>
  <c r="V22" i="7"/>
  <c r="V18" i="7"/>
  <c r="V13" i="7"/>
  <c r="V9" i="7"/>
  <c r="V6" i="7"/>
  <c r="V24" i="7"/>
  <c r="V19" i="7"/>
  <c r="V12" i="7"/>
  <c r="V8" i="7"/>
  <c r="V20" i="7"/>
  <c r="V15" i="7"/>
  <c r="V11" i="7"/>
  <c r="V5" i="7"/>
  <c r="V16" i="7"/>
  <c r="V14" i="7"/>
  <c r="V10" i="7"/>
  <c r="V21" i="7"/>
  <c r="V7" i="7"/>
  <c r="V35" i="7"/>
  <c r="V46" i="7"/>
  <c r="V55" i="7"/>
  <c r="V48" i="7"/>
  <c r="V49" i="7"/>
  <c r="V51" i="7"/>
  <c r="V27" i="7"/>
  <c r="V28" i="7"/>
  <c r="V54" i="7"/>
  <c r="V36" i="7"/>
  <c r="V37" i="7"/>
  <c r="V43" i="7"/>
  <c r="V44" i="7"/>
  <c r="V45" i="7"/>
  <c r="V25" i="7"/>
  <c r="V34" i="7"/>
  <c r="V52" i="7"/>
  <c r="V53" i="7"/>
  <c r="V42" i="7"/>
  <c r="V31" i="7"/>
  <c r="V50" i="7"/>
  <c r="V26" i="7"/>
  <c r="V39" i="7"/>
  <c r="V32" i="7"/>
  <c r="V30" i="7"/>
  <c r="V47" i="7"/>
  <c r="V40" i="7"/>
  <c r="V38" i="7"/>
  <c r="V33" i="7"/>
  <c r="V41" i="7"/>
  <c r="M13" i="8"/>
  <c r="M13" i="23" s="1"/>
  <c r="M69" i="23" s="1"/>
  <c r="M13" i="9"/>
  <c r="P23" i="12"/>
  <c r="P23" i="24" s="1"/>
  <c r="P67" i="24" s="1"/>
  <c r="P23" i="13"/>
  <c r="P29" i="12"/>
  <c r="P29" i="24" s="1"/>
  <c r="P73" i="24" s="1"/>
  <c r="P29" i="13"/>
  <c r="P24" i="12"/>
  <c r="P24" i="24" s="1"/>
  <c r="P68" i="24" s="1"/>
  <c r="P24" i="13"/>
  <c r="P42" i="12"/>
  <c r="P42" i="24" s="1"/>
  <c r="P86" i="24" s="1"/>
  <c r="P42" i="13"/>
  <c r="P26" i="8"/>
  <c r="L25" i="8"/>
  <c r="L25" i="23" s="1"/>
  <c r="L81" i="23" s="1"/>
  <c r="O19" i="12"/>
  <c r="O19" i="24" s="1"/>
  <c r="O63" i="24" s="1"/>
  <c r="O19" i="13"/>
  <c r="O24" i="12"/>
  <c r="O24" i="24" s="1"/>
  <c r="O68" i="24" s="1"/>
  <c r="O24" i="13"/>
  <c r="O35" i="12"/>
  <c r="O35" i="24" s="1"/>
  <c r="O79" i="24" s="1"/>
  <c r="O35" i="13"/>
  <c r="O36" i="12"/>
  <c r="O36" i="24" s="1"/>
  <c r="O80" i="24" s="1"/>
  <c r="O36" i="13"/>
  <c r="O11" i="12"/>
  <c r="O11" i="24" s="1"/>
  <c r="O55" i="24" s="1"/>
  <c r="O11" i="13"/>
  <c r="M40" i="8"/>
  <c r="M40" i="23" s="1"/>
  <c r="M96" i="23" s="1"/>
  <c r="M40" i="9"/>
  <c r="O18" i="8"/>
  <c r="O18" i="23" s="1"/>
  <c r="O74" i="23" s="1"/>
  <c r="L48" i="8"/>
  <c r="L48" i="23" s="1"/>
  <c r="L104" i="23" s="1"/>
  <c r="U21" i="12"/>
  <c r="S21" i="24" s="1"/>
  <c r="S65" i="24" s="1"/>
  <c r="U21" i="13"/>
  <c r="U15" i="12"/>
  <c r="S15" i="24" s="1"/>
  <c r="S59" i="24" s="1"/>
  <c r="U15" i="13"/>
  <c r="U18" i="12"/>
  <c r="S18" i="24" s="1"/>
  <c r="S62" i="24" s="1"/>
  <c r="U18" i="13"/>
  <c r="U6" i="12"/>
  <c r="S6" i="24" s="1"/>
  <c r="S50" i="24" s="1"/>
  <c r="U6" i="13"/>
  <c r="O5" i="8"/>
  <c r="O5" i="23" s="1"/>
  <c r="O61" i="23" s="1"/>
  <c r="O45" i="8"/>
  <c r="O45" i="23" s="1"/>
  <c r="O101" i="23" s="1"/>
  <c r="P25" i="8"/>
  <c r="P38" i="8"/>
  <c r="P38" i="23" s="1"/>
  <c r="P94" i="23" s="1"/>
  <c r="V18" i="12"/>
  <c r="T18" i="24" s="1"/>
  <c r="T62" i="24" s="1"/>
  <c r="V18" i="13"/>
  <c r="V41" i="12"/>
  <c r="T41" i="24" s="1"/>
  <c r="T85" i="24" s="1"/>
  <c r="V41" i="13"/>
  <c r="V23" i="12"/>
  <c r="T23" i="24" s="1"/>
  <c r="T67" i="24" s="1"/>
  <c r="V23" i="13"/>
  <c r="V13" i="12"/>
  <c r="T13" i="24" s="1"/>
  <c r="T57" i="24" s="1"/>
  <c r="V13" i="13"/>
  <c r="V36" i="12"/>
  <c r="T36" i="24" s="1"/>
  <c r="T80" i="24" s="1"/>
  <c r="V36" i="13"/>
  <c r="M7" i="9"/>
  <c r="O22" i="8"/>
  <c r="O22" i="23" s="1"/>
  <c r="O78" i="23" s="1"/>
  <c r="L6" i="8"/>
  <c r="L6" i="23" s="1"/>
  <c r="L62" i="23" s="1"/>
  <c r="AC16" i="8"/>
  <c r="U11" i="8"/>
  <c r="T11" i="23" s="1"/>
  <c r="T67" i="23" s="1"/>
  <c r="U52" i="8"/>
  <c r="T52" i="23" s="1"/>
  <c r="T108" i="23" s="1"/>
  <c r="AH35" i="8"/>
  <c r="AD35" i="23" s="1"/>
  <c r="AD91" i="23" s="1"/>
  <c r="P22" i="8"/>
  <c r="P22" i="23" s="1"/>
  <c r="P78" i="23" s="1"/>
  <c r="U28" i="8"/>
  <c r="T28" i="23" s="1"/>
  <c r="T84" i="23" s="1"/>
  <c r="AA22" i="11"/>
  <c r="Z22" i="12"/>
  <c r="AA22" i="12" s="1"/>
  <c r="Z22" i="13"/>
  <c r="AA22" i="13" s="1"/>
  <c r="AA20" i="11"/>
  <c r="Z20" i="12"/>
  <c r="AA20" i="12" s="1"/>
  <c r="Z20" i="13"/>
  <c r="AA20" i="13" s="1"/>
  <c r="AA34" i="11"/>
  <c r="Z34" i="12"/>
  <c r="AA34" i="12" s="1"/>
  <c r="Z34" i="13"/>
  <c r="AA34" i="13" s="1"/>
  <c r="AA40" i="11"/>
  <c r="Z40" i="12"/>
  <c r="AA40" i="12" s="1"/>
  <c r="Z40" i="13"/>
  <c r="AA40" i="13" s="1"/>
  <c r="U57" i="9"/>
  <c r="M34" i="9"/>
  <c r="W29" i="8"/>
  <c r="V29" i="23" s="1"/>
  <c r="V85" i="23" s="1"/>
  <c r="W15" i="11"/>
  <c r="T15" i="12"/>
  <c r="R15" i="24" s="1"/>
  <c r="R59" i="24" s="1"/>
  <c r="T15" i="13"/>
  <c r="N26" i="12"/>
  <c r="N26" i="24" s="1"/>
  <c r="N70" i="24" s="1"/>
  <c r="N26" i="13"/>
  <c r="M20" i="8"/>
  <c r="M20" i="23" s="1"/>
  <c r="M76" i="23" s="1"/>
  <c r="M20" i="9"/>
  <c r="P15" i="12"/>
  <c r="P15" i="24" s="1"/>
  <c r="P59" i="24" s="1"/>
  <c r="P15" i="13"/>
  <c r="O5" i="12"/>
  <c r="O5" i="24" s="1"/>
  <c r="O49" i="24" s="1"/>
  <c r="O45" i="11"/>
  <c r="O5" i="13"/>
  <c r="M21" i="8"/>
  <c r="M21" i="23" s="1"/>
  <c r="M77" i="23" s="1"/>
  <c r="M21" i="9"/>
  <c r="L7" i="8"/>
  <c r="L7" i="23" s="1"/>
  <c r="L63" i="23" s="1"/>
  <c r="W24" i="11"/>
  <c r="T24" i="12"/>
  <c r="R24" i="24" s="1"/>
  <c r="R68" i="24" s="1"/>
  <c r="T24" i="13"/>
  <c r="W24" i="13" s="1"/>
  <c r="W34" i="11"/>
  <c r="T34" i="12"/>
  <c r="R34" i="24" s="1"/>
  <c r="R78" i="24" s="1"/>
  <c r="T34" i="13"/>
  <c r="W34" i="13" s="1"/>
  <c r="W42" i="11"/>
  <c r="T42" i="12"/>
  <c r="R42" i="24" s="1"/>
  <c r="R86" i="24" s="1"/>
  <c r="T42" i="13"/>
  <c r="W25" i="11"/>
  <c r="T25" i="12"/>
  <c r="R25" i="24" s="1"/>
  <c r="R69" i="24" s="1"/>
  <c r="T25" i="13"/>
  <c r="W25" i="13" s="1"/>
  <c r="W8" i="11"/>
  <c r="T8" i="12"/>
  <c r="W8" i="12" s="1"/>
  <c r="T8" i="13"/>
  <c r="W8" i="13" s="1"/>
  <c r="P57" i="9"/>
  <c r="M55" i="9"/>
  <c r="M51" i="9"/>
  <c r="M45" i="12"/>
  <c r="N16" i="12"/>
  <c r="N16" i="24" s="1"/>
  <c r="N60" i="24" s="1"/>
  <c r="N16" i="13"/>
  <c r="N23" i="12"/>
  <c r="N23" i="24" s="1"/>
  <c r="N67" i="24" s="1"/>
  <c r="N23" i="13"/>
  <c r="N37" i="12"/>
  <c r="N37" i="24" s="1"/>
  <c r="N81" i="24" s="1"/>
  <c r="N37" i="13"/>
  <c r="N43" i="12"/>
  <c r="N43" i="24" s="1"/>
  <c r="N87" i="24" s="1"/>
  <c r="N43" i="13"/>
  <c r="N8" i="12"/>
  <c r="N8" i="24" s="1"/>
  <c r="N52" i="24" s="1"/>
  <c r="N8" i="13"/>
  <c r="M53" i="9"/>
  <c r="M19" i="9"/>
  <c r="P43" i="12"/>
  <c r="P43" i="24" s="1"/>
  <c r="P87" i="24" s="1"/>
  <c r="P43" i="13"/>
  <c r="P16" i="12"/>
  <c r="P16" i="24" s="1"/>
  <c r="P60" i="24" s="1"/>
  <c r="P16" i="13"/>
  <c r="P36" i="12"/>
  <c r="P36" i="24" s="1"/>
  <c r="P80" i="24" s="1"/>
  <c r="P36" i="13"/>
  <c r="P20" i="12"/>
  <c r="P20" i="24" s="1"/>
  <c r="P64" i="24" s="1"/>
  <c r="P20" i="13"/>
  <c r="P12" i="12"/>
  <c r="P12" i="24" s="1"/>
  <c r="P56" i="24" s="1"/>
  <c r="P12" i="13"/>
  <c r="X57" i="9"/>
  <c r="S5" i="13"/>
  <c r="S45" i="13" s="1"/>
  <c r="R45" i="13"/>
  <c r="L39" i="8"/>
  <c r="L39" i="23" s="1"/>
  <c r="L95" i="23" s="1"/>
  <c r="O22" i="12"/>
  <c r="O22" i="24" s="1"/>
  <c r="O66" i="24" s="1"/>
  <c r="O22" i="13"/>
  <c r="O13" i="12"/>
  <c r="O13" i="24" s="1"/>
  <c r="O57" i="24" s="1"/>
  <c r="O13" i="13"/>
  <c r="O33" i="12"/>
  <c r="O33" i="24" s="1"/>
  <c r="O77" i="24" s="1"/>
  <c r="O33" i="13"/>
  <c r="O7" i="12"/>
  <c r="O7" i="24" s="1"/>
  <c r="O51" i="24" s="1"/>
  <c r="O7" i="13"/>
  <c r="O8" i="12"/>
  <c r="O8" i="24" s="1"/>
  <c r="O52" i="24" s="1"/>
  <c r="O8" i="13"/>
  <c r="L22" i="8"/>
  <c r="L22" i="23" s="1"/>
  <c r="L78" i="23" s="1"/>
  <c r="L36" i="8"/>
  <c r="L36" i="23" s="1"/>
  <c r="L92" i="23" s="1"/>
  <c r="P32" i="8"/>
  <c r="P48" i="8"/>
  <c r="P48" i="23" s="1"/>
  <c r="P104" i="23" s="1"/>
  <c r="L17" i="8"/>
  <c r="L17" i="23" s="1"/>
  <c r="L73" i="23" s="1"/>
  <c r="O33" i="8"/>
  <c r="O33" i="23" s="1"/>
  <c r="O89" i="23" s="1"/>
  <c r="P16" i="8"/>
  <c r="P16" i="23" s="1"/>
  <c r="P72" i="23" s="1"/>
  <c r="U32" i="12"/>
  <c r="S32" i="24" s="1"/>
  <c r="S76" i="24" s="1"/>
  <c r="U32" i="13"/>
  <c r="U43" i="12"/>
  <c r="S43" i="24" s="1"/>
  <c r="S87" i="24" s="1"/>
  <c r="U43" i="13"/>
  <c r="U38" i="12"/>
  <c r="S38" i="24" s="1"/>
  <c r="S82" i="24" s="1"/>
  <c r="U38" i="13"/>
  <c r="U42" i="12"/>
  <c r="S42" i="24" s="1"/>
  <c r="S86" i="24" s="1"/>
  <c r="U42" i="13"/>
  <c r="U14" i="12"/>
  <c r="S14" i="24" s="1"/>
  <c r="S58" i="24" s="1"/>
  <c r="U14" i="13"/>
  <c r="L49" i="10"/>
  <c r="L49" i="12" s="1"/>
  <c r="L50" i="10"/>
  <c r="M37" i="9"/>
  <c r="L35" i="8"/>
  <c r="L35" i="23" s="1"/>
  <c r="L91" i="23" s="1"/>
  <c r="V29" i="12"/>
  <c r="T29" i="24" s="1"/>
  <c r="T73" i="24" s="1"/>
  <c r="V29" i="13"/>
  <c r="V39" i="12"/>
  <c r="T39" i="24" s="1"/>
  <c r="T83" i="24" s="1"/>
  <c r="V39" i="13"/>
  <c r="V27" i="12"/>
  <c r="T27" i="24" s="1"/>
  <c r="T71" i="24" s="1"/>
  <c r="V27" i="13"/>
  <c r="V17" i="12"/>
  <c r="W17" i="12" s="1"/>
  <c r="V17" i="13"/>
  <c r="V6" i="12"/>
  <c r="T6" i="24" s="1"/>
  <c r="T50" i="24" s="1"/>
  <c r="V6" i="13"/>
  <c r="M36" i="9"/>
  <c r="Q54" i="8"/>
  <c r="Q54" i="23" s="1"/>
  <c r="Q110" i="23" s="1"/>
  <c r="O20" i="8"/>
  <c r="O20" i="23" s="1"/>
  <c r="O76" i="23" s="1"/>
  <c r="P31" i="8"/>
  <c r="M39" i="9"/>
  <c r="AC46" i="8"/>
  <c r="O19" i="8"/>
  <c r="O19" i="23" s="1"/>
  <c r="O75" i="23" s="1"/>
  <c r="Q11" i="8"/>
  <c r="Q11" i="23" s="1"/>
  <c r="Q67" i="23" s="1"/>
  <c r="L9" i="8"/>
  <c r="L9" i="23" s="1"/>
  <c r="L65" i="23" s="1"/>
  <c r="L47" i="8"/>
  <c r="L47" i="23" s="1"/>
  <c r="L103" i="23" s="1"/>
  <c r="AA26" i="11"/>
  <c r="Z26" i="12"/>
  <c r="AA26" i="12" s="1"/>
  <c r="Z26" i="13"/>
  <c r="AA26" i="13" s="1"/>
  <c r="AA36" i="11"/>
  <c r="Z36" i="12"/>
  <c r="AA36" i="12" s="1"/>
  <c r="Z36" i="13"/>
  <c r="AA36" i="13" s="1"/>
  <c r="AA24" i="11"/>
  <c r="Z24" i="12"/>
  <c r="AA24" i="12" s="1"/>
  <c r="Z24" i="13"/>
  <c r="AA24" i="13" s="1"/>
  <c r="AA41" i="11"/>
  <c r="Z41" i="12"/>
  <c r="AA41" i="12" s="1"/>
  <c r="Z41" i="13"/>
  <c r="AA41" i="13" s="1"/>
  <c r="AA12" i="11"/>
  <c r="Z12" i="12"/>
  <c r="AA12" i="12" s="1"/>
  <c r="Z12" i="13"/>
  <c r="AA12" i="13" s="1"/>
  <c r="P44" i="8"/>
  <c r="P44" i="23" s="1"/>
  <c r="P100" i="23" s="1"/>
  <c r="M11" i="9"/>
  <c r="E10" i="5"/>
  <c r="N61" i="6"/>
  <c r="F10" i="5"/>
  <c r="F29" i="5" s="1"/>
  <c r="N62" i="6"/>
  <c r="D47" i="5"/>
  <c r="D29" i="5"/>
  <c r="H9" i="26" l="1"/>
  <c r="H11" i="26"/>
  <c r="F9" i="26"/>
  <c r="F11" i="26"/>
  <c r="F7" i="26"/>
  <c r="F13" i="26" s="1"/>
  <c r="D7" i="26"/>
  <c r="D13" i="26" s="1"/>
  <c r="D11" i="26"/>
  <c r="D9" i="26"/>
  <c r="E9" i="26"/>
  <c r="E7" i="26"/>
  <c r="E13" i="26" s="1"/>
  <c r="E11" i="26"/>
  <c r="J9" i="26"/>
  <c r="J11" i="26"/>
  <c r="I9" i="26"/>
  <c r="I11" i="26"/>
  <c r="I7" i="26"/>
  <c r="I13" i="26" s="1"/>
  <c r="M15" i="25"/>
  <c r="M14" i="25"/>
  <c r="AD16" i="8"/>
  <c r="AA16" i="23"/>
  <c r="AA72" i="23" s="1"/>
  <c r="AH57" i="8"/>
  <c r="AD19" i="23"/>
  <c r="AD75" i="23" s="1"/>
  <c r="B9" i="25"/>
  <c r="B7" i="25"/>
  <c r="B13" i="25" s="1"/>
  <c r="B11" i="25"/>
  <c r="X27" i="23"/>
  <c r="X83" i="23" s="1"/>
  <c r="V30" i="24"/>
  <c r="V74" i="24" s="1"/>
  <c r="T17" i="24"/>
  <c r="T61" i="24" s="1"/>
  <c r="J7" i="26" s="1"/>
  <c r="J13" i="26" s="1"/>
  <c r="AD46" i="8"/>
  <c r="AA46" i="23"/>
  <c r="AA102" i="23" s="1"/>
  <c r="E9" i="25"/>
  <c r="E11" i="25"/>
  <c r="E7" i="25"/>
  <c r="E13" i="25" s="1"/>
  <c r="AD11" i="8"/>
  <c r="AA11" i="23"/>
  <c r="AA67" i="23" s="1"/>
  <c r="AD6" i="8"/>
  <c r="AA6" i="23"/>
  <c r="AA62" i="23" s="1"/>
  <c r="X41" i="23"/>
  <c r="X97" i="23" s="1"/>
  <c r="X10" i="23"/>
  <c r="X66" i="23" s="1"/>
  <c r="X55" i="23"/>
  <c r="X111" i="23" s="1"/>
  <c r="X37" i="23"/>
  <c r="X93" i="23" s="1"/>
  <c r="X52" i="23"/>
  <c r="X108" i="23" s="1"/>
  <c r="X26" i="23"/>
  <c r="X82" i="23" s="1"/>
  <c r="X28" i="23"/>
  <c r="X84" i="23" s="1"/>
  <c r="V8" i="24"/>
  <c r="V52" i="24" s="1"/>
  <c r="V17" i="24"/>
  <c r="V61" i="24" s="1"/>
  <c r="V12" i="24"/>
  <c r="V56" i="24" s="1"/>
  <c r="AI14" i="8"/>
  <c r="AE14" i="23" s="1"/>
  <c r="AE70" i="23" s="1"/>
  <c r="V40" i="24"/>
  <c r="V84" i="24" s="1"/>
  <c r="X53" i="23"/>
  <c r="X109" i="23" s="1"/>
  <c r="X35" i="23"/>
  <c r="X91" i="23" s="1"/>
  <c r="X49" i="23"/>
  <c r="X105" i="23" s="1"/>
  <c r="X46" i="23"/>
  <c r="X102" i="23" s="1"/>
  <c r="X16" i="23"/>
  <c r="X72" i="23" s="1"/>
  <c r="J11" i="25"/>
  <c r="J7" i="25"/>
  <c r="J13" i="25" s="1"/>
  <c r="V10" i="24"/>
  <c r="V54" i="24" s="1"/>
  <c r="V31" i="24"/>
  <c r="V75" i="24" s="1"/>
  <c r="V6" i="24"/>
  <c r="V50" i="24" s="1"/>
  <c r="L9" i="26" s="1"/>
  <c r="V7" i="24"/>
  <c r="V51" i="24" s="1"/>
  <c r="AI57" i="9"/>
  <c r="V41" i="24"/>
  <c r="V85" i="24" s="1"/>
  <c r="AI35" i="8"/>
  <c r="AE35" i="23" s="1"/>
  <c r="AE91" i="23" s="1"/>
  <c r="V34" i="24"/>
  <c r="V78" i="24" s="1"/>
  <c r="Q57" i="8"/>
  <c r="Q10" i="23"/>
  <c r="Q66" i="23" s="1"/>
  <c r="AD42" i="8"/>
  <c r="AA42" i="23"/>
  <c r="AA98" i="23" s="1"/>
  <c r="L11" i="25"/>
  <c r="L9" i="25"/>
  <c r="L7" i="25"/>
  <c r="L13" i="25" s="1"/>
  <c r="X17" i="23"/>
  <c r="X73" i="23" s="1"/>
  <c r="X20" i="23"/>
  <c r="X76" i="23" s="1"/>
  <c r="X24" i="23"/>
  <c r="X80" i="23" s="1"/>
  <c r="X43" i="23"/>
  <c r="X99" i="23" s="1"/>
  <c r="M11" i="25"/>
  <c r="M7" i="25"/>
  <c r="M13" i="25" s="1"/>
  <c r="V19" i="24"/>
  <c r="V63" i="24" s="1"/>
  <c r="V14" i="24"/>
  <c r="V58" i="24" s="1"/>
  <c r="V11" i="24"/>
  <c r="V55" i="24" s="1"/>
  <c r="V15" i="24"/>
  <c r="V59" i="24" s="1"/>
  <c r="V38" i="24"/>
  <c r="V82" i="24" s="1"/>
  <c r="AE5" i="23"/>
  <c r="AE61" i="23" s="1"/>
  <c r="V24" i="24"/>
  <c r="V68" i="24" s="1"/>
  <c r="AI10" i="8"/>
  <c r="AE10" i="23" s="1"/>
  <c r="AE66" i="23" s="1"/>
  <c r="V20" i="24"/>
  <c r="V64" i="24" s="1"/>
  <c r="G11" i="26"/>
  <c r="AD20" i="8"/>
  <c r="AA20" i="23"/>
  <c r="AA76" i="23" s="1"/>
  <c r="X32" i="23"/>
  <c r="X88" i="23" s="1"/>
  <c r="X19" i="23"/>
  <c r="X75" i="23" s="1"/>
  <c r="X50" i="23"/>
  <c r="X106" i="23" s="1"/>
  <c r="X54" i="23"/>
  <c r="X110" i="23" s="1"/>
  <c r="X45" i="23"/>
  <c r="X101" i="23" s="1"/>
  <c r="X23" i="23"/>
  <c r="X79" i="23" s="1"/>
  <c r="V21" i="24"/>
  <c r="V65" i="24" s="1"/>
  <c r="V32" i="24"/>
  <c r="V76" i="24" s="1"/>
  <c r="V23" i="24"/>
  <c r="V67" i="24" s="1"/>
  <c r="V27" i="24"/>
  <c r="V71" i="24" s="1"/>
  <c r="V13" i="24"/>
  <c r="V57" i="24" s="1"/>
  <c r="V9" i="24"/>
  <c r="V53" i="24" s="1"/>
  <c r="R19" i="24"/>
  <c r="R63" i="24" s="1"/>
  <c r="AI42" i="8"/>
  <c r="AE42" i="23" s="1"/>
  <c r="AE98" i="23" s="1"/>
  <c r="V36" i="24"/>
  <c r="V80" i="24" s="1"/>
  <c r="AI45" i="8"/>
  <c r="AE45" i="23" s="1"/>
  <c r="AE101" i="23" s="1"/>
  <c r="V22" i="24"/>
  <c r="V66" i="24" s="1"/>
  <c r="G7" i="26"/>
  <c r="G13" i="26" s="1"/>
  <c r="AD43" i="8"/>
  <c r="AA43" i="23"/>
  <c r="AA99" i="23" s="1"/>
  <c r="AD27" i="8"/>
  <c r="AA27" i="23"/>
  <c r="AA83" i="23" s="1"/>
  <c r="T9" i="25"/>
  <c r="T11" i="25"/>
  <c r="T7" i="25"/>
  <c r="T13" i="25" s="1"/>
  <c r="X11" i="23"/>
  <c r="X67" i="23" s="1"/>
  <c r="X14" i="23"/>
  <c r="X70" i="23" s="1"/>
  <c r="X39" i="23"/>
  <c r="X95" i="23" s="1"/>
  <c r="X30" i="23"/>
  <c r="X86" i="23" s="1"/>
  <c r="X38" i="23"/>
  <c r="X94" i="23" s="1"/>
  <c r="V43" i="24"/>
  <c r="V87" i="24" s="1"/>
  <c r="V25" i="24"/>
  <c r="V69" i="24" s="1"/>
  <c r="V42" i="24"/>
  <c r="V86" i="24" s="1"/>
  <c r="V29" i="24"/>
  <c r="V73" i="24" s="1"/>
  <c r="V18" i="24"/>
  <c r="V62" i="24" s="1"/>
  <c r="V37" i="24"/>
  <c r="V81" i="24" s="1"/>
  <c r="AI46" i="8"/>
  <c r="AE46" i="23" s="1"/>
  <c r="AE102" i="23" s="1"/>
  <c r="V26" i="24"/>
  <c r="V70" i="24" s="1"/>
  <c r="AI36" i="8"/>
  <c r="AE36" i="23" s="1"/>
  <c r="AE92" i="23" s="1"/>
  <c r="AD13" i="8"/>
  <c r="AA13" i="23"/>
  <c r="AA69" i="23" s="1"/>
  <c r="J9" i="25"/>
  <c r="AD55" i="8"/>
  <c r="AA55" i="23"/>
  <c r="AA111" i="23" s="1"/>
  <c r="F9" i="25"/>
  <c r="F7" i="25"/>
  <c r="F13" i="25" s="1"/>
  <c r="F11" i="25"/>
  <c r="Y57" i="8"/>
  <c r="X5" i="23"/>
  <c r="X61" i="23" s="1"/>
  <c r="X40" i="23"/>
  <c r="X96" i="23" s="1"/>
  <c r="X47" i="23"/>
  <c r="X103" i="23" s="1"/>
  <c r="X48" i="23"/>
  <c r="X104" i="23" s="1"/>
  <c r="X6" i="23"/>
  <c r="X62" i="23" s="1"/>
  <c r="V28" i="24"/>
  <c r="V72" i="24" s="1"/>
  <c r="V39" i="24"/>
  <c r="V83" i="24" s="1"/>
  <c r="G7" i="25"/>
  <c r="G13" i="25" s="1"/>
  <c r="G11" i="25"/>
  <c r="V35" i="24"/>
  <c r="V79" i="24" s="1"/>
  <c r="R8" i="24"/>
  <c r="R52" i="24" s="1"/>
  <c r="H7" i="26" s="1"/>
  <c r="H13" i="26" s="1"/>
  <c r="Q9" i="25"/>
  <c r="Q11" i="25"/>
  <c r="AD18" i="8"/>
  <c r="AA18" i="23"/>
  <c r="AA74" i="23" s="1"/>
  <c r="X42" i="23"/>
  <c r="X98" i="23" s="1"/>
  <c r="X51" i="23"/>
  <c r="X107" i="23" s="1"/>
  <c r="X7" i="23"/>
  <c r="X63" i="23" s="1"/>
  <c r="X12" i="23"/>
  <c r="X68" i="23" s="1"/>
  <c r="X25" i="23"/>
  <c r="X81" i="23" s="1"/>
  <c r="X15" i="23"/>
  <c r="X71" i="23" s="1"/>
  <c r="X21" i="23"/>
  <c r="X77" i="23" s="1"/>
  <c r="V33" i="24"/>
  <c r="V77" i="24" s="1"/>
  <c r="AD19" i="8"/>
  <c r="AA19" i="23"/>
  <c r="AA75" i="23" s="1"/>
  <c r="Q7" i="25" s="1"/>
  <c r="Q13" i="25" s="1"/>
  <c r="V16" i="24"/>
  <c r="V60" i="24" s="1"/>
  <c r="G9" i="25"/>
  <c r="W42" i="13"/>
  <c r="W27" i="12"/>
  <c r="W33" i="12"/>
  <c r="W30" i="13"/>
  <c r="X57" i="8"/>
  <c r="U57" i="8"/>
  <c r="W9" i="12"/>
  <c r="W26" i="12"/>
  <c r="W40" i="13"/>
  <c r="W28" i="12"/>
  <c r="W39" i="13"/>
  <c r="W11" i="12"/>
  <c r="W16" i="13"/>
  <c r="P57" i="8"/>
  <c r="W57" i="8"/>
  <c r="AM62" i="6"/>
  <c r="AM60" i="9"/>
  <c r="AM60" i="8"/>
  <c r="AM60" i="7"/>
  <c r="V39" i="9"/>
  <c r="AB39" i="9" s="1"/>
  <c r="AB39" i="7"/>
  <c r="W5" i="12"/>
  <c r="T45" i="12"/>
  <c r="M34" i="8"/>
  <c r="M34" i="23" s="1"/>
  <c r="M90" i="23" s="1"/>
  <c r="V26" i="9"/>
  <c r="AB26" i="9" s="1"/>
  <c r="AB26" i="7"/>
  <c r="V45" i="9"/>
  <c r="AB45" i="9" s="1"/>
  <c r="AB45" i="7"/>
  <c r="V51" i="9"/>
  <c r="AB51" i="9" s="1"/>
  <c r="AB51" i="7"/>
  <c r="V10" i="9"/>
  <c r="AB10" i="9" s="1"/>
  <c r="AB10" i="7"/>
  <c r="V12" i="9"/>
  <c r="AB12" i="9" s="1"/>
  <c r="AB12" i="7"/>
  <c r="W39" i="12"/>
  <c r="M57" i="9"/>
  <c r="W12" i="12"/>
  <c r="W38" i="13"/>
  <c r="V45" i="12"/>
  <c r="W16" i="12"/>
  <c r="W45" i="11"/>
  <c r="L57" i="8"/>
  <c r="W40" i="12"/>
  <c r="V8" i="9"/>
  <c r="AB8" i="9" s="1"/>
  <c r="AB8" i="7"/>
  <c r="M41" i="8"/>
  <c r="M41" i="23" s="1"/>
  <c r="M97" i="23" s="1"/>
  <c r="M52" i="8"/>
  <c r="M52" i="23" s="1"/>
  <c r="M108" i="23" s="1"/>
  <c r="M25" i="8"/>
  <c r="M25" i="23" s="1"/>
  <c r="M81" i="23" s="1"/>
  <c r="V41" i="9"/>
  <c r="AB41" i="9" s="1"/>
  <c r="AB41" i="7"/>
  <c r="V23" i="9"/>
  <c r="AB23" i="9" s="1"/>
  <c r="AB23" i="7"/>
  <c r="T61" i="6"/>
  <c r="T59" i="9"/>
  <c r="T59" i="8"/>
  <c r="T59" i="7"/>
  <c r="M37" i="8"/>
  <c r="M37" i="23" s="1"/>
  <c r="M93" i="23" s="1"/>
  <c r="M7" i="8"/>
  <c r="M7" i="23" s="1"/>
  <c r="M63" i="23" s="1"/>
  <c r="O57" i="8"/>
  <c r="V33" i="9"/>
  <c r="AB33" i="9" s="1"/>
  <c r="AB33" i="7"/>
  <c r="V50" i="9"/>
  <c r="AB50" i="9" s="1"/>
  <c r="AB50" i="7"/>
  <c r="V44" i="9"/>
  <c r="AB44" i="9" s="1"/>
  <c r="AB44" i="7"/>
  <c r="V49" i="9"/>
  <c r="AB49" i="9" s="1"/>
  <c r="AB49" i="7"/>
  <c r="V14" i="9"/>
  <c r="AB14" i="9" s="1"/>
  <c r="AB14" i="7"/>
  <c r="V19" i="9"/>
  <c r="AB19" i="9" s="1"/>
  <c r="AB19" i="7"/>
  <c r="V17" i="9"/>
  <c r="AB17" i="9" s="1"/>
  <c r="AB17" i="7"/>
  <c r="M26" i="8"/>
  <c r="M26" i="23" s="1"/>
  <c r="M82" i="23" s="1"/>
  <c r="W19" i="13"/>
  <c r="M31" i="8"/>
  <c r="M31" i="23" s="1"/>
  <c r="M87" i="23" s="1"/>
  <c r="AA5" i="13"/>
  <c r="AA45" i="13" s="1"/>
  <c r="Z45" i="13"/>
  <c r="P45" i="13"/>
  <c r="W17" i="13"/>
  <c r="M42" i="8"/>
  <c r="M42" i="23" s="1"/>
  <c r="M98" i="23" s="1"/>
  <c r="M5" i="8"/>
  <c r="M5" i="23" s="1"/>
  <c r="M61" i="23" s="1"/>
  <c r="W38" i="12"/>
  <c r="M8" i="8"/>
  <c r="M8" i="23" s="1"/>
  <c r="M64" i="23" s="1"/>
  <c r="N45" i="12"/>
  <c r="M14" i="8"/>
  <c r="M14" i="23" s="1"/>
  <c r="M70" i="23" s="1"/>
  <c r="M33" i="8"/>
  <c r="M33" i="23" s="1"/>
  <c r="M89" i="23" s="1"/>
  <c r="W36" i="13"/>
  <c r="W13" i="13"/>
  <c r="V27" i="9"/>
  <c r="AB27" i="9" s="1"/>
  <c r="AB27" i="7"/>
  <c r="F47" i="5"/>
  <c r="L17" i="11"/>
  <c r="L9" i="11"/>
  <c r="L12" i="11"/>
  <c r="L7" i="11"/>
  <c r="L10" i="11"/>
  <c r="L5" i="11"/>
  <c r="L8" i="11"/>
  <c r="L11" i="11"/>
  <c r="L30" i="11"/>
  <c r="L22" i="11"/>
  <c r="L6" i="11"/>
  <c r="L38" i="11"/>
  <c r="L41" i="11"/>
  <c r="L39" i="11"/>
  <c r="L40" i="11"/>
  <c r="L36" i="11"/>
  <c r="L29" i="11"/>
  <c r="L37" i="11"/>
  <c r="L19" i="11"/>
  <c r="L16" i="11"/>
  <c r="L27" i="11"/>
  <c r="L25" i="11"/>
  <c r="L18" i="11"/>
  <c r="L35" i="11"/>
  <c r="L33" i="11"/>
  <c r="L26" i="11"/>
  <c r="L14" i="11"/>
  <c r="L13" i="11"/>
  <c r="L15" i="11"/>
  <c r="L34" i="11"/>
  <c r="L43" i="11"/>
  <c r="L23" i="11"/>
  <c r="L42" i="11"/>
  <c r="L31" i="11"/>
  <c r="L24" i="11"/>
  <c r="L32" i="11"/>
  <c r="L21" i="11"/>
  <c r="L20" i="11"/>
  <c r="L28" i="11"/>
  <c r="L49" i="11"/>
  <c r="V31" i="9"/>
  <c r="AB31" i="9" s="1"/>
  <c r="AB31" i="7"/>
  <c r="V43" i="9"/>
  <c r="AB43" i="9" s="1"/>
  <c r="AB43" i="7"/>
  <c r="V48" i="9"/>
  <c r="AB48" i="9" s="1"/>
  <c r="AB48" i="7"/>
  <c r="V16" i="9"/>
  <c r="AB16" i="9" s="1"/>
  <c r="AB16" i="7"/>
  <c r="V24" i="9"/>
  <c r="AB24" i="9" s="1"/>
  <c r="AB24" i="7"/>
  <c r="V29" i="9"/>
  <c r="AB29" i="9" s="1"/>
  <c r="AB29" i="7"/>
  <c r="AA5" i="12"/>
  <c r="AA45" i="12" s="1"/>
  <c r="Z45" i="12"/>
  <c r="P45" i="12"/>
  <c r="W21" i="13"/>
  <c r="W6" i="13"/>
  <c r="W25" i="12"/>
  <c r="F46" i="5"/>
  <c r="Q48" i="13"/>
  <c r="Q48" i="12"/>
  <c r="Q48" i="11"/>
  <c r="Q48" i="10"/>
  <c r="N45" i="13"/>
  <c r="W36" i="12"/>
  <c r="X50" i="12"/>
  <c r="M16" i="8"/>
  <c r="M16" i="23" s="1"/>
  <c r="M72" i="23" s="1"/>
  <c r="M10" i="8"/>
  <c r="M10" i="23" s="1"/>
  <c r="M66" i="23" s="1"/>
  <c r="W13" i="12"/>
  <c r="V22" i="9"/>
  <c r="AB22" i="9" s="1"/>
  <c r="AB22" i="7"/>
  <c r="M47" i="8"/>
  <c r="M47" i="23" s="1"/>
  <c r="M103" i="23" s="1"/>
  <c r="M15" i="8"/>
  <c r="M15" i="23" s="1"/>
  <c r="M71" i="23" s="1"/>
  <c r="O45" i="13"/>
  <c r="W42" i="12"/>
  <c r="V38" i="9"/>
  <c r="AB38" i="9" s="1"/>
  <c r="AB38" i="7"/>
  <c r="M36" i="8"/>
  <c r="M36" i="23" s="1"/>
  <c r="M92" i="23" s="1"/>
  <c r="V40" i="9"/>
  <c r="AB40" i="9" s="1"/>
  <c r="AB40" i="7"/>
  <c r="V37" i="9"/>
  <c r="AB37" i="9" s="1"/>
  <c r="AB37" i="7"/>
  <c r="V55" i="9"/>
  <c r="AB55" i="9" s="1"/>
  <c r="AB55" i="7"/>
  <c r="V5" i="9"/>
  <c r="AB5" i="9" s="1"/>
  <c r="V57" i="7"/>
  <c r="V62" i="7" s="1"/>
  <c r="V51" i="8" s="1"/>
  <c r="AB51" i="8" s="1"/>
  <c r="AB5" i="7"/>
  <c r="V6" i="9"/>
  <c r="AB6" i="7"/>
  <c r="AA45" i="11"/>
  <c r="M18" i="8"/>
  <c r="M18" i="23" s="1"/>
  <c r="M74" i="23" s="1"/>
  <c r="M48" i="8"/>
  <c r="M48" i="23" s="1"/>
  <c r="M104" i="23" s="1"/>
  <c r="W21" i="12"/>
  <c r="M43" i="8"/>
  <c r="M43" i="23" s="1"/>
  <c r="M99" i="23" s="1"/>
  <c r="M54" i="8"/>
  <c r="M54" i="23" s="1"/>
  <c r="M110" i="23" s="1"/>
  <c r="W6" i="12"/>
  <c r="W31" i="13"/>
  <c r="M22" i="8"/>
  <c r="M22" i="23" s="1"/>
  <c r="M78" i="23" s="1"/>
  <c r="U45" i="12"/>
  <c r="W7" i="13"/>
  <c r="M12" i="8"/>
  <c r="M12" i="23" s="1"/>
  <c r="M68" i="23" s="1"/>
  <c r="S40" i="8"/>
  <c r="S41" i="8"/>
  <c r="S33" i="8"/>
  <c r="S15" i="8"/>
  <c r="S22" i="8"/>
  <c r="S45" i="8"/>
  <c r="S24" i="8"/>
  <c r="S32" i="8"/>
  <c r="S27" i="8"/>
  <c r="S38" i="8"/>
  <c r="S14" i="8"/>
  <c r="S34" i="8"/>
  <c r="S7" i="8"/>
  <c r="S44" i="8"/>
  <c r="S36" i="8"/>
  <c r="S18" i="8"/>
  <c r="S52" i="8"/>
  <c r="S20" i="8"/>
  <c r="S17" i="8"/>
  <c r="S49" i="8"/>
  <c r="S12" i="8"/>
  <c r="S5" i="8"/>
  <c r="S25" i="8"/>
  <c r="S9" i="8"/>
  <c r="S16" i="8"/>
  <c r="S19" i="8"/>
  <c r="S23" i="8"/>
  <c r="S46" i="8"/>
  <c r="S10" i="8"/>
  <c r="S42" i="8"/>
  <c r="S13" i="8"/>
  <c r="S43" i="8"/>
  <c r="S37" i="8"/>
  <c r="S29" i="8"/>
  <c r="S53" i="8"/>
  <c r="S39" i="8"/>
  <c r="S8" i="8"/>
  <c r="S30" i="8"/>
  <c r="S51" i="8"/>
  <c r="S54" i="8"/>
  <c r="S28" i="8"/>
  <c r="S50" i="8"/>
  <c r="S21" i="8"/>
  <c r="S47" i="8"/>
  <c r="S35" i="8"/>
  <c r="S6" i="8"/>
  <c r="S11" i="8"/>
  <c r="S48" i="8"/>
  <c r="S55" i="8"/>
  <c r="S31" i="8"/>
  <c r="S26" i="8"/>
  <c r="W10" i="13"/>
  <c r="Y57" i="9"/>
  <c r="W12" i="13"/>
  <c r="M24" i="8"/>
  <c r="M24" i="23" s="1"/>
  <c r="M80" i="23" s="1"/>
  <c r="W20" i="12"/>
  <c r="M11" i="8"/>
  <c r="M11" i="23" s="1"/>
  <c r="M67" i="23" s="1"/>
  <c r="M51" i="8"/>
  <c r="M51" i="23" s="1"/>
  <c r="M107" i="23" s="1"/>
  <c r="V42" i="9"/>
  <c r="AB42" i="9" s="1"/>
  <c r="AB42" i="7"/>
  <c r="V45" i="13"/>
  <c r="V47" i="8"/>
  <c r="AB47" i="8" s="1"/>
  <c r="V47" i="9"/>
  <c r="AB47" i="9" s="1"/>
  <c r="AB47" i="7"/>
  <c r="V53" i="8"/>
  <c r="U53" i="23" s="1"/>
  <c r="U109" i="23" s="1"/>
  <c r="V53" i="9"/>
  <c r="AB53" i="9" s="1"/>
  <c r="AB53" i="7"/>
  <c r="V46" i="9"/>
  <c r="AB46" i="9" s="1"/>
  <c r="AB46" i="7"/>
  <c r="V11" i="9"/>
  <c r="AB11" i="9" s="1"/>
  <c r="AB11" i="7"/>
  <c r="V9" i="9"/>
  <c r="AB9" i="9" s="1"/>
  <c r="AB9" i="7"/>
  <c r="W30" i="12"/>
  <c r="W29" i="13"/>
  <c r="M9" i="8"/>
  <c r="M9" i="23" s="1"/>
  <c r="M65" i="23" s="1"/>
  <c r="W22" i="13"/>
  <c r="M28" i="8"/>
  <c r="M28" i="23" s="1"/>
  <c r="M84" i="23" s="1"/>
  <c r="W14" i="13"/>
  <c r="W31" i="12"/>
  <c r="W32" i="13"/>
  <c r="M50" i="8"/>
  <c r="M50" i="23" s="1"/>
  <c r="M106" i="23" s="1"/>
  <c r="W7" i="12"/>
  <c r="W37" i="13"/>
  <c r="R40" i="8"/>
  <c r="R40" i="23" s="1"/>
  <c r="R96" i="23" s="1"/>
  <c r="R38" i="8"/>
  <c r="R38" i="23" s="1"/>
  <c r="R94" i="23" s="1"/>
  <c r="R34" i="8"/>
  <c r="R34" i="23" s="1"/>
  <c r="R90" i="23" s="1"/>
  <c r="R17" i="8"/>
  <c r="R17" i="23" s="1"/>
  <c r="R73" i="23" s="1"/>
  <c r="R39" i="8"/>
  <c r="R39" i="23" s="1"/>
  <c r="R95" i="23" s="1"/>
  <c r="R54" i="8"/>
  <c r="R54" i="23" s="1"/>
  <c r="R110" i="23" s="1"/>
  <c r="R28" i="8"/>
  <c r="R45" i="8"/>
  <c r="R45" i="23" s="1"/>
  <c r="R101" i="23" s="1"/>
  <c r="R42" i="8"/>
  <c r="R42" i="23" s="1"/>
  <c r="R98" i="23" s="1"/>
  <c r="R24" i="8"/>
  <c r="R24" i="23" s="1"/>
  <c r="R80" i="23" s="1"/>
  <c r="R26" i="8"/>
  <c r="R22" i="8"/>
  <c r="R22" i="23" s="1"/>
  <c r="R78" i="23" s="1"/>
  <c r="R31" i="8"/>
  <c r="R41" i="8"/>
  <c r="R41" i="23" s="1"/>
  <c r="R97" i="23" s="1"/>
  <c r="R44" i="8"/>
  <c r="R44" i="23" s="1"/>
  <c r="R100" i="23" s="1"/>
  <c r="R33" i="8"/>
  <c r="R15" i="8"/>
  <c r="R15" i="23" s="1"/>
  <c r="R71" i="23" s="1"/>
  <c r="R11" i="8"/>
  <c r="R11" i="23" s="1"/>
  <c r="R67" i="23" s="1"/>
  <c r="R32" i="8"/>
  <c r="R27" i="8"/>
  <c r="R14" i="8"/>
  <c r="R14" i="23" s="1"/>
  <c r="R70" i="23" s="1"/>
  <c r="R25" i="8"/>
  <c r="R19" i="8"/>
  <c r="R19" i="23" s="1"/>
  <c r="R75" i="23" s="1"/>
  <c r="R6" i="8"/>
  <c r="R6" i="23" s="1"/>
  <c r="R62" i="23" s="1"/>
  <c r="R55" i="8"/>
  <c r="R55" i="23" s="1"/>
  <c r="R111" i="23" s="1"/>
  <c r="R36" i="8"/>
  <c r="R36" i="23" s="1"/>
  <c r="R92" i="23" s="1"/>
  <c r="R18" i="8"/>
  <c r="R18" i="23" s="1"/>
  <c r="R74" i="23" s="1"/>
  <c r="R53" i="8"/>
  <c r="R53" i="23" s="1"/>
  <c r="R109" i="23" s="1"/>
  <c r="R52" i="8"/>
  <c r="R52" i="23" s="1"/>
  <c r="R108" i="23" s="1"/>
  <c r="R20" i="8"/>
  <c r="R20" i="23" s="1"/>
  <c r="R76" i="23" s="1"/>
  <c r="R30" i="8"/>
  <c r="R49" i="8"/>
  <c r="R49" i="23" s="1"/>
  <c r="R105" i="23" s="1"/>
  <c r="R12" i="8"/>
  <c r="R12" i="23" s="1"/>
  <c r="R68" i="23" s="1"/>
  <c r="R5" i="8"/>
  <c r="R5" i="23" s="1"/>
  <c r="R61" i="23" s="1"/>
  <c r="R51" i="8"/>
  <c r="R51" i="23" s="1"/>
  <c r="R107" i="23" s="1"/>
  <c r="R9" i="8"/>
  <c r="R9" i="23" s="1"/>
  <c r="R65" i="23" s="1"/>
  <c r="R16" i="8"/>
  <c r="R16" i="23" s="1"/>
  <c r="R72" i="23" s="1"/>
  <c r="R23" i="8"/>
  <c r="R23" i="23" s="1"/>
  <c r="R79" i="23" s="1"/>
  <c r="R46" i="8"/>
  <c r="R46" i="23" s="1"/>
  <c r="R102" i="23" s="1"/>
  <c r="R10" i="8"/>
  <c r="R10" i="23" s="1"/>
  <c r="R66" i="23" s="1"/>
  <c r="R47" i="8"/>
  <c r="R47" i="23" s="1"/>
  <c r="R103" i="23" s="1"/>
  <c r="R13" i="8"/>
  <c r="R13" i="23" s="1"/>
  <c r="R69" i="23" s="1"/>
  <c r="R50" i="8"/>
  <c r="R50" i="23" s="1"/>
  <c r="R106" i="23" s="1"/>
  <c r="R21" i="8"/>
  <c r="R21" i="23" s="1"/>
  <c r="R77" i="23" s="1"/>
  <c r="R43" i="8"/>
  <c r="R43" i="23" s="1"/>
  <c r="R99" i="23" s="1"/>
  <c r="R37" i="8"/>
  <c r="R37" i="23" s="1"/>
  <c r="R93" i="23" s="1"/>
  <c r="R29" i="8"/>
  <c r="R29" i="23" s="1"/>
  <c r="R85" i="23" s="1"/>
  <c r="R48" i="8"/>
  <c r="R48" i="23" s="1"/>
  <c r="R104" i="23" s="1"/>
  <c r="R35" i="8"/>
  <c r="R35" i="23" s="1"/>
  <c r="R91" i="23" s="1"/>
  <c r="R8" i="8"/>
  <c r="R8" i="23" s="1"/>
  <c r="R64" i="23" s="1"/>
  <c r="R7" i="8"/>
  <c r="R7" i="23" s="1"/>
  <c r="R63" i="23" s="1"/>
  <c r="M46" i="8"/>
  <c r="M46" i="23" s="1"/>
  <c r="M102" i="23" s="1"/>
  <c r="W10" i="12"/>
  <c r="W35" i="13"/>
  <c r="M23" i="8"/>
  <c r="M23" i="23" s="1"/>
  <c r="M79" i="23" s="1"/>
  <c r="T62" i="6"/>
  <c r="T60" i="9"/>
  <c r="T60" i="8"/>
  <c r="T60" i="7"/>
  <c r="V25" i="8"/>
  <c r="AB25" i="8" s="1"/>
  <c r="V25" i="9"/>
  <c r="AB25" i="9" s="1"/>
  <c r="AB25" i="7"/>
  <c r="W24" i="12"/>
  <c r="W15" i="13"/>
  <c r="AM60" i="6"/>
  <c r="AM58" i="9"/>
  <c r="AM58" i="7"/>
  <c r="AM58" i="8" s="1"/>
  <c r="U45" i="13"/>
  <c r="M19" i="8"/>
  <c r="M19" i="23" s="1"/>
  <c r="M75" i="23" s="1"/>
  <c r="W15" i="12"/>
  <c r="V36" i="8"/>
  <c r="AB36" i="8" s="1"/>
  <c r="V36" i="9"/>
  <c r="AB36" i="9" s="1"/>
  <c r="AB36" i="7"/>
  <c r="M55" i="8"/>
  <c r="M55" i="23" s="1"/>
  <c r="M111" i="23" s="1"/>
  <c r="W34" i="12"/>
  <c r="V30" i="8"/>
  <c r="AB30" i="8" s="1"/>
  <c r="V30" i="9"/>
  <c r="AB30" i="9" s="1"/>
  <c r="AB30" i="7"/>
  <c r="V52" i="8"/>
  <c r="AB52" i="8" s="1"/>
  <c r="V52" i="9"/>
  <c r="AB52" i="9" s="1"/>
  <c r="AB52" i="7"/>
  <c r="V54" i="8"/>
  <c r="AB54" i="8" s="1"/>
  <c r="V54" i="9"/>
  <c r="AB54" i="9" s="1"/>
  <c r="AB54" i="7"/>
  <c r="V35" i="9"/>
  <c r="AB35" i="9" s="1"/>
  <c r="AB35" i="7"/>
  <c r="V15" i="9"/>
  <c r="AB15" i="9" s="1"/>
  <c r="AB15" i="7"/>
  <c r="V13" i="8"/>
  <c r="AB13" i="8" s="1"/>
  <c r="V13" i="9"/>
  <c r="AB13" i="9" s="1"/>
  <c r="AB13" i="7"/>
  <c r="W29" i="12"/>
  <c r="Q47" i="13"/>
  <c r="Q47" i="12"/>
  <c r="Q47" i="11"/>
  <c r="Q47" i="10"/>
  <c r="W22" i="12"/>
  <c r="W23" i="13"/>
  <c r="W41" i="13"/>
  <c r="M45" i="8"/>
  <c r="M45" i="23" s="1"/>
  <c r="M101" i="23" s="1"/>
  <c r="M49" i="8"/>
  <c r="M49" i="23" s="1"/>
  <c r="M105" i="23" s="1"/>
  <c r="M44" i="8"/>
  <c r="M44" i="23" s="1"/>
  <c r="M100" i="23" s="1"/>
  <c r="W14" i="12"/>
  <c r="W43" i="13"/>
  <c r="W18" i="13"/>
  <c r="W32" i="12"/>
  <c r="AD5" i="8"/>
  <c r="AD57" i="8" s="1"/>
  <c r="AC57" i="8"/>
  <c r="W37" i="12"/>
  <c r="M30" i="8"/>
  <c r="M30" i="23" s="1"/>
  <c r="M86" i="23" s="1"/>
  <c r="W5" i="13"/>
  <c r="T45" i="13"/>
  <c r="W35" i="12"/>
  <c r="V21" i="8"/>
  <c r="AB21" i="8" s="1"/>
  <c r="V21" i="9"/>
  <c r="AB21" i="9" s="1"/>
  <c r="AB21" i="7"/>
  <c r="O45" i="12"/>
  <c r="M39" i="8"/>
  <c r="M39" i="23" s="1"/>
  <c r="M95" i="23" s="1"/>
  <c r="M53" i="8"/>
  <c r="M53" i="23" s="1"/>
  <c r="M109" i="23" s="1"/>
  <c r="V32" i="8"/>
  <c r="AB32" i="8" s="1"/>
  <c r="V32" i="9"/>
  <c r="AB32" i="9" s="1"/>
  <c r="AB32" i="7"/>
  <c r="V34" i="8"/>
  <c r="AB34" i="8" s="1"/>
  <c r="V34" i="9"/>
  <c r="AB34" i="9" s="1"/>
  <c r="AB34" i="7"/>
  <c r="V28" i="8"/>
  <c r="AB28" i="8" s="1"/>
  <c r="V28" i="9"/>
  <c r="AB28" i="9" s="1"/>
  <c r="AB28" i="7"/>
  <c r="V7" i="8"/>
  <c r="AB7" i="8" s="1"/>
  <c r="V7" i="9"/>
  <c r="AB7" i="9" s="1"/>
  <c r="AB7" i="7"/>
  <c r="V20" i="8"/>
  <c r="AB20" i="8" s="1"/>
  <c r="V20" i="9"/>
  <c r="AB20" i="9" s="1"/>
  <c r="AB20" i="7"/>
  <c r="V18" i="8"/>
  <c r="AB18" i="8" s="1"/>
  <c r="V18" i="9"/>
  <c r="AB18" i="9" s="1"/>
  <c r="AB18" i="7"/>
  <c r="AB53" i="8"/>
  <c r="M32" i="8"/>
  <c r="M32" i="23" s="1"/>
  <c r="M88" i="23" s="1"/>
  <c r="W23" i="12"/>
  <c r="W41" i="12"/>
  <c r="M6" i="8"/>
  <c r="M6" i="23" s="1"/>
  <c r="M62" i="23" s="1"/>
  <c r="W43" i="12"/>
  <c r="M35" i="8"/>
  <c r="M35" i="23" s="1"/>
  <c r="M91" i="23" s="1"/>
  <c r="W27" i="13"/>
  <c r="M38" i="8"/>
  <c r="M38" i="23" s="1"/>
  <c r="M94" i="23" s="1"/>
  <c r="W18" i="12"/>
  <c r="M29" i="8"/>
  <c r="M29" i="23" s="1"/>
  <c r="M85" i="23" s="1"/>
  <c r="W11" i="13"/>
  <c r="W20" i="13"/>
  <c r="M17" i="8"/>
  <c r="M17" i="23" s="1"/>
  <c r="M73" i="23" s="1"/>
  <c r="E42" i="5"/>
  <c r="E21" i="5"/>
  <c r="L15" i="26" l="1"/>
  <c r="L14" i="26"/>
  <c r="C9" i="25"/>
  <c r="C7" i="25"/>
  <c r="C13" i="25" s="1"/>
  <c r="C11" i="25"/>
  <c r="U20" i="23"/>
  <c r="U76" i="23" s="1"/>
  <c r="U54" i="23"/>
  <c r="U110" i="23" s="1"/>
  <c r="I15" i="26"/>
  <c r="I14" i="26"/>
  <c r="J15" i="25"/>
  <c r="J14" i="25"/>
  <c r="U7" i="23"/>
  <c r="U63" i="23" s="1"/>
  <c r="U52" i="23"/>
  <c r="U108" i="23" s="1"/>
  <c r="AI57" i="8"/>
  <c r="H9" i="25"/>
  <c r="H11" i="25"/>
  <c r="H7" i="25"/>
  <c r="H13" i="25" s="1"/>
  <c r="G14" i="25"/>
  <c r="G15" i="25"/>
  <c r="Q15" i="25"/>
  <c r="Q14" i="25"/>
  <c r="U28" i="23"/>
  <c r="U84" i="23" s="1"/>
  <c r="U30" i="23"/>
  <c r="U86" i="23" s="1"/>
  <c r="N9" i="25"/>
  <c r="N7" i="25"/>
  <c r="N13" i="25" s="1"/>
  <c r="N11" i="25"/>
  <c r="U34" i="23"/>
  <c r="U90" i="23" s="1"/>
  <c r="L11" i="26"/>
  <c r="J15" i="26"/>
  <c r="J14" i="26"/>
  <c r="T15" i="25"/>
  <c r="T14" i="25"/>
  <c r="L15" i="25"/>
  <c r="L14" i="25"/>
  <c r="U21" i="23"/>
  <c r="U77" i="23" s="1"/>
  <c r="U32" i="23"/>
  <c r="U88" i="23" s="1"/>
  <c r="U36" i="23"/>
  <c r="U92" i="23" s="1"/>
  <c r="L7" i="26"/>
  <c r="L13" i="26" s="1"/>
  <c r="F15" i="26"/>
  <c r="F14" i="26"/>
  <c r="U13" i="23"/>
  <c r="U69" i="23" s="1"/>
  <c r="E14" i="25"/>
  <c r="E15" i="25"/>
  <c r="U25" i="23"/>
  <c r="U81" i="23" s="1"/>
  <c r="B14" i="25"/>
  <c r="B15" i="25"/>
  <c r="U47" i="23"/>
  <c r="U103" i="23" s="1"/>
  <c r="E15" i="26"/>
  <c r="E14" i="26"/>
  <c r="F15" i="25"/>
  <c r="F14" i="25"/>
  <c r="U51" i="23"/>
  <c r="U107" i="23" s="1"/>
  <c r="U9" i="25"/>
  <c r="U11" i="25"/>
  <c r="U7" i="25"/>
  <c r="U13" i="25" s="1"/>
  <c r="U18" i="23"/>
  <c r="U74" i="23" s="1"/>
  <c r="D15" i="26"/>
  <c r="D14" i="26"/>
  <c r="H15" i="26"/>
  <c r="H14" i="26"/>
  <c r="V40" i="8"/>
  <c r="V19" i="8"/>
  <c r="V11" i="8"/>
  <c r="V5" i="8"/>
  <c r="U5" i="23" s="1"/>
  <c r="U61" i="23" s="1"/>
  <c r="V33" i="8"/>
  <c r="V35" i="8"/>
  <c r="V46" i="8"/>
  <c r="V48" i="8"/>
  <c r="V29" i="8"/>
  <c r="V12" i="8"/>
  <c r="AB5" i="8"/>
  <c r="L11" i="12"/>
  <c r="Q11" i="12" s="1"/>
  <c r="Q11" i="11"/>
  <c r="AB11" i="11" s="1"/>
  <c r="L11" i="13"/>
  <c r="Q11" i="13" s="1"/>
  <c r="R57" i="8"/>
  <c r="S62" i="8" s="1"/>
  <c r="Q28" i="11"/>
  <c r="AB28" i="11" s="1"/>
  <c r="L28" i="12"/>
  <c r="Q28" i="12" s="1"/>
  <c r="L28" i="13"/>
  <c r="Q28" i="13" s="1"/>
  <c r="Q43" i="11"/>
  <c r="AB43" i="11" s="1"/>
  <c r="L43" i="12"/>
  <c r="Q43" i="12" s="1"/>
  <c r="L43" i="13"/>
  <c r="Q43" i="13" s="1"/>
  <c r="L18" i="12"/>
  <c r="Q18" i="12" s="1"/>
  <c r="Q18" i="11"/>
  <c r="AB18" i="11" s="1"/>
  <c r="L18" i="13"/>
  <c r="Q18" i="13" s="1"/>
  <c r="L8" i="12"/>
  <c r="Q8" i="12" s="1"/>
  <c r="Q8" i="11"/>
  <c r="AB8" i="11" s="1"/>
  <c r="L8" i="13"/>
  <c r="Q8" i="13" s="1"/>
  <c r="AE59" i="9"/>
  <c r="AE59" i="7"/>
  <c r="AE59" i="8"/>
  <c r="AO58" i="8" s="1"/>
  <c r="V15" i="8"/>
  <c r="V9" i="8"/>
  <c r="V42" i="8"/>
  <c r="L20" i="12"/>
  <c r="Q20" i="12" s="1"/>
  <c r="Q20" i="11"/>
  <c r="AB20" i="11" s="1"/>
  <c r="L20" i="13"/>
  <c r="Q20" i="13" s="1"/>
  <c r="L34" i="12"/>
  <c r="Q34" i="12" s="1"/>
  <c r="Q34" i="11"/>
  <c r="AB34" i="11" s="1"/>
  <c r="L34" i="13"/>
  <c r="Q34" i="13" s="1"/>
  <c r="Q25" i="11"/>
  <c r="AB25" i="11" s="1"/>
  <c r="L25" i="12"/>
  <c r="Q25" i="12" s="1"/>
  <c r="L25" i="13"/>
  <c r="Q25" i="13" s="1"/>
  <c r="L39" i="12"/>
  <c r="Q39" i="12" s="1"/>
  <c r="Q39" i="11"/>
  <c r="AB39" i="11" s="1"/>
  <c r="L39" i="13"/>
  <c r="Q39" i="13" s="1"/>
  <c r="L5" i="12"/>
  <c r="L5" i="24" s="1"/>
  <c r="L49" i="24" s="1"/>
  <c r="Q5" i="11"/>
  <c r="L5" i="13"/>
  <c r="L45" i="11"/>
  <c r="V44" i="8"/>
  <c r="V23" i="8"/>
  <c r="V45" i="8"/>
  <c r="W45" i="12"/>
  <c r="AB57" i="7"/>
  <c r="V57" i="9"/>
  <c r="AB6" i="9"/>
  <c r="V55" i="8"/>
  <c r="V24" i="8"/>
  <c r="L21" i="12"/>
  <c r="Q21" i="12" s="1"/>
  <c r="Q21" i="11"/>
  <c r="AB21" i="11" s="1"/>
  <c r="L21" i="13"/>
  <c r="Q21" i="13" s="1"/>
  <c r="L15" i="12"/>
  <c r="Q15" i="12" s="1"/>
  <c r="Q15" i="11"/>
  <c r="AB15" i="11" s="1"/>
  <c r="L15" i="13"/>
  <c r="Q15" i="13" s="1"/>
  <c r="L27" i="12"/>
  <c r="Q27" i="12" s="1"/>
  <c r="Q27" i="11"/>
  <c r="AB27" i="11" s="1"/>
  <c r="L27" i="13"/>
  <c r="Q27" i="13" s="1"/>
  <c r="L41" i="12"/>
  <c r="Q41" i="12" s="1"/>
  <c r="Q41" i="11"/>
  <c r="AB41" i="11" s="1"/>
  <c r="L41" i="13"/>
  <c r="Q41" i="13" s="1"/>
  <c r="Q10" i="11"/>
  <c r="AB10" i="11" s="1"/>
  <c r="L10" i="12"/>
  <c r="Q10" i="12" s="1"/>
  <c r="L10" i="13"/>
  <c r="Q10" i="13" s="1"/>
  <c r="V27" i="8"/>
  <c r="M57" i="8"/>
  <c r="V8" i="8"/>
  <c r="V39" i="8"/>
  <c r="L23" i="12"/>
  <c r="Q23" i="12" s="1"/>
  <c r="Q23" i="11"/>
  <c r="AB23" i="11" s="1"/>
  <c r="L23" i="13"/>
  <c r="Q23" i="13" s="1"/>
  <c r="L35" i="12"/>
  <c r="Q35" i="12" s="1"/>
  <c r="Q35" i="11"/>
  <c r="AB35" i="11" s="1"/>
  <c r="L35" i="13"/>
  <c r="Q35" i="13" s="1"/>
  <c r="L36" i="12"/>
  <c r="Q36" i="12" s="1"/>
  <c r="Q36" i="11"/>
  <c r="AB36" i="11" s="1"/>
  <c r="L36" i="13"/>
  <c r="Q36" i="13" s="1"/>
  <c r="E43" i="5"/>
  <c r="X47" i="13"/>
  <c r="X47" i="12"/>
  <c r="X47" i="11"/>
  <c r="X50" i="11" s="1"/>
  <c r="X47" i="10"/>
  <c r="V6" i="8"/>
  <c r="V22" i="8"/>
  <c r="V43" i="8"/>
  <c r="L32" i="12"/>
  <c r="Q32" i="12" s="1"/>
  <c r="Q32" i="11"/>
  <c r="AB32" i="11" s="1"/>
  <c r="L32" i="13"/>
  <c r="Q32" i="13" s="1"/>
  <c r="L13" i="12"/>
  <c r="Q13" i="12" s="1"/>
  <c r="Q13" i="11"/>
  <c r="AB13" i="11" s="1"/>
  <c r="L13" i="13"/>
  <c r="Q13" i="13" s="1"/>
  <c r="L16" i="12"/>
  <c r="Q16" i="12" s="1"/>
  <c r="Q16" i="11"/>
  <c r="AB16" i="11" s="1"/>
  <c r="L16" i="13"/>
  <c r="Q16" i="13" s="1"/>
  <c r="L38" i="12"/>
  <c r="Q38" i="12" s="1"/>
  <c r="Q38" i="11"/>
  <c r="AB38" i="11" s="1"/>
  <c r="L38" i="13"/>
  <c r="Q38" i="13" s="1"/>
  <c r="L7" i="12"/>
  <c r="Q7" i="12" s="1"/>
  <c r="Q7" i="11"/>
  <c r="AB7" i="11" s="1"/>
  <c r="L7" i="13"/>
  <c r="Q7" i="13" s="1"/>
  <c r="V14" i="8"/>
  <c r="V10" i="8"/>
  <c r="L40" i="12"/>
  <c r="Q40" i="12" s="1"/>
  <c r="Q40" i="11"/>
  <c r="AB40" i="11" s="1"/>
  <c r="L40" i="13"/>
  <c r="Q40" i="13" s="1"/>
  <c r="V38" i="8"/>
  <c r="L24" i="12"/>
  <c r="Q24" i="12" s="1"/>
  <c r="Q24" i="11"/>
  <c r="AB24" i="11" s="1"/>
  <c r="L24" i="13"/>
  <c r="Q24" i="13" s="1"/>
  <c r="L14" i="12"/>
  <c r="Q14" i="12" s="1"/>
  <c r="Q14" i="11"/>
  <c r="AB14" i="11" s="1"/>
  <c r="L14" i="13"/>
  <c r="Q14" i="13" s="1"/>
  <c r="L19" i="12"/>
  <c r="Q19" i="12" s="1"/>
  <c r="Q19" i="11"/>
  <c r="AB19" i="11" s="1"/>
  <c r="L19" i="13"/>
  <c r="Q19" i="13" s="1"/>
  <c r="L6" i="12"/>
  <c r="Q6" i="12" s="1"/>
  <c r="Q6" i="11"/>
  <c r="AB6" i="11" s="1"/>
  <c r="L6" i="13"/>
  <c r="Q6" i="13" s="1"/>
  <c r="Q12" i="11"/>
  <c r="AB12" i="11" s="1"/>
  <c r="L12" i="12"/>
  <c r="Q12" i="12" s="1"/>
  <c r="L12" i="13"/>
  <c r="Q12" i="13" s="1"/>
  <c r="V50" i="8"/>
  <c r="V41" i="8"/>
  <c r="V26" i="8"/>
  <c r="V37" i="8"/>
  <c r="V16" i="8"/>
  <c r="L31" i="12"/>
  <c r="Q31" i="12" s="1"/>
  <c r="Q31" i="11"/>
  <c r="AB31" i="11" s="1"/>
  <c r="L31" i="13"/>
  <c r="Q31" i="13" s="1"/>
  <c r="L26" i="12"/>
  <c r="Q26" i="12" s="1"/>
  <c r="Q26" i="11"/>
  <c r="AB26" i="11" s="1"/>
  <c r="L26" i="13"/>
  <c r="Q26" i="13" s="1"/>
  <c r="L37" i="12"/>
  <c r="Q37" i="12" s="1"/>
  <c r="Q37" i="11"/>
  <c r="AB37" i="11" s="1"/>
  <c r="L37" i="13"/>
  <c r="Q37" i="13" s="1"/>
  <c r="L22" i="12"/>
  <c r="Q22" i="12" s="1"/>
  <c r="Q22" i="11"/>
  <c r="AB22" i="11" s="1"/>
  <c r="L22" i="13"/>
  <c r="Q22" i="13" s="1"/>
  <c r="L9" i="12"/>
  <c r="Q9" i="12" s="1"/>
  <c r="Q9" i="11"/>
  <c r="AB9" i="11" s="1"/>
  <c r="L9" i="13"/>
  <c r="Q9" i="13" s="1"/>
  <c r="V17" i="8"/>
  <c r="W45" i="13"/>
  <c r="S57" i="8"/>
  <c r="AB57" i="9"/>
  <c r="AB48" i="13"/>
  <c r="AB48" i="10"/>
  <c r="AB48" i="11"/>
  <c r="AB48" i="12"/>
  <c r="V31" i="8"/>
  <c r="L42" i="12"/>
  <c r="Q42" i="12" s="1"/>
  <c r="Q42" i="11"/>
  <c r="AB42" i="11" s="1"/>
  <c r="L42" i="13"/>
  <c r="Q42" i="13" s="1"/>
  <c r="L33" i="12"/>
  <c r="Q33" i="12" s="1"/>
  <c r="Q33" i="11"/>
  <c r="AB33" i="11" s="1"/>
  <c r="L33" i="13"/>
  <c r="Q33" i="13" s="1"/>
  <c r="L29" i="12"/>
  <c r="Q29" i="12" s="1"/>
  <c r="Q29" i="11"/>
  <c r="AB29" i="11" s="1"/>
  <c r="L29" i="13"/>
  <c r="Q29" i="13" s="1"/>
  <c r="L30" i="12"/>
  <c r="Q30" i="12" s="1"/>
  <c r="Q30" i="11"/>
  <c r="AB30" i="11" s="1"/>
  <c r="L30" i="13"/>
  <c r="Q30" i="13" s="1"/>
  <c r="L17" i="12"/>
  <c r="Q17" i="12" s="1"/>
  <c r="Q17" i="11"/>
  <c r="AB17" i="11" s="1"/>
  <c r="L17" i="13"/>
  <c r="Q17" i="13" s="1"/>
  <c r="V49" i="8"/>
  <c r="E23" i="5"/>
  <c r="AE61" i="6"/>
  <c r="E47" i="5"/>
  <c r="AB27" i="8" l="1"/>
  <c r="U27" i="23"/>
  <c r="U83" i="23" s="1"/>
  <c r="AB24" i="8"/>
  <c r="U24" i="23"/>
  <c r="U80" i="23" s="1"/>
  <c r="AB44" i="8"/>
  <c r="U44" i="23"/>
  <c r="U100" i="23" s="1"/>
  <c r="AB12" i="8"/>
  <c r="U12" i="23"/>
  <c r="U68" i="23" s="1"/>
  <c r="AB19" i="8"/>
  <c r="U19" i="23"/>
  <c r="U75" i="23" s="1"/>
  <c r="L43" i="24"/>
  <c r="L87" i="24" s="1"/>
  <c r="L11" i="24"/>
  <c r="L55" i="24" s="1"/>
  <c r="L30" i="24"/>
  <c r="L74" i="24" s="1"/>
  <c r="L26" i="24"/>
  <c r="L70" i="24" s="1"/>
  <c r="L24" i="24"/>
  <c r="L68" i="24" s="1"/>
  <c r="L13" i="24"/>
  <c r="L57" i="24" s="1"/>
  <c r="L10" i="24"/>
  <c r="L54" i="24" s="1"/>
  <c r="AB55" i="8"/>
  <c r="U55" i="23"/>
  <c r="U111" i="23" s="1"/>
  <c r="AB42" i="8"/>
  <c r="U42" i="23"/>
  <c r="U98" i="23" s="1"/>
  <c r="AB29" i="8"/>
  <c r="U29" i="23"/>
  <c r="U85" i="23" s="1"/>
  <c r="AB40" i="8"/>
  <c r="U40" i="23"/>
  <c r="U96" i="23" s="1"/>
  <c r="U15" i="25"/>
  <c r="U14" i="25"/>
  <c r="L28" i="24"/>
  <c r="L72" i="24" s="1"/>
  <c r="L36" i="24"/>
  <c r="L80" i="24" s="1"/>
  <c r="L29" i="24"/>
  <c r="L73" i="24" s="1"/>
  <c r="L31" i="24"/>
  <c r="L75" i="24" s="1"/>
  <c r="L32" i="24"/>
  <c r="L76" i="24" s="1"/>
  <c r="L41" i="24"/>
  <c r="L85" i="24" s="1"/>
  <c r="C15" i="25"/>
  <c r="C14" i="25"/>
  <c r="AB9" i="8"/>
  <c r="U9" i="23"/>
  <c r="U65" i="23" s="1"/>
  <c r="AB48" i="8"/>
  <c r="U48" i="23"/>
  <c r="U104" i="23" s="1"/>
  <c r="L35" i="24"/>
  <c r="L79" i="24" s="1"/>
  <c r="L33" i="24"/>
  <c r="L77" i="24" s="1"/>
  <c r="H14" i="25"/>
  <c r="H15" i="25"/>
  <c r="L27" i="24"/>
  <c r="L71" i="24" s="1"/>
  <c r="AB17" i="8"/>
  <c r="U17" i="23"/>
  <c r="U73" i="23" s="1"/>
  <c r="AB15" i="8"/>
  <c r="U15" i="23"/>
  <c r="U71" i="23" s="1"/>
  <c r="AB46" i="8"/>
  <c r="U46" i="23"/>
  <c r="U102" i="23" s="1"/>
  <c r="L23" i="24"/>
  <c r="L67" i="24" s="1"/>
  <c r="L42" i="24"/>
  <c r="L86" i="24" s="1"/>
  <c r="N14" i="25"/>
  <c r="N15" i="25"/>
  <c r="L15" i="24"/>
  <c r="L59" i="24" s="1"/>
  <c r="L39" i="24"/>
  <c r="L83" i="24" s="1"/>
  <c r="AB16" i="8"/>
  <c r="U16" i="23"/>
  <c r="U72" i="23" s="1"/>
  <c r="AB10" i="8"/>
  <c r="U10" i="23"/>
  <c r="U66" i="23" s="1"/>
  <c r="AB37" i="8"/>
  <c r="U37" i="23"/>
  <c r="U93" i="23" s="1"/>
  <c r="AB14" i="8"/>
  <c r="U14" i="23"/>
  <c r="U70" i="23" s="1"/>
  <c r="AB43" i="8"/>
  <c r="U43" i="23"/>
  <c r="U99" i="23" s="1"/>
  <c r="AB35" i="8"/>
  <c r="U35" i="23"/>
  <c r="U91" i="23" s="1"/>
  <c r="L12" i="24"/>
  <c r="L56" i="24" s="1"/>
  <c r="L21" i="24"/>
  <c r="L65" i="24" s="1"/>
  <c r="L25" i="24"/>
  <c r="L69" i="24" s="1"/>
  <c r="AB49" i="8"/>
  <c r="U49" i="23"/>
  <c r="U105" i="23" s="1"/>
  <c r="AB31" i="8"/>
  <c r="U31" i="23"/>
  <c r="U87" i="23" s="1"/>
  <c r="AB26" i="8"/>
  <c r="U26" i="23"/>
  <c r="U82" i="23" s="1"/>
  <c r="AB22" i="8"/>
  <c r="U22" i="23"/>
  <c r="U78" i="23" s="1"/>
  <c r="AB39" i="8"/>
  <c r="U39" i="23"/>
  <c r="U95" i="23" s="1"/>
  <c r="AB33" i="8"/>
  <c r="U33" i="23"/>
  <c r="U89" i="23" s="1"/>
  <c r="L8" i="24"/>
  <c r="L52" i="24" s="1"/>
  <c r="L9" i="24"/>
  <c r="L53" i="24" s="1"/>
  <c r="L6" i="24"/>
  <c r="L50" i="24" s="1"/>
  <c r="B9" i="26" s="1"/>
  <c r="L7" i="24"/>
  <c r="L51" i="24" s="1"/>
  <c r="L34" i="24"/>
  <c r="L78" i="24" s="1"/>
  <c r="AB41" i="8"/>
  <c r="U41" i="23"/>
  <c r="U97" i="23" s="1"/>
  <c r="AB6" i="8"/>
  <c r="U6" i="23"/>
  <c r="U62" i="23" s="1"/>
  <c r="K11" i="25" s="1"/>
  <c r="AB8" i="8"/>
  <c r="U8" i="23"/>
  <c r="U64" i="23" s="1"/>
  <c r="K7" i="25" s="1"/>
  <c r="K13" i="25" s="1"/>
  <c r="AB45" i="8"/>
  <c r="U45" i="23"/>
  <c r="U101" i="23" s="1"/>
  <c r="K9" i="25"/>
  <c r="L40" i="24"/>
  <c r="L84" i="24" s="1"/>
  <c r="L22" i="24"/>
  <c r="L66" i="24" s="1"/>
  <c r="L19" i="24"/>
  <c r="L63" i="24" s="1"/>
  <c r="L38" i="24"/>
  <c r="L82" i="24" s="1"/>
  <c r="L20" i="24"/>
  <c r="L64" i="24" s="1"/>
  <c r="AB50" i="8"/>
  <c r="U50" i="23"/>
  <c r="U106" i="23" s="1"/>
  <c r="AB38" i="8"/>
  <c r="U38" i="23"/>
  <c r="U94" i="23" s="1"/>
  <c r="AB23" i="8"/>
  <c r="U23" i="23"/>
  <c r="U79" i="23" s="1"/>
  <c r="AB11" i="8"/>
  <c r="U11" i="23"/>
  <c r="U67" i="23" s="1"/>
  <c r="L18" i="24"/>
  <c r="L62" i="24" s="1"/>
  <c r="L17" i="24"/>
  <c r="L61" i="24" s="1"/>
  <c r="L37" i="24"/>
  <c r="L81" i="24" s="1"/>
  <c r="L14" i="24"/>
  <c r="L58" i="24" s="1"/>
  <c r="L16" i="24"/>
  <c r="L60" i="24" s="1"/>
  <c r="AG61" i="6"/>
  <c r="AG59" i="9"/>
  <c r="AG59" i="8"/>
  <c r="AG59" i="7"/>
  <c r="X12" i="12"/>
  <c r="Y12" i="12" s="1"/>
  <c r="X12" i="13"/>
  <c r="X29" i="12"/>
  <c r="Y29" i="12" s="1"/>
  <c r="AB29" i="12" s="1"/>
  <c r="X29" i="13"/>
  <c r="X37" i="12"/>
  <c r="Y37" i="12" s="1"/>
  <c r="AB37" i="12" s="1"/>
  <c r="X37" i="13"/>
  <c r="X32" i="12"/>
  <c r="Y32" i="12" s="1"/>
  <c r="AB32" i="12" s="1"/>
  <c r="X32" i="13"/>
  <c r="Q5" i="13"/>
  <c r="L45" i="13"/>
  <c r="X25" i="12"/>
  <c r="Y25" i="12" s="1"/>
  <c r="X25" i="13"/>
  <c r="X28" i="12"/>
  <c r="Y28" i="12" s="1"/>
  <c r="AB28" i="12" s="1"/>
  <c r="X28" i="13"/>
  <c r="X40" i="12"/>
  <c r="Y40" i="12" s="1"/>
  <c r="AB40" i="12" s="1"/>
  <c r="X40" i="13"/>
  <c r="X6" i="12"/>
  <c r="Y6" i="12" s="1"/>
  <c r="X6" i="13"/>
  <c r="E46" i="5"/>
  <c r="Y47" i="13"/>
  <c r="Y47" i="12"/>
  <c r="Y47" i="11"/>
  <c r="Y47" i="10"/>
  <c r="X23" i="12"/>
  <c r="Y23" i="12" s="1"/>
  <c r="AB23" i="12" s="1"/>
  <c r="X23" i="13"/>
  <c r="X10" i="12"/>
  <c r="Y10" i="12" s="1"/>
  <c r="AB10" i="12" s="1"/>
  <c r="X10" i="13"/>
  <c r="X15" i="12"/>
  <c r="Y15" i="12" s="1"/>
  <c r="X15" i="13"/>
  <c r="AB5" i="11"/>
  <c r="Q45" i="11"/>
  <c r="X18" i="12"/>
  <c r="Y18" i="12" s="1"/>
  <c r="AB18" i="12" s="1"/>
  <c r="X18" i="13"/>
  <c r="S40" i="9"/>
  <c r="S40" i="23" s="1"/>
  <c r="S96" i="23" s="1"/>
  <c r="S50" i="9"/>
  <c r="S50" i="23" s="1"/>
  <c r="S106" i="23" s="1"/>
  <c r="S8" i="9"/>
  <c r="S8" i="23" s="1"/>
  <c r="S64" i="23" s="1"/>
  <c r="S35" i="9"/>
  <c r="S35" i="23" s="1"/>
  <c r="S91" i="23" s="1"/>
  <c r="S55" i="9"/>
  <c r="S55" i="23" s="1"/>
  <c r="S111" i="23" s="1"/>
  <c r="S7" i="9"/>
  <c r="S7" i="23" s="1"/>
  <c r="S63" i="23" s="1"/>
  <c r="S31" i="9"/>
  <c r="S31" i="23" s="1"/>
  <c r="S87" i="23" s="1"/>
  <c r="S48" i="9"/>
  <c r="S48" i="23" s="1"/>
  <c r="S104" i="23" s="1"/>
  <c r="S34" i="9"/>
  <c r="S34" i="23" s="1"/>
  <c r="S90" i="23" s="1"/>
  <c r="S17" i="9"/>
  <c r="S17" i="23" s="1"/>
  <c r="S73" i="23" s="1"/>
  <c r="S47" i="9"/>
  <c r="S47" i="23" s="1"/>
  <c r="S103" i="23" s="1"/>
  <c r="S6" i="9"/>
  <c r="S6" i="23" s="1"/>
  <c r="S62" i="23" s="1"/>
  <c r="S11" i="9"/>
  <c r="S11" i="23" s="1"/>
  <c r="S67" i="23" s="1"/>
  <c r="S22" i="9"/>
  <c r="S22" i="23" s="1"/>
  <c r="S78" i="23" s="1"/>
  <c r="S28" i="9"/>
  <c r="S28" i="23" s="1"/>
  <c r="S84" i="23" s="1"/>
  <c r="S42" i="9"/>
  <c r="S42" i="23" s="1"/>
  <c r="S98" i="23" s="1"/>
  <c r="S24" i="9"/>
  <c r="S24" i="23" s="1"/>
  <c r="S80" i="23" s="1"/>
  <c r="S43" i="9"/>
  <c r="S43" i="23" s="1"/>
  <c r="S99" i="23" s="1"/>
  <c r="S38" i="9"/>
  <c r="S38" i="23" s="1"/>
  <c r="S94" i="23" s="1"/>
  <c r="S39" i="9"/>
  <c r="S39" i="23" s="1"/>
  <c r="S95" i="23" s="1"/>
  <c r="S54" i="9"/>
  <c r="S54" i="23" s="1"/>
  <c r="S110" i="23" s="1"/>
  <c r="S45" i="9"/>
  <c r="S45" i="23" s="1"/>
  <c r="S101" i="23" s="1"/>
  <c r="S26" i="9"/>
  <c r="S26" i="23" s="1"/>
  <c r="S82" i="23" s="1"/>
  <c r="S41" i="9"/>
  <c r="S41" i="23" s="1"/>
  <c r="S97" i="23" s="1"/>
  <c r="S32" i="9"/>
  <c r="S32" i="23" s="1"/>
  <c r="S88" i="23" s="1"/>
  <c r="S27" i="9"/>
  <c r="S27" i="23" s="1"/>
  <c r="S83" i="23" s="1"/>
  <c r="S33" i="9"/>
  <c r="S33" i="23" s="1"/>
  <c r="S89" i="23" s="1"/>
  <c r="S15" i="9"/>
  <c r="S15" i="23" s="1"/>
  <c r="S71" i="23" s="1"/>
  <c r="S44" i="9"/>
  <c r="S44" i="23" s="1"/>
  <c r="S100" i="23" s="1"/>
  <c r="S14" i="9"/>
  <c r="S14" i="23" s="1"/>
  <c r="S70" i="23" s="1"/>
  <c r="S36" i="9"/>
  <c r="S36" i="23" s="1"/>
  <c r="S92" i="23" s="1"/>
  <c r="S52" i="9"/>
  <c r="S52" i="23" s="1"/>
  <c r="S108" i="23" s="1"/>
  <c r="S19" i="9"/>
  <c r="S19" i="23" s="1"/>
  <c r="S75" i="23" s="1"/>
  <c r="S13" i="9"/>
  <c r="S13" i="23" s="1"/>
  <c r="S69" i="23" s="1"/>
  <c r="S49" i="9"/>
  <c r="S49" i="23" s="1"/>
  <c r="S105" i="23" s="1"/>
  <c r="S5" i="9"/>
  <c r="S5" i="23" s="1"/>
  <c r="S61" i="23" s="1"/>
  <c r="S18" i="9"/>
  <c r="S18" i="23" s="1"/>
  <c r="S74" i="23" s="1"/>
  <c r="S25" i="9"/>
  <c r="S25" i="23" s="1"/>
  <c r="S81" i="23" s="1"/>
  <c r="S53" i="9"/>
  <c r="S53" i="23" s="1"/>
  <c r="S109" i="23" s="1"/>
  <c r="S9" i="9"/>
  <c r="S9" i="23" s="1"/>
  <c r="S65" i="23" s="1"/>
  <c r="S20" i="9"/>
  <c r="S20" i="23" s="1"/>
  <c r="S76" i="23" s="1"/>
  <c r="S23" i="9"/>
  <c r="S23" i="23" s="1"/>
  <c r="S79" i="23" s="1"/>
  <c r="S30" i="9"/>
  <c r="S30" i="23" s="1"/>
  <c r="S86" i="23" s="1"/>
  <c r="S29" i="9"/>
  <c r="S29" i="23" s="1"/>
  <c r="S85" i="23" s="1"/>
  <c r="S12" i="9"/>
  <c r="S12" i="23" s="1"/>
  <c r="S68" i="23" s="1"/>
  <c r="S37" i="9"/>
  <c r="S37" i="23" s="1"/>
  <c r="S93" i="23" s="1"/>
  <c r="S51" i="9"/>
  <c r="S51" i="23" s="1"/>
  <c r="S107" i="23" s="1"/>
  <c r="S16" i="9"/>
  <c r="S16" i="23" s="1"/>
  <c r="S72" i="23" s="1"/>
  <c r="S46" i="9"/>
  <c r="S46" i="23" s="1"/>
  <c r="S102" i="23" s="1"/>
  <c r="S10" i="9"/>
  <c r="S10" i="23" s="1"/>
  <c r="S66" i="23" s="1"/>
  <c r="S21" i="9"/>
  <c r="S21" i="23" s="1"/>
  <c r="S77" i="23" s="1"/>
  <c r="X14" i="12"/>
  <c r="Y14" i="12" s="1"/>
  <c r="AB14" i="12" s="1"/>
  <c r="X14" i="13"/>
  <c r="X9" i="12"/>
  <c r="Y9" i="12" s="1"/>
  <c r="AB9" i="12" s="1"/>
  <c r="X9" i="13"/>
  <c r="AB6" i="12"/>
  <c r="X24" i="12"/>
  <c r="Y24" i="12" s="1"/>
  <c r="AB24" i="12" s="1"/>
  <c r="X24" i="13"/>
  <c r="X16" i="12"/>
  <c r="Y16" i="12" s="1"/>
  <c r="X16" i="13"/>
  <c r="AB15" i="12"/>
  <c r="Q5" i="12"/>
  <c r="L45" i="12"/>
  <c r="X34" i="12"/>
  <c r="Y34" i="12" s="1"/>
  <c r="X34" i="13"/>
  <c r="AB25" i="12"/>
  <c r="X17" i="12"/>
  <c r="Y17" i="12" s="1"/>
  <c r="X17" i="13"/>
  <c r="X33" i="12"/>
  <c r="Y33" i="12" s="1"/>
  <c r="AB33" i="12" s="1"/>
  <c r="X33" i="13"/>
  <c r="X26" i="12"/>
  <c r="Y26" i="12" s="1"/>
  <c r="X26" i="13"/>
  <c r="AB16" i="12"/>
  <c r="X36" i="12"/>
  <c r="Y36" i="12" s="1"/>
  <c r="X36" i="13"/>
  <c r="X41" i="12"/>
  <c r="Y41" i="12" s="1"/>
  <c r="AB41" i="12" s="1"/>
  <c r="X41" i="13"/>
  <c r="AB34" i="12"/>
  <c r="X11" i="12"/>
  <c r="Y11" i="12" s="1"/>
  <c r="X11" i="13"/>
  <c r="X38" i="12"/>
  <c r="Y38" i="12" s="1"/>
  <c r="AB38" i="12" s="1"/>
  <c r="X38" i="13"/>
  <c r="AB17" i="12"/>
  <c r="E29" i="5"/>
  <c r="AB26" i="12"/>
  <c r="X19" i="12"/>
  <c r="Y19" i="12" s="1"/>
  <c r="AB19" i="12" s="1"/>
  <c r="X19" i="13"/>
  <c r="X7" i="12"/>
  <c r="Y7" i="12" s="1"/>
  <c r="AB7" i="12" s="1"/>
  <c r="X7" i="13"/>
  <c r="AB36" i="12"/>
  <c r="X21" i="12"/>
  <c r="Y21" i="12" s="1"/>
  <c r="AB21" i="12" s="1"/>
  <c r="X21" i="13"/>
  <c r="X39" i="12"/>
  <c r="Y39" i="12" s="1"/>
  <c r="AB39" i="12" s="1"/>
  <c r="X39" i="13"/>
  <c r="AB11" i="12"/>
  <c r="X30" i="12"/>
  <c r="Y30" i="12" s="1"/>
  <c r="AB30" i="12" s="1"/>
  <c r="X30" i="13"/>
  <c r="X22" i="12"/>
  <c r="Y22" i="12" s="1"/>
  <c r="AB22" i="12" s="1"/>
  <c r="X22" i="13"/>
  <c r="X13" i="12"/>
  <c r="Y13" i="12" s="1"/>
  <c r="X13" i="13"/>
  <c r="X20" i="12"/>
  <c r="Y20" i="12" s="1"/>
  <c r="AB20" i="12" s="1"/>
  <c r="X20" i="13"/>
  <c r="X43" i="12"/>
  <c r="Y43" i="12" s="1"/>
  <c r="AB43" i="12" s="1"/>
  <c r="X43" i="13"/>
  <c r="AB57" i="8"/>
  <c r="X42" i="12"/>
  <c r="Y42" i="12" s="1"/>
  <c r="AB42" i="12" s="1"/>
  <c r="X42" i="13"/>
  <c r="X31" i="12"/>
  <c r="Y31" i="12" s="1"/>
  <c r="AB31" i="12" s="1"/>
  <c r="X31" i="13"/>
  <c r="AB12" i="12"/>
  <c r="AB13" i="12"/>
  <c r="X35" i="12"/>
  <c r="Y35" i="12" s="1"/>
  <c r="AB35" i="12" s="1"/>
  <c r="X35" i="13"/>
  <c r="X27" i="12"/>
  <c r="Y27" i="12" s="1"/>
  <c r="AB27" i="12" s="1"/>
  <c r="X27" i="13"/>
  <c r="X8" i="12"/>
  <c r="Y8" i="12" s="1"/>
  <c r="AB8" i="12" s="1"/>
  <c r="X8" i="13"/>
  <c r="V57" i="8"/>
  <c r="B15" i="26" l="1"/>
  <c r="B14" i="26"/>
  <c r="K14" i="25"/>
  <c r="K15" i="25"/>
  <c r="I9" i="25"/>
  <c r="I7" i="25"/>
  <c r="I13" i="25" s="1"/>
  <c r="I11" i="25"/>
  <c r="B11" i="26"/>
  <c r="B7" i="26"/>
  <c r="B13" i="26" s="1"/>
  <c r="Y7" i="13"/>
  <c r="AB7" i="13" s="1"/>
  <c r="U7" i="24"/>
  <c r="U51" i="24" s="1"/>
  <c r="Y34" i="13"/>
  <c r="AB34" i="13" s="1"/>
  <c r="U34" i="24"/>
  <c r="U78" i="24" s="1"/>
  <c r="Y39" i="13"/>
  <c r="AB39" i="13" s="1"/>
  <c r="S29" i="28" s="1"/>
  <c r="U39" i="24"/>
  <c r="U83" i="24" s="1"/>
  <c r="Y13" i="13"/>
  <c r="AB13" i="13" s="1"/>
  <c r="S11" i="28" s="1"/>
  <c r="U13" i="24"/>
  <c r="U57" i="24" s="1"/>
  <c r="Y33" i="13"/>
  <c r="AB33" i="13" s="1"/>
  <c r="U33" i="24"/>
  <c r="U77" i="24" s="1"/>
  <c r="Y9" i="13"/>
  <c r="AB9" i="13" s="1"/>
  <c r="S5" i="28" s="1"/>
  <c r="U9" i="24"/>
  <c r="U53" i="24" s="1"/>
  <c r="Y12" i="13"/>
  <c r="AB12" i="13" s="1"/>
  <c r="S9" i="28" s="1"/>
  <c r="U12" i="24"/>
  <c r="U56" i="24" s="1"/>
  <c r="Y19" i="13"/>
  <c r="AB19" i="13" s="1"/>
  <c r="U19" i="24"/>
  <c r="U63" i="24" s="1"/>
  <c r="Y42" i="13"/>
  <c r="AB42" i="13" s="1"/>
  <c r="S32" i="28" s="1"/>
  <c r="U42" i="24"/>
  <c r="U86" i="24" s="1"/>
  <c r="Y21" i="13"/>
  <c r="AB21" i="13" s="1"/>
  <c r="U21" i="24"/>
  <c r="U65" i="24" s="1"/>
  <c r="Y41" i="13"/>
  <c r="AB41" i="13" s="1"/>
  <c r="S30" i="28" s="1"/>
  <c r="U41" i="24"/>
  <c r="U85" i="24" s="1"/>
  <c r="Y40" i="13"/>
  <c r="AB40" i="13" s="1"/>
  <c r="S31" i="28" s="1"/>
  <c r="U40" i="24"/>
  <c r="U84" i="24" s="1"/>
  <c r="Y32" i="13"/>
  <c r="AB32" i="13" s="1"/>
  <c r="S24" i="28" s="1"/>
  <c r="U32" i="24"/>
  <c r="U76" i="24" s="1"/>
  <c r="Y8" i="13"/>
  <c r="AB8" i="13" s="1"/>
  <c r="U8" i="24"/>
  <c r="U52" i="24" s="1"/>
  <c r="Y11" i="13"/>
  <c r="AB11" i="13" s="1"/>
  <c r="S7" i="28" s="1"/>
  <c r="U11" i="24"/>
  <c r="U55" i="24" s="1"/>
  <c r="Y6" i="13"/>
  <c r="AB6" i="13" s="1"/>
  <c r="G6" i="28" s="1"/>
  <c r="U6" i="24"/>
  <c r="U50" i="24" s="1"/>
  <c r="Y31" i="13"/>
  <c r="AB31" i="13" s="1"/>
  <c r="S23" i="28" s="1"/>
  <c r="U31" i="24"/>
  <c r="U75" i="24" s="1"/>
  <c r="Y23" i="13"/>
  <c r="AB23" i="13" s="1"/>
  <c r="S13" i="28" s="1"/>
  <c r="U23" i="24"/>
  <c r="U67" i="24" s="1"/>
  <c r="Y27" i="13"/>
  <c r="AB27" i="13" s="1"/>
  <c r="S18" i="28" s="1"/>
  <c r="U27" i="24"/>
  <c r="U71" i="24" s="1"/>
  <c r="Y35" i="13"/>
  <c r="AB35" i="13" s="1"/>
  <c r="U35" i="24"/>
  <c r="U79" i="24" s="1"/>
  <c r="Y22" i="13"/>
  <c r="AB22" i="13" s="1"/>
  <c r="S12" i="28" s="1"/>
  <c r="U22" i="24"/>
  <c r="U66" i="24" s="1"/>
  <c r="Y17" i="13"/>
  <c r="AB17" i="13" s="1"/>
  <c r="S8" i="28" s="1"/>
  <c r="U17" i="24"/>
  <c r="U61" i="24" s="1"/>
  <c r="Y14" i="13"/>
  <c r="AB14" i="13" s="1"/>
  <c r="U14" i="24"/>
  <c r="U58" i="24" s="1"/>
  <c r="Y20" i="13"/>
  <c r="AB20" i="13" s="1"/>
  <c r="U20" i="24"/>
  <c r="U64" i="24" s="1"/>
  <c r="Y26" i="13"/>
  <c r="AB26" i="13" s="1"/>
  <c r="S17" i="28" s="1"/>
  <c r="U26" i="24"/>
  <c r="U70" i="24" s="1"/>
  <c r="Y29" i="13"/>
  <c r="AB29" i="13" s="1"/>
  <c r="U29" i="24"/>
  <c r="U73" i="24" s="1"/>
  <c r="Y18" i="13"/>
  <c r="AB18" i="13" s="1"/>
  <c r="S10" i="28" s="1"/>
  <c r="U18" i="24"/>
  <c r="U62" i="24" s="1"/>
  <c r="Y36" i="13"/>
  <c r="AB36" i="13" s="1"/>
  <c r="U36" i="24"/>
  <c r="U80" i="24" s="1"/>
  <c r="Y16" i="13"/>
  <c r="AB16" i="13" s="1"/>
  <c r="AA73" i="17" s="1"/>
  <c r="U16" i="24"/>
  <c r="U60" i="24" s="1"/>
  <c r="Y15" i="13"/>
  <c r="AB15" i="13" s="1"/>
  <c r="U15" i="24"/>
  <c r="U59" i="24" s="1"/>
  <c r="Y28" i="13"/>
  <c r="AB28" i="13" s="1"/>
  <c r="S19" i="28" s="1"/>
  <c r="U28" i="24"/>
  <c r="U72" i="24" s="1"/>
  <c r="Y43" i="13"/>
  <c r="AB43" i="13" s="1"/>
  <c r="S33" i="28" s="1"/>
  <c r="U43" i="24"/>
  <c r="U87" i="24" s="1"/>
  <c r="Y30" i="13"/>
  <c r="AB30" i="13" s="1"/>
  <c r="S22" i="28" s="1"/>
  <c r="U30" i="24"/>
  <c r="U74" i="24" s="1"/>
  <c r="Y38" i="13"/>
  <c r="AB38" i="13" s="1"/>
  <c r="S28" i="28" s="1"/>
  <c r="U38" i="24"/>
  <c r="U82" i="24" s="1"/>
  <c r="Y37" i="13"/>
  <c r="AB37" i="13" s="1"/>
  <c r="S27" i="28" s="1"/>
  <c r="U37" i="24"/>
  <c r="U81" i="24" s="1"/>
  <c r="Y24" i="13"/>
  <c r="AB24" i="13" s="1"/>
  <c r="S14" i="28" s="1"/>
  <c r="U24" i="24"/>
  <c r="U68" i="24" s="1"/>
  <c r="Y10" i="13"/>
  <c r="AB10" i="13" s="1"/>
  <c r="S6" i="28" s="1"/>
  <c r="U10" i="24"/>
  <c r="U54" i="24" s="1"/>
  <c r="Y25" i="13"/>
  <c r="AB25" i="13" s="1"/>
  <c r="U25" i="24"/>
  <c r="U69" i="24" s="1"/>
  <c r="AA61" i="16"/>
  <c r="AG61" i="16" s="1"/>
  <c r="AA59" i="16"/>
  <c r="AG59" i="16" s="1"/>
  <c r="AA53" i="16"/>
  <c r="AG53" i="16" s="1"/>
  <c r="AA12" i="17"/>
  <c r="AA13" i="17"/>
  <c r="AA6" i="17"/>
  <c r="AA4" i="17"/>
  <c r="AA60" i="16"/>
  <c r="AG60" i="16" s="1"/>
  <c r="AA52" i="16"/>
  <c r="AA2" i="17"/>
  <c r="AA22" i="17"/>
  <c r="AA73" i="16"/>
  <c r="AG73" i="16" s="1"/>
  <c r="AA71" i="16"/>
  <c r="AA69" i="16"/>
  <c r="AG69" i="16" s="1"/>
  <c r="AA67" i="16"/>
  <c r="AG67" i="16" s="1"/>
  <c r="AA65" i="16"/>
  <c r="AG65" i="16" s="1"/>
  <c r="AA63" i="16"/>
  <c r="AG63" i="16" s="1"/>
  <c r="AA25" i="17"/>
  <c r="AA20" i="17"/>
  <c r="AA17" i="17"/>
  <c r="AA15" i="17"/>
  <c r="AA18" i="17"/>
  <c r="AA23" i="17"/>
  <c r="AA21" i="17"/>
  <c r="AA16" i="17"/>
  <c r="AA72" i="16"/>
  <c r="AG72" i="16" s="1"/>
  <c r="AA70" i="16"/>
  <c r="AG70" i="16" s="1"/>
  <c r="AA68" i="16"/>
  <c r="AG68" i="16" s="1"/>
  <c r="AA66" i="16"/>
  <c r="AA64" i="16"/>
  <c r="AG64" i="16" s="1"/>
  <c r="AA62" i="16"/>
  <c r="AG62" i="16" s="1"/>
  <c r="AA24" i="17"/>
  <c r="AA14" i="17"/>
  <c r="AA19" i="17"/>
  <c r="AA502" i="16"/>
  <c r="AA494" i="16"/>
  <c r="AA499" i="16"/>
  <c r="AA498" i="16"/>
  <c r="AA495" i="16"/>
  <c r="AA505" i="16"/>
  <c r="AA504" i="16"/>
  <c r="AA503" i="16"/>
  <c r="AA497" i="16"/>
  <c r="AA501" i="16"/>
  <c r="AA496" i="16"/>
  <c r="AA500" i="16"/>
  <c r="AA26" i="17"/>
  <c r="AA262" i="16"/>
  <c r="AA254" i="16"/>
  <c r="AA246" i="16"/>
  <c r="AA238" i="16"/>
  <c r="AA230" i="16"/>
  <c r="AA240" i="16"/>
  <c r="AA261" i="16"/>
  <c r="AA253" i="16"/>
  <c r="AA245" i="16"/>
  <c r="AA237" i="16"/>
  <c r="AA264" i="16"/>
  <c r="AA260" i="16"/>
  <c r="AA252" i="16"/>
  <c r="AA244" i="16"/>
  <c r="AA236" i="16"/>
  <c r="AA259" i="16"/>
  <c r="AA251" i="16"/>
  <c r="AA243" i="16"/>
  <c r="AA235" i="16"/>
  <c r="AA248" i="16"/>
  <c r="AA258" i="16"/>
  <c r="AA250" i="16"/>
  <c r="AA242" i="16"/>
  <c r="AA234" i="16"/>
  <c r="AA232" i="16"/>
  <c r="AA265" i="16"/>
  <c r="AA257" i="16"/>
  <c r="AA249" i="16"/>
  <c r="AA241" i="16"/>
  <c r="AA233" i="16"/>
  <c r="AA256" i="16"/>
  <c r="AA263" i="16"/>
  <c r="AA255" i="16"/>
  <c r="AA247" i="16"/>
  <c r="AA239" i="16"/>
  <c r="AA231" i="16"/>
  <c r="AA229" i="16"/>
  <c r="AA228" i="16"/>
  <c r="AA227" i="16"/>
  <c r="AA226" i="16"/>
  <c r="AA402" i="16"/>
  <c r="AA221" i="16"/>
  <c r="AA220" i="16"/>
  <c r="AA219" i="16"/>
  <c r="AA218" i="16"/>
  <c r="AA75" i="17"/>
  <c r="AA69" i="17"/>
  <c r="AA66" i="17"/>
  <c r="AA68" i="17"/>
  <c r="AA72" i="17"/>
  <c r="AA310" i="16"/>
  <c r="AG310" i="16" s="1"/>
  <c r="AA316" i="16"/>
  <c r="AG316" i="16" s="1"/>
  <c r="AA307" i="16"/>
  <c r="AG307" i="16" s="1"/>
  <c r="AA304" i="16"/>
  <c r="AG304" i="16" s="1"/>
  <c r="AA306" i="16"/>
  <c r="AG306" i="16" s="1"/>
  <c r="AA313" i="16"/>
  <c r="AG313" i="16" s="1"/>
  <c r="AA305" i="16"/>
  <c r="AG305" i="16" s="1"/>
  <c r="AA186" i="16"/>
  <c r="AA150" i="16"/>
  <c r="AA114" i="16"/>
  <c r="AA78" i="16"/>
  <c r="AA30" i="16"/>
  <c r="AA80" i="16"/>
  <c r="AA193" i="16"/>
  <c r="AA185" i="16"/>
  <c r="AA157" i="16"/>
  <c r="AA149" i="16"/>
  <c r="AA121" i="16"/>
  <c r="AA113" i="16"/>
  <c r="AA85" i="16"/>
  <c r="AA77" i="16"/>
  <c r="AA37" i="16"/>
  <c r="AA29" i="16"/>
  <c r="AA192" i="16"/>
  <c r="AA184" i="16"/>
  <c r="AA156" i="16"/>
  <c r="AA148" i="16"/>
  <c r="AA120" i="16"/>
  <c r="AA112" i="16"/>
  <c r="AA84" i="16"/>
  <c r="AA76" i="16"/>
  <c r="AG52" i="16"/>
  <c r="AA36" i="16"/>
  <c r="AA28" i="16"/>
  <c r="AA191" i="16"/>
  <c r="AA183" i="16"/>
  <c r="AA155" i="16"/>
  <c r="AA147" i="16"/>
  <c r="AA119" i="16"/>
  <c r="AA111" i="16"/>
  <c r="AA83" i="16"/>
  <c r="AA75" i="16"/>
  <c r="AA35" i="16"/>
  <c r="AA27" i="16"/>
  <c r="AA32" i="16"/>
  <c r="AA190" i="16"/>
  <c r="AA182" i="16"/>
  <c r="AA154" i="16"/>
  <c r="AA146" i="16"/>
  <c r="AA118" i="16"/>
  <c r="AA110" i="16"/>
  <c r="AA82" i="16"/>
  <c r="AA74" i="16"/>
  <c r="AA34" i="16"/>
  <c r="AA26" i="16"/>
  <c r="AA188" i="16"/>
  <c r="AA116" i="16"/>
  <c r="AA189" i="16"/>
  <c r="AA153" i="16"/>
  <c r="AA117" i="16"/>
  <c r="AA81" i="16"/>
  <c r="AA33" i="16"/>
  <c r="AA152" i="16"/>
  <c r="AA115" i="16"/>
  <c r="AA31" i="16"/>
  <c r="AA187" i="16"/>
  <c r="AA79" i="16"/>
  <c r="AA151" i="16"/>
  <c r="AA49" i="17"/>
  <c r="AA47" i="17"/>
  <c r="AA45" i="17"/>
  <c r="AA43" i="17"/>
  <c r="AA41" i="17"/>
  <c r="AA39" i="17"/>
  <c r="AA46" i="17"/>
  <c r="AA48" i="17"/>
  <c r="AA50" i="17"/>
  <c r="AA40" i="17"/>
  <c r="AA42" i="17"/>
  <c r="AA286" i="16"/>
  <c r="AG286" i="16" s="1"/>
  <c r="AA278" i="16"/>
  <c r="AG278" i="16" s="1"/>
  <c r="AA285" i="16"/>
  <c r="AG285" i="16" s="1"/>
  <c r="AA284" i="16"/>
  <c r="AG284" i="16" s="1"/>
  <c r="AA283" i="16"/>
  <c r="AG283" i="16" s="1"/>
  <c r="AA280" i="16"/>
  <c r="AG280" i="16" s="1"/>
  <c r="AA44" i="17"/>
  <c r="AA282" i="16"/>
  <c r="AG282" i="16" s="1"/>
  <c r="AA288" i="16"/>
  <c r="AG288" i="16" s="1"/>
  <c r="AA289" i="16"/>
  <c r="AG289" i="16" s="1"/>
  <c r="AA281" i="16"/>
  <c r="AG281" i="16" s="1"/>
  <c r="AA287" i="16"/>
  <c r="AG287" i="16" s="1"/>
  <c r="AA279" i="16"/>
  <c r="AG279" i="16" s="1"/>
  <c r="AA63" i="17"/>
  <c r="AA61" i="17"/>
  <c r="AA59" i="17"/>
  <c r="AA57" i="17"/>
  <c r="AA55" i="17"/>
  <c r="AA53" i="17"/>
  <c r="AA51" i="17"/>
  <c r="AA62" i="17"/>
  <c r="AA52" i="17"/>
  <c r="AA54" i="17"/>
  <c r="AA56" i="17"/>
  <c r="AA58" i="17"/>
  <c r="AA302" i="16"/>
  <c r="AG302" i="16" s="1"/>
  <c r="AA294" i="16"/>
  <c r="AG294" i="16" s="1"/>
  <c r="AA301" i="16"/>
  <c r="AG301" i="16" s="1"/>
  <c r="AA293" i="16"/>
  <c r="AG293" i="16" s="1"/>
  <c r="AA300" i="16"/>
  <c r="AG300" i="16" s="1"/>
  <c r="AA292" i="16"/>
  <c r="AG292" i="16" s="1"/>
  <c r="AA60" i="17"/>
  <c r="AA299" i="16"/>
  <c r="AG299" i="16" s="1"/>
  <c r="AA291" i="16"/>
  <c r="AG291" i="16" s="1"/>
  <c r="AA298" i="16"/>
  <c r="AG298" i="16" s="1"/>
  <c r="AA290" i="16"/>
  <c r="AG290" i="16" s="1"/>
  <c r="AA297" i="16"/>
  <c r="AG297" i="16" s="1"/>
  <c r="AA296" i="16"/>
  <c r="AG296" i="16" s="1"/>
  <c r="AA295" i="16"/>
  <c r="AG295" i="16" s="1"/>
  <c r="AA214" i="16"/>
  <c r="AA206" i="16"/>
  <c r="AA178" i="16"/>
  <c r="AA170" i="16"/>
  <c r="AA142" i="16"/>
  <c r="AA134" i="16"/>
  <c r="AA106" i="16"/>
  <c r="AA98" i="16"/>
  <c r="AA46" i="16"/>
  <c r="AA38" i="16"/>
  <c r="AA216" i="16"/>
  <c r="AA172" i="16"/>
  <c r="AA136" i="16"/>
  <c r="AA48" i="16"/>
  <c r="AA213" i="16"/>
  <c r="AA177" i="16"/>
  <c r="AA141" i="16"/>
  <c r="AA105" i="16"/>
  <c r="AA45" i="16"/>
  <c r="AA212" i="16"/>
  <c r="AA176" i="16"/>
  <c r="AA140" i="16"/>
  <c r="AA104" i="16"/>
  <c r="AA44" i="16"/>
  <c r="AA211" i="16"/>
  <c r="AA175" i="16"/>
  <c r="AA139" i="16"/>
  <c r="AA103" i="16"/>
  <c r="AA43" i="16"/>
  <c r="AA180" i="16"/>
  <c r="AA144" i="16"/>
  <c r="AA108" i="16"/>
  <c r="AA210" i="16"/>
  <c r="AA174" i="16"/>
  <c r="AA138" i="16"/>
  <c r="AA102" i="16"/>
  <c r="AG66" i="16"/>
  <c r="AA42" i="16"/>
  <c r="AA40" i="16"/>
  <c r="AA217" i="16"/>
  <c r="AA209" i="16"/>
  <c r="AA181" i="16"/>
  <c r="AA173" i="16"/>
  <c r="AA145" i="16"/>
  <c r="AA137" i="16"/>
  <c r="AA109" i="16"/>
  <c r="AA101" i="16"/>
  <c r="AA49" i="16"/>
  <c r="AA41" i="16"/>
  <c r="AA208" i="16"/>
  <c r="AA100" i="16"/>
  <c r="AA135" i="16"/>
  <c r="AA47" i="16"/>
  <c r="AA215" i="16"/>
  <c r="AA39" i="16"/>
  <c r="AA207" i="16"/>
  <c r="AA107" i="16"/>
  <c r="AA99" i="16"/>
  <c r="AA179" i="16"/>
  <c r="AA171" i="16"/>
  <c r="AG71" i="16"/>
  <c r="AA143" i="16"/>
  <c r="AA155" i="17"/>
  <c r="AA153" i="17"/>
  <c r="AA151" i="17"/>
  <c r="AA149" i="17"/>
  <c r="AA147" i="17"/>
  <c r="AA145" i="17"/>
  <c r="AA143" i="17"/>
  <c r="AA141" i="17"/>
  <c r="AA139" i="17"/>
  <c r="AA137" i="17"/>
  <c r="AA135" i="17"/>
  <c r="AA133" i="17"/>
  <c r="AA131" i="17"/>
  <c r="AA129" i="17"/>
  <c r="AA127" i="17"/>
  <c r="AA125" i="17"/>
  <c r="AA123" i="17"/>
  <c r="AA121" i="17"/>
  <c r="AA119" i="17"/>
  <c r="AA117" i="17"/>
  <c r="AA115" i="17"/>
  <c r="AA113" i="17"/>
  <c r="AA111" i="17"/>
  <c r="AA109" i="17"/>
  <c r="AA107" i="17"/>
  <c r="AA105" i="17"/>
  <c r="AA103" i="17"/>
  <c r="AA101" i="17"/>
  <c r="AA99" i="17"/>
  <c r="AA97" i="17"/>
  <c r="AA95" i="17"/>
  <c r="AA93" i="17"/>
  <c r="AA91" i="17"/>
  <c r="AA89" i="17"/>
  <c r="AA87" i="17"/>
  <c r="AA85" i="17"/>
  <c r="AA83" i="17"/>
  <c r="AA81" i="17"/>
  <c r="AA79" i="17"/>
  <c r="AA142" i="17"/>
  <c r="AA126" i="17"/>
  <c r="AA110" i="17"/>
  <c r="AA94" i="17"/>
  <c r="AA78" i="17"/>
  <c r="AA144" i="17"/>
  <c r="AA128" i="17"/>
  <c r="AA112" i="17"/>
  <c r="AA96" i="17"/>
  <c r="AA80" i="17"/>
  <c r="AA146" i="17"/>
  <c r="AA130" i="17"/>
  <c r="AA114" i="17"/>
  <c r="AA98" i="17"/>
  <c r="AA82" i="17"/>
  <c r="AA148" i="17"/>
  <c r="AA132" i="17"/>
  <c r="AA116" i="17"/>
  <c r="AA100" i="17"/>
  <c r="AA84" i="17"/>
  <c r="AA150" i="17"/>
  <c r="AA134" i="17"/>
  <c r="AA118" i="17"/>
  <c r="AA102" i="17"/>
  <c r="AA86" i="17"/>
  <c r="AA152" i="17"/>
  <c r="AA136" i="17"/>
  <c r="AA120" i="17"/>
  <c r="AA104" i="17"/>
  <c r="AA88" i="17"/>
  <c r="AA154" i="17"/>
  <c r="AA138" i="17"/>
  <c r="AA122" i="17"/>
  <c r="AA106" i="17"/>
  <c r="AA90" i="17"/>
  <c r="AA108" i="17"/>
  <c r="AA390" i="16"/>
  <c r="AG390" i="16" s="1"/>
  <c r="AA382" i="16"/>
  <c r="AG382" i="16" s="1"/>
  <c r="AA374" i="16"/>
  <c r="AG374" i="16" s="1"/>
  <c r="AA366" i="16"/>
  <c r="AG366" i="16" s="1"/>
  <c r="AA358" i="16"/>
  <c r="AG358" i="16" s="1"/>
  <c r="AA350" i="16"/>
  <c r="AG350" i="16" s="1"/>
  <c r="AA342" i="16"/>
  <c r="AG342" i="16" s="1"/>
  <c r="AA334" i="16"/>
  <c r="AG334" i="16" s="1"/>
  <c r="AA326" i="16"/>
  <c r="AG326" i="16" s="1"/>
  <c r="AA318" i="16"/>
  <c r="AG318" i="16" s="1"/>
  <c r="AA140" i="17"/>
  <c r="AA376" i="16"/>
  <c r="AG376" i="16" s="1"/>
  <c r="AA336" i="16"/>
  <c r="AG336" i="16" s="1"/>
  <c r="AA124" i="17"/>
  <c r="AA391" i="16"/>
  <c r="AG391" i="16" s="1"/>
  <c r="AA92" i="17"/>
  <c r="AA389" i="16"/>
  <c r="AG389" i="16" s="1"/>
  <c r="AA381" i="16"/>
  <c r="AG381" i="16" s="1"/>
  <c r="AA373" i="16"/>
  <c r="AG373" i="16" s="1"/>
  <c r="AA365" i="16"/>
  <c r="AG365" i="16" s="1"/>
  <c r="AA357" i="16"/>
  <c r="AG357" i="16" s="1"/>
  <c r="AA349" i="16"/>
  <c r="AG349" i="16" s="1"/>
  <c r="AA341" i="16"/>
  <c r="AG341" i="16" s="1"/>
  <c r="AA333" i="16"/>
  <c r="AG333" i="16" s="1"/>
  <c r="AA325" i="16"/>
  <c r="AG325" i="16" s="1"/>
  <c r="AA317" i="16"/>
  <c r="AG317" i="16" s="1"/>
  <c r="AA388" i="16"/>
  <c r="AG388" i="16" s="1"/>
  <c r="AA380" i="16"/>
  <c r="AG380" i="16" s="1"/>
  <c r="AA372" i="16"/>
  <c r="AG372" i="16" s="1"/>
  <c r="AA364" i="16"/>
  <c r="AG364" i="16" s="1"/>
  <c r="AA356" i="16"/>
  <c r="AG356" i="16" s="1"/>
  <c r="AA348" i="16"/>
  <c r="AG348" i="16" s="1"/>
  <c r="AA340" i="16"/>
  <c r="AG340" i="16" s="1"/>
  <c r="AA332" i="16"/>
  <c r="AG332" i="16" s="1"/>
  <c r="AA324" i="16"/>
  <c r="AG324" i="16" s="1"/>
  <c r="AA368" i="16"/>
  <c r="AG368" i="16" s="1"/>
  <c r="AA387" i="16"/>
  <c r="AG387" i="16" s="1"/>
  <c r="AA379" i="16"/>
  <c r="AG379" i="16" s="1"/>
  <c r="AA371" i="16"/>
  <c r="AG371" i="16" s="1"/>
  <c r="AA363" i="16"/>
  <c r="AG363" i="16" s="1"/>
  <c r="AA355" i="16"/>
  <c r="AG355" i="16" s="1"/>
  <c r="AA347" i="16"/>
  <c r="AG347" i="16" s="1"/>
  <c r="AA339" i="16"/>
  <c r="AG339" i="16" s="1"/>
  <c r="AA331" i="16"/>
  <c r="AG331" i="16" s="1"/>
  <c r="AA323" i="16"/>
  <c r="AG323" i="16" s="1"/>
  <c r="AA384" i="16"/>
  <c r="AG384" i="16" s="1"/>
  <c r="AA344" i="16"/>
  <c r="AG344" i="16" s="1"/>
  <c r="AA394" i="16"/>
  <c r="AG394" i="16" s="1"/>
  <c r="AA386" i="16"/>
  <c r="AG386" i="16" s="1"/>
  <c r="AA378" i="16"/>
  <c r="AG378" i="16" s="1"/>
  <c r="AA370" i="16"/>
  <c r="AG370" i="16" s="1"/>
  <c r="AA362" i="16"/>
  <c r="AG362" i="16" s="1"/>
  <c r="AA354" i="16"/>
  <c r="AG354" i="16" s="1"/>
  <c r="AA346" i="16"/>
  <c r="AG346" i="16" s="1"/>
  <c r="AA338" i="16"/>
  <c r="AG338" i="16" s="1"/>
  <c r="AA330" i="16"/>
  <c r="AG330" i="16" s="1"/>
  <c r="AA322" i="16"/>
  <c r="AG322" i="16" s="1"/>
  <c r="AA392" i="16"/>
  <c r="AG392" i="16" s="1"/>
  <c r="AA352" i="16"/>
  <c r="AG352" i="16" s="1"/>
  <c r="AA320" i="16"/>
  <c r="AG320" i="16" s="1"/>
  <c r="AA375" i="16"/>
  <c r="AG375" i="16" s="1"/>
  <c r="AA393" i="16"/>
  <c r="AG393" i="16" s="1"/>
  <c r="AA385" i="16"/>
  <c r="AG385" i="16" s="1"/>
  <c r="AA377" i="16"/>
  <c r="AG377" i="16" s="1"/>
  <c r="AA369" i="16"/>
  <c r="AG369" i="16" s="1"/>
  <c r="AA361" i="16"/>
  <c r="AG361" i="16" s="1"/>
  <c r="AA353" i="16"/>
  <c r="AG353" i="16" s="1"/>
  <c r="AA345" i="16"/>
  <c r="AG345" i="16" s="1"/>
  <c r="AA337" i="16"/>
  <c r="AG337" i="16" s="1"/>
  <c r="AA329" i="16"/>
  <c r="AG329" i="16" s="1"/>
  <c r="AA321" i="16"/>
  <c r="AG321" i="16" s="1"/>
  <c r="AA360" i="16"/>
  <c r="AG360" i="16" s="1"/>
  <c r="AA328" i="16"/>
  <c r="AG328" i="16" s="1"/>
  <c r="AA383" i="16"/>
  <c r="AG383" i="16" s="1"/>
  <c r="AA351" i="16"/>
  <c r="AG351" i="16" s="1"/>
  <c r="AA343" i="16"/>
  <c r="AG343" i="16" s="1"/>
  <c r="AA335" i="16"/>
  <c r="AG335" i="16" s="1"/>
  <c r="AA327" i="16"/>
  <c r="AG327" i="16" s="1"/>
  <c r="AA319" i="16"/>
  <c r="AG319" i="16" s="1"/>
  <c r="AA367" i="16"/>
  <c r="AG367" i="16" s="1"/>
  <c r="AA359" i="16"/>
  <c r="AG359" i="16" s="1"/>
  <c r="AA30" i="17"/>
  <c r="AA269" i="16"/>
  <c r="AG269" i="16" s="1"/>
  <c r="AA273" i="16"/>
  <c r="AG273" i="16" s="1"/>
  <c r="Q45" i="12"/>
  <c r="Q45" i="13"/>
  <c r="X5" i="12"/>
  <c r="X5" i="13"/>
  <c r="AB45" i="11"/>
  <c r="S57" i="9"/>
  <c r="AM61" i="6"/>
  <c r="AM59" i="9"/>
  <c r="AM59" i="8"/>
  <c r="AM59" i="7"/>
  <c r="AB47" i="12"/>
  <c r="AB47" i="10"/>
  <c r="AB47" i="13"/>
  <c r="AB47" i="11"/>
  <c r="AA74" i="17" l="1"/>
  <c r="AA77" i="17"/>
  <c r="AA476" i="16"/>
  <c r="AA3" i="16"/>
  <c r="AA411" i="16"/>
  <c r="AA163" i="17"/>
  <c r="AA454" i="16"/>
  <c r="AA437" i="16"/>
  <c r="S21" i="28"/>
  <c r="S16" i="28"/>
  <c r="S26" i="28"/>
  <c r="AA55" i="16"/>
  <c r="AG55" i="16" s="1"/>
  <c r="G15" i="28"/>
  <c r="G10" i="28"/>
  <c r="S15" i="28"/>
  <c r="S25" i="28"/>
  <c r="S20" i="28"/>
  <c r="AA315" i="16"/>
  <c r="AG315" i="16" s="1"/>
  <c r="AA64" i="17"/>
  <c r="AA440" i="16"/>
  <c r="AA9" i="17"/>
  <c r="AA51" i="16"/>
  <c r="AG51" i="16" s="1"/>
  <c r="AA439" i="16"/>
  <c r="AA446" i="16"/>
  <c r="G9" i="28"/>
  <c r="G14" i="28"/>
  <c r="AA309" i="16"/>
  <c r="AG309" i="16" s="1"/>
  <c r="AA71" i="17"/>
  <c r="AA441" i="16"/>
  <c r="AA56" i="16"/>
  <c r="AG56" i="16" s="1"/>
  <c r="AA57" i="16"/>
  <c r="AG57" i="16" s="1"/>
  <c r="AA11" i="16"/>
  <c r="AA28" i="17"/>
  <c r="AA277" i="16"/>
  <c r="AG277" i="16" s="1"/>
  <c r="AA27" i="17"/>
  <c r="AA400" i="16"/>
  <c r="AA449" i="16"/>
  <c r="AA410" i="16"/>
  <c r="AG410" i="16" s="1"/>
  <c r="AA399" i="16"/>
  <c r="AG399" i="16" s="1"/>
  <c r="AA419" i="16"/>
  <c r="AA396" i="16"/>
  <c r="AA465" i="16"/>
  <c r="AA445" i="16"/>
  <c r="AA472" i="16"/>
  <c r="AA456" i="16"/>
  <c r="AA451" i="16"/>
  <c r="L451" i="21" s="1"/>
  <c r="O451" i="21" s="1"/>
  <c r="AA490" i="16"/>
  <c r="AG490" i="16" s="1"/>
  <c r="AA432" i="16"/>
  <c r="AA461" i="16"/>
  <c r="AA418" i="16"/>
  <c r="AA431" i="16"/>
  <c r="AA427" i="16"/>
  <c r="AA404" i="16"/>
  <c r="AA479" i="16"/>
  <c r="L479" i="21" s="1"/>
  <c r="O479" i="21" s="1"/>
  <c r="AA455" i="16"/>
  <c r="AG455" i="16" s="1"/>
  <c r="AA398" i="16"/>
  <c r="AA469" i="16"/>
  <c r="AA459" i="16"/>
  <c r="AA167" i="17"/>
  <c r="AA266" i="16"/>
  <c r="AG266" i="16" s="1"/>
  <c r="AA29" i="17"/>
  <c r="AA7" i="16"/>
  <c r="AG7" i="16" s="1"/>
  <c r="AA401" i="16"/>
  <c r="AG401" i="16" s="1"/>
  <c r="AA473" i="16"/>
  <c r="AA426" i="16"/>
  <c r="AA471" i="16"/>
  <c r="AA435" i="16"/>
  <c r="AA412" i="16"/>
  <c r="AA397" i="16"/>
  <c r="AA468" i="16"/>
  <c r="L468" i="21" s="1"/>
  <c r="O468" i="21" s="1"/>
  <c r="AA406" i="16"/>
  <c r="AG406" i="16" s="1"/>
  <c r="AA481" i="16"/>
  <c r="AA467" i="16"/>
  <c r="AA156" i="17"/>
  <c r="AA165" i="17"/>
  <c r="AA4" i="16"/>
  <c r="AA272" i="16"/>
  <c r="AG272" i="16" s="1"/>
  <c r="AA12" i="16"/>
  <c r="L12" i="21" s="1"/>
  <c r="O12" i="21" s="1"/>
  <c r="AA270" i="16"/>
  <c r="AG270" i="16" s="1"/>
  <c r="AA31" i="17"/>
  <c r="AA9" i="16"/>
  <c r="AA267" i="16"/>
  <c r="AG267" i="16" s="1"/>
  <c r="AA33" i="17"/>
  <c r="AA409" i="16"/>
  <c r="AA407" i="16"/>
  <c r="AA434" i="16"/>
  <c r="L434" i="21" s="1"/>
  <c r="O434" i="21" s="1"/>
  <c r="AA416" i="16"/>
  <c r="AG416" i="16" s="1"/>
  <c r="AA443" i="16"/>
  <c r="AA420" i="16"/>
  <c r="AA405" i="16"/>
  <c r="AA480" i="16"/>
  <c r="AA414" i="16"/>
  <c r="AA450" i="16"/>
  <c r="AA475" i="16"/>
  <c r="L475" i="21" s="1"/>
  <c r="O475" i="21" s="1"/>
  <c r="AA164" i="17"/>
  <c r="AA493" i="16"/>
  <c r="AG493" i="16" s="1"/>
  <c r="AA274" i="16"/>
  <c r="AG274" i="16" s="1"/>
  <c r="AA5" i="16"/>
  <c r="AA38" i="17"/>
  <c r="AA8" i="16"/>
  <c r="AA13" i="16"/>
  <c r="AA275" i="16"/>
  <c r="AG275" i="16" s="1"/>
  <c r="AA36" i="17"/>
  <c r="AA35" i="17"/>
  <c r="AA417" i="16"/>
  <c r="AA447" i="16"/>
  <c r="AA442" i="16"/>
  <c r="AA448" i="16"/>
  <c r="AA453" i="16"/>
  <c r="L453" i="21" s="1"/>
  <c r="O453" i="21" s="1"/>
  <c r="AA428" i="16"/>
  <c r="AG428" i="16" s="1"/>
  <c r="AA413" i="16"/>
  <c r="AG413" i="16" s="1"/>
  <c r="AA423" i="16"/>
  <c r="AA422" i="16"/>
  <c r="AA458" i="16"/>
  <c r="AA462" i="16"/>
  <c r="AA489" i="16"/>
  <c r="AG489" i="16" s="1"/>
  <c r="AA162" i="17"/>
  <c r="AA2" i="16"/>
  <c r="AG2" i="16" s="1"/>
  <c r="AA268" i="16"/>
  <c r="AG268" i="16" s="1"/>
  <c r="AA425" i="16"/>
  <c r="AA424" i="16"/>
  <c r="AA452" i="16"/>
  <c r="AA395" i="16"/>
  <c r="AA464" i="16"/>
  <c r="AA436" i="16"/>
  <c r="AA421" i="16"/>
  <c r="L421" i="21" s="1"/>
  <c r="O421" i="21" s="1"/>
  <c r="AA457" i="16"/>
  <c r="L457" i="21" s="1"/>
  <c r="O457" i="21" s="1"/>
  <c r="AA430" i="16"/>
  <c r="AA466" i="16"/>
  <c r="AA470" i="16"/>
  <c r="AA158" i="17"/>
  <c r="AA6" i="16"/>
  <c r="AA34" i="17"/>
  <c r="AA37" i="17"/>
  <c r="AA10" i="16"/>
  <c r="AG10" i="16" s="1"/>
  <c r="AA271" i="16"/>
  <c r="AG271" i="16" s="1"/>
  <c r="AA276" i="16"/>
  <c r="AG276" i="16" s="1"/>
  <c r="AA32" i="17"/>
  <c r="AA415" i="16"/>
  <c r="AA433" i="16"/>
  <c r="AA460" i="16"/>
  <c r="AA463" i="16"/>
  <c r="L463" i="21" s="1"/>
  <c r="O463" i="21" s="1"/>
  <c r="AA403" i="16"/>
  <c r="L403" i="21" s="1"/>
  <c r="O403" i="21" s="1"/>
  <c r="AA477" i="16"/>
  <c r="AA444" i="16"/>
  <c r="AA429" i="16"/>
  <c r="AA408" i="16"/>
  <c r="AA438" i="16"/>
  <c r="AA474" i="16"/>
  <c r="AA478" i="16"/>
  <c r="L478" i="21" s="1"/>
  <c r="O478" i="21" s="1"/>
  <c r="AA166" i="17"/>
  <c r="AA224" i="16"/>
  <c r="AA492" i="16"/>
  <c r="AG492" i="16" s="1"/>
  <c r="AA160" i="17"/>
  <c r="U5" i="24"/>
  <c r="U49" i="24" s="1"/>
  <c r="K7" i="26" s="1"/>
  <c r="AA222" i="16"/>
  <c r="I15" i="25"/>
  <c r="I14" i="25"/>
  <c r="AA225" i="16"/>
  <c r="AA11" i="17"/>
  <c r="AA5" i="17"/>
  <c r="AA487" i="16"/>
  <c r="AG487" i="16" s="1"/>
  <c r="AA488" i="16"/>
  <c r="AG488" i="16" s="1"/>
  <c r="AA303" i="16"/>
  <c r="L298" i="21" s="1"/>
  <c r="O298" i="21" s="1"/>
  <c r="AA76" i="17"/>
  <c r="AA67" i="17"/>
  <c r="AA54" i="16"/>
  <c r="AG54" i="16" s="1"/>
  <c r="AA10" i="17"/>
  <c r="AA486" i="16"/>
  <c r="AG486" i="16" s="1"/>
  <c r="AA482" i="16"/>
  <c r="AG482" i="16" s="1"/>
  <c r="K9" i="26"/>
  <c r="K11" i="26"/>
  <c r="M11" i="26" s="1"/>
  <c r="AA314" i="16"/>
  <c r="AG314" i="16" s="1"/>
  <c r="AA312" i="16"/>
  <c r="AG312" i="16" s="1"/>
  <c r="AA65" i="17"/>
  <c r="AA7" i="17"/>
  <c r="AA58" i="16"/>
  <c r="AG58" i="16" s="1"/>
  <c r="AA3" i="17"/>
  <c r="AA491" i="16"/>
  <c r="AG491" i="16" s="1"/>
  <c r="AA484" i="16"/>
  <c r="AG484" i="16" s="1"/>
  <c r="AA159" i="17"/>
  <c r="AA157" i="17"/>
  <c r="AA311" i="16"/>
  <c r="AG311" i="16" s="1"/>
  <c r="AA308" i="16"/>
  <c r="AG308" i="16" s="1"/>
  <c r="AA70" i="17"/>
  <c r="AA223" i="16"/>
  <c r="AG223" i="16" s="1"/>
  <c r="AA50" i="16"/>
  <c r="AG50" i="16" s="1"/>
  <c r="AA8" i="17"/>
  <c r="AA161" i="17"/>
  <c r="AA483" i="16"/>
  <c r="AG483" i="16" s="1"/>
  <c r="AA485" i="16"/>
  <c r="AG485" i="16" s="1"/>
  <c r="AG215" i="16"/>
  <c r="L215" i="21"/>
  <c r="O215" i="21" s="1"/>
  <c r="AG45" i="16"/>
  <c r="L45" i="21"/>
  <c r="O45" i="21" s="1"/>
  <c r="AG33" i="16"/>
  <c r="L33" i="21"/>
  <c r="O33" i="21" s="1"/>
  <c r="AG148" i="16"/>
  <c r="L148" i="21"/>
  <c r="O148" i="21" s="1"/>
  <c r="AG453" i="16"/>
  <c r="AG227" i="16"/>
  <c r="L227" i="21"/>
  <c r="O227" i="21" s="1"/>
  <c r="AG256" i="16"/>
  <c r="L256" i="21"/>
  <c r="O256" i="21" s="1"/>
  <c r="AG242" i="16"/>
  <c r="L242" i="21"/>
  <c r="O242" i="21" s="1"/>
  <c r="AG236" i="16"/>
  <c r="L236" i="21"/>
  <c r="O236" i="21" s="1"/>
  <c r="AG9" i="16"/>
  <c r="L9" i="21"/>
  <c r="O9" i="21" s="1"/>
  <c r="AG5" i="16"/>
  <c r="L5" i="21"/>
  <c r="O5" i="21" s="1"/>
  <c r="AG47" i="16"/>
  <c r="L47" i="21"/>
  <c r="O47" i="21" s="1"/>
  <c r="AG101" i="16"/>
  <c r="L101" i="21"/>
  <c r="O101" i="21" s="1"/>
  <c r="AG40" i="16"/>
  <c r="L40" i="21"/>
  <c r="O40" i="21" s="1"/>
  <c r="AG108" i="16"/>
  <c r="L108" i="21"/>
  <c r="O108" i="21" s="1"/>
  <c r="AG211" i="16"/>
  <c r="L211" i="21"/>
  <c r="O211" i="21" s="1"/>
  <c r="AG216" i="16"/>
  <c r="L216" i="21"/>
  <c r="O216" i="21" s="1"/>
  <c r="AG142" i="16"/>
  <c r="L142" i="21"/>
  <c r="O142" i="21" s="1"/>
  <c r="AG151" i="16"/>
  <c r="L151" i="21"/>
  <c r="O151" i="21" s="1"/>
  <c r="AG34" i="16"/>
  <c r="L34" i="21"/>
  <c r="O34" i="21" s="1"/>
  <c r="AG182" i="16"/>
  <c r="L182" i="21"/>
  <c r="O182" i="21" s="1"/>
  <c r="AG83" i="16"/>
  <c r="L83" i="21"/>
  <c r="O83" i="21" s="1"/>
  <c r="AG36" i="16"/>
  <c r="L36" i="21"/>
  <c r="O36" i="21" s="1"/>
  <c r="AG156" i="16"/>
  <c r="L156" i="21"/>
  <c r="O156" i="21" s="1"/>
  <c r="AG85" i="16"/>
  <c r="L85" i="21"/>
  <c r="O85" i="21" s="1"/>
  <c r="AG30" i="16"/>
  <c r="L30" i="21"/>
  <c r="O30" i="21" s="1"/>
  <c r="AG400" i="16"/>
  <c r="L400" i="21"/>
  <c r="O400" i="21" s="1"/>
  <c r="AG441" i="16"/>
  <c r="L441" i="21"/>
  <c r="O441" i="21" s="1"/>
  <c r="AG460" i="16"/>
  <c r="L460" i="21"/>
  <c r="O460" i="21" s="1"/>
  <c r="AG463" i="16"/>
  <c r="AG395" i="16"/>
  <c r="L395" i="21"/>
  <c r="AG464" i="16"/>
  <c r="L464" i="21"/>
  <c r="O464" i="21" s="1"/>
  <c r="AG436" i="16"/>
  <c r="L436" i="21"/>
  <c r="O436" i="21" s="1"/>
  <c r="AG421" i="16"/>
  <c r="AG423" i="16"/>
  <c r="L423" i="21"/>
  <c r="O423" i="21" s="1"/>
  <c r="AG422" i="16"/>
  <c r="L422" i="21"/>
  <c r="O422" i="21" s="1"/>
  <c r="AG458" i="16"/>
  <c r="L458" i="21"/>
  <c r="O458" i="21" s="1"/>
  <c r="AG475" i="16"/>
  <c r="AG228" i="16"/>
  <c r="L228" i="21"/>
  <c r="O228" i="21" s="1"/>
  <c r="AG233" i="16"/>
  <c r="L233" i="21"/>
  <c r="O233" i="21" s="1"/>
  <c r="AG250" i="16"/>
  <c r="L250" i="21"/>
  <c r="O250" i="21" s="1"/>
  <c r="AG244" i="16"/>
  <c r="L244" i="21"/>
  <c r="O244" i="21" s="1"/>
  <c r="AG240" i="16"/>
  <c r="L240" i="21"/>
  <c r="O240" i="21" s="1"/>
  <c r="AG496" i="16"/>
  <c r="L496" i="21"/>
  <c r="O496" i="21" s="1"/>
  <c r="AG499" i="16"/>
  <c r="L499" i="21"/>
  <c r="O499" i="21" s="1"/>
  <c r="AG424" i="16"/>
  <c r="L424" i="21"/>
  <c r="O424" i="21" s="1"/>
  <c r="AG414" i="16"/>
  <c r="L414" i="21"/>
  <c r="O414" i="21" s="1"/>
  <c r="AG8" i="16"/>
  <c r="L8" i="21"/>
  <c r="O8" i="21" s="1"/>
  <c r="AG13" i="16"/>
  <c r="L13" i="21"/>
  <c r="O13" i="21" s="1"/>
  <c r="AG171" i="16"/>
  <c r="L171" i="21"/>
  <c r="O171" i="21" s="1"/>
  <c r="AG135" i="16"/>
  <c r="L135" i="21"/>
  <c r="O135" i="21" s="1"/>
  <c r="AG109" i="16"/>
  <c r="L109" i="21"/>
  <c r="O109" i="21" s="1"/>
  <c r="AG42" i="16"/>
  <c r="L42" i="21"/>
  <c r="O42" i="21" s="1"/>
  <c r="AG144" i="16"/>
  <c r="L144" i="21"/>
  <c r="O144" i="21" s="1"/>
  <c r="AG44" i="16"/>
  <c r="L44" i="21"/>
  <c r="O44" i="21" s="1"/>
  <c r="AG105" i="16"/>
  <c r="L105" i="21"/>
  <c r="O105" i="21" s="1"/>
  <c r="AG38" i="16"/>
  <c r="L38" i="21"/>
  <c r="O38" i="21" s="1"/>
  <c r="AG170" i="16"/>
  <c r="L170" i="21"/>
  <c r="O170" i="21" s="1"/>
  <c r="AG79" i="16"/>
  <c r="L79" i="21"/>
  <c r="O79" i="21" s="1"/>
  <c r="AG81" i="16"/>
  <c r="L81" i="21"/>
  <c r="O81" i="21" s="1"/>
  <c r="AG190" i="16"/>
  <c r="L190" i="21"/>
  <c r="O190" i="21" s="1"/>
  <c r="AG111" i="16"/>
  <c r="L111" i="21"/>
  <c r="O111" i="21" s="1"/>
  <c r="AG184" i="16"/>
  <c r="L184" i="21"/>
  <c r="O184" i="21" s="1"/>
  <c r="AG113" i="16"/>
  <c r="L113" i="21"/>
  <c r="O113" i="21" s="1"/>
  <c r="AG432" i="16"/>
  <c r="L432" i="21"/>
  <c r="O432" i="21" s="1"/>
  <c r="AG449" i="16"/>
  <c r="L449" i="21"/>
  <c r="O449" i="21" s="1"/>
  <c r="AG402" i="16"/>
  <c r="L402" i="21"/>
  <c r="O402" i="21" s="1"/>
  <c r="AG476" i="16"/>
  <c r="L476" i="21"/>
  <c r="O476" i="21" s="1"/>
  <c r="AG477" i="16"/>
  <c r="L477" i="21"/>
  <c r="O477" i="21" s="1"/>
  <c r="AG444" i="16"/>
  <c r="L444" i="21"/>
  <c r="O444" i="21" s="1"/>
  <c r="AG429" i="16"/>
  <c r="L429" i="21"/>
  <c r="O429" i="21" s="1"/>
  <c r="AG430" i="16"/>
  <c r="L430" i="21"/>
  <c r="O430" i="21" s="1"/>
  <c r="AG466" i="16"/>
  <c r="L466" i="21"/>
  <c r="O466" i="21" s="1"/>
  <c r="AG229" i="16"/>
  <c r="L229" i="21"/>
  <c r="O229" i="21" s="1"/>
  <c r="AG241" i="16"/>
  <c r="L241" i="21"/>
  <c r="O241" i="21" s="1"/>
  <c r="AG258" i="16"/>
  <c r="L258" i="21"/>
  <c r="O258" i="21" s="1"/>
  <c r="AG252" i="16"/>
  <c r="L252" i="21"/>
  <c r="O252" i="21" s="1"/>
  <c r="AG230" i="16"/>
  <c r="L394" i="21"/>
  <c r="O394" i="21" s="1"/>
  <c r="L391" i="21"/>
  <c r="O391" i="21" s="1"/>
  <c r="L388" i="21"/>
  <c r="O388" i="21" s="1"/>
  <c r="L385" i="21"/>
  <c r="O385" i="21" s="1"/>
  <c r="L381" i="21"/>
  <c r="O381" i="21" s="1"/>
  <c r="L377" i="21"/>
  <c r="O377" i="21" s="1"/>
  <c r="L373" i="21"/>
  <c r="O373" i="21" s="1"/>
  <c r="L369" i="21"/>
  <c r="O369" i="21" s="1"/>
  <c r="L365" i="21"/>
  <c r="O365" i="21" s="1"/>
  <c r="L361" i="21"/>
  <c r="O361" i="21" s="1"/>
  <c r="L357" i="21"/>
  <c r="O357" i="21" s="1"/>
  <c r="L353" i="21"/>
  <c r="O353" i="21" s="1"/>
  <c r="L349" i="21"/>
  <c r="O349" i="21" s="1"/>
  <c r="L392" i="21"/>
  <c r="O392" i="21" s="1"/>
  <c r="L389" i="21"/>
  <c r="O389" i="21" s="1"/>
  <c r="L386" i="21"/>
  <c r="O386" i="21" s="1"/>
  <c r="L382" i="21"/>
  <c r="O382" i="21" s="1"/>
  <c r="L378" i="21"/>
  <c r="O378" i="21" s="1"/>
  <c r="L374" i="21"/>
  <c r="O374" i="21" s="1"/>
  <c r="L370" i="21"/>
  <c r="O370" i="21" s="1"/>
  <c r="L366" i="21"/>
  <c r="O366" i="21" s="1"/>
  <c r="L362" i="21"/>
  <c r="O362" i="21" s="1"/>
  <c r="L358" i="21"/>
  <c r="O358" i="21" s="1"/>
  <c r="L354" i="21"/>
  <c r="O354" i="21" s="1"/>
  <c r="L350" i="21"/>
  <c r="O350" i="21" s="1"/>
  <c r="L346" i="21"/>
  <c r="O346" i="21" s="1"/>
  <c r="L342" i="21"/>
  <c r="O342" i="21" s="1"/>
  <c r="L338" i="21"/>
  <c r="O338" i="21" s="1"/>
  <c r="L334" i="21"/>
  <c r="O334" i="21" s="1"/>
  <c r="L330" i="21"/>
  <c r="O330" i="21" s="1"/>
  <c r="L326" i="21"/>
  <c r="O326" i="21" s="1"/>
  <c r="L390" i="21"/>
  <c r="O390" i="21" s="1"/>
  <c r="L387" i="21"/>
  <c r="O387" i="21" s="1"/>
  <c r="L383" i="21"/>
  <c r="O383" i="21" s="1"/>
  <c r="L379" i="21"/>
  <c r="O379" i="21" s="1"/>
  <c r="L375" i="21"/>
  <c r="O375" i="21" s="1"/>
  <c r="L371" i="21"/>
  <c r="O371" i="21" s="1"/>
  <c r="L367" i="21"/>
  <c r="O367" i="21" s="1"/>
  <c r="L363" i="21"/>
  <c r="O363" i="21" s="1"/>
  <c r="L359" i="21"/>
  <c r="O359" i="21" s="1"/>
  <c r="L355" i="21"/>
  <c r="O355" i="21" s="1"/>
  <c r="L351" i="21"/>
  <c r="O351" i="21" s="1"/>
  <c r="L347" i="21"/>
  <c r="O347" i="21" s="1"/>
  <c r="L393" i="21"/>
  <c r="O393" i="21" s="1"/>
  <c r="L368" i="21"/>
  <c r="O368" i="21" s="1"/>
  <c r="L344" i="21"/>
  <c r="O344" i="21" s="1"/>
  <c r="L339" i="21"/>
  <c r="O339" i="21" s="1"/>
  <c r="L329" i="21"/>
  <c r="O329" i="21" s="1"/>
  <c r="L320" i="21"/>
  <c r="O320" i="21" s="1"/>
  <c r="L364" i="21"/>
  <c r="O364" i="21" s="1"/>
  <c r="L341" i="21"/>
  <c r="O341" i="21" s="1"/>
  <c r="L324" i="21"/>
  <c r="O324" i="21" s="1"/>
  <c r="L322" i="21"/>
  <c r="O322" i="21" s="1"/>
  <c r="L318" i="21"/>
  <c r="O318" i="21" s="1"/>
  <c r="L360" i="21"/>
  <c r="O360" i="21" s="1"/>
  <c r="L336" i="21"/>
  <c r="O336" i="21" s="1"/>
  <c r="L331" i="21"/>
  <c r="O331" i="21" s="1"/>
  <c r="L230" i="21"/>
  <c r="O230" i="21" s="1"/>
  <c r="L356" i="21"/>
  <c r="O356" i="21" s="1"/>
  <c r="L343" i="21"/>
  <c r="O343" i="21" s="1"/>
  <c r="L333" i="21"/>
  <c r="O333" i="21" s="1"/>
  <c r="L384" i="21"/>
  <c r="O384" i="21" s="1"/>
  <c r="L352" i="21"/>
  <c r="O352" i="21" s="1"/>
  <c r="L345" i="21"/>
  <c r="O345" i="21" s="1"/>
  <c r="L328" i="21"/>
  <c r="O328" i="21" s="1"/>
  <c r="L321" i="21"/>
  <c r="O321" i="21" s="1"/>
  <c r="L319" i="21"/>
  <c r="O319" i="21" s="1"/>
  <c r="L380" i="21"/>
  <c r="O380" i="21" s="1"/>
  <c r="L348" i="21"/>
  <c r="O348" i="21" s="1"/>
  <c r="L340" i="21"/>
  <c r="O340" i="21" s="1"/>
  <c r="L335" i="21"/>
  <c r="O335" i="21" s="1"/>
  <c r="L325" i="21"/>
  <c r="O325" i="21" s="1"/>
  <c r="L323" i="21"/>
  <c r="O323" i="21" s="1"/>
  <c r="L376" i="21"/>
  <c r="O376" i="21" s="1"/>
  <c r="L337" i="21"/>
  <c r="O337" i="21" s="1"/>
  <c r="L317" i="21"/>
  <c r="L332" i="21"/>
  <c r="O332" i="21" s="1"/>
  <c r="L327" i="21"/>
  <c r="O327" i="21" s="1"/>
  <c r="L372" i="21"/>
  <c r="O372" i="21" s="1"/>
  <c r="AG501" i="16"/>
  <c r="L501" i="21"/>
  <c r="O501" i="21" s="1"/>
  <c r="AG494" i="16"/>
  <c r="L494" i="21"/>
  <c r="AG75" i="16"/>
  <c r="L75" i="21"/>
  <c r="O75" i="21" s="1"/>
  <c r="AC10" i="21"/>
  <c r="AG179" i="16"/>
  <c r="L179" i="21"/>
  <c r="O179" i="21" s="1"/>
  <c r="AG100" i="16"/>
  <c r="L100" i="21"/>
  <c r="O100" i="21" s="1"/>
  <c r="AG137" i="16"/>
  <c r="L137" i="21"/>
  <c r="O137" i="21" s="1"/>
  <c r="AG180" i="16"/>
  <c r="L180" i="21"/>
  <c r="O180" i="21" s="1"/>
  <c r="AG141" i="16"/>
  <c r="L141" i="21"/>
  <c r="O141" i="21" s="1"/>
  <c r="AG46" i="16"/>
  <c r="L46" i="21"/>
  <c r="O46" i="21" s="1"/>
  <c r="AG178" i="16"/>
  <c r="L178" i="21"/>
  <c r="O178" i="21" s="1"/>
  <c r="AG187" i="16"/>
  <c r="L187" i="21"/>
  <c r="O187" i="21" s="1"/>
  <c r="AG117" i="16"/>
  <c r="L117" i="21"/>
  <c r="O117" i="21" s="1"/>
  <c r="AG74" i="16"/>
  <c r="L74" i="21"/>
  <c r="O74" i="21" s="1"/>
  <c r="AG32" i="16"/>
  <c r="L32" i="21"/>
  <c r="O32" i="21" s="1"/>
  <c r="AG119" i="16"/>
  <c r="L119" i="21"/>
  <c r="O119" i="21" s="1"/>
  <c r="AG192" i="16"/>
  <c r="L192" i="21"/>
  <c r="O192" i="21" s="1"/>
  <c r="AG121" i="16"/>
  <c r="L121" i="21"/>
  <c r="O121" i="21" s="1"/>
  <c r="AG78" i="16"/>
  <c r="L78" i="21"/>
  <c r="O78" i="21" s="1"/>
  <c r="AG218" i="16"/>
  <c r="L218" i="21"/>
  <c r="AG461" i="16"/>
  <c r="L461" i="21"/>
  <c r="O461" i="21" s="1"/>
  <c r="AG411" i="16"/>
  <c r="L411" i="21"/>
  <c r="O411" i="21" s="1"/>
  <c r="AG454" i="16"/>
  <c r="L454" i="21"/>
  <c r="O454" i="21" s="1"/>
  <c r="AG437" i="16"/>
  <c r="L437" i="21"/>
  <c r="O437" i="21" s="1"/>
  <c r="AG408" i="16"/>
  <c r="L408" i="21"/>
  <c r="O408" i="21" s="1"/>
  <c r="AG438" i="16"/>
  <c r="L438" i="21"/>
  <c r="O438" i="21" s="1"/>
  <c r="AG474" i="16"/>
  <c r="L474" i="21"/>
  <c r="O474" i="21" s="1"/>
  <c r="AG462" i="16"/>
  <c r="L462" i="21"/>
  <c r="O462" i="21" s="1"/>
  <c r="AG231" i="16"/>
  <c r="L231" i="21"/>
  <c r="O231" i="21" s="1"/>
  <c r="AG249" i="16"/>
  <c r="L249" i="21"/>
  <c r="O249" i="21" s="1"/>
  <c r="AG248" i="16"/>
  <c r="L248" i="21"/>
  <c r="O248" i="21" s="1"/>
  <c r="AG260" i="16"/>
  <c r="L260" i="21"/>
  <c r="O260" i="21" s="1"/>
  <c r="AG238" i="16"/>
  <c r="L238" i="21"/>
  <c r="O238" i="21" s="1"/>
  <c r="AG497" i="16"/>
  <c r="L497" i="21"/>
  <c r="O497" i="21" s="1"/>
  <c r="AG502" i="16"/>
  <c r="L502" i="21"/>
  <c r="O502" i="21" s="1"/>
  <c r="AG175" i="16"/>
  <c r="L175" i="21"/>
  <c r="O175" i="21" s="1"/>
  <c r="AG26" i="16"/>
  <c r="L26" i="21"/>
  <c r="AG77" i="16"/>
  <c r="L77" i="21"/>
  <c r="O77" i="21" s="1"/>
  <c r="AG439" i="16"/>
  <c r="L439" i="21"/>
  <c r="O439" i="21" s="1"/>
  <c r="AG261" i="16"/>
  <c r="L261" i="21"/>
  <c r="O261" i="21" s="1"/>
  <c r="AG99" i="16"/>
  <c r="L99" i="21"/>
  <c r="O99" i="21" s="1"/>
  <c r="AG208" i="16"/>
  <c r="L208" i="21"/>
  <c r="O208" i="21" s="1"/>
  <c r="AG145" i="16"/>
  <c r="L145" i="21"/>
  <c r="O145" i="21" s="1"/>
  <c r="AG102" i="16"/>
  <c r="L102" i="21"/>
  <c r="O102" i="21" s="1"/>
  <c r="AG43" i="16"/>
  <c r="L43" i="21"/>
  <c r="O43" i="21" s="1"/>
  <c r="AG104" i="16"/>
  <c r="L104" i="21"/>
  <c r="O104" i="21" s="1"/>
  <c r="AG177" i="16"/>
  <c r="L177" i="21"/>
  <c r="O177" i="21" s="1"/>
  <c r="AG206" i="16"/>
  <c r="L206" i="21"/>
  <c r="O206" i="21" s="1"/>
  <c r="AG31" i="16"/>
  <c r="L31" i="21"/>
  <c r="O31" i="21" s="1"/>
  <c r="AG153" i="16"/>
  <c r="L153" i="21"/>
  <c r="O153" i="21" s="1"/>
  <c r="AG82" i="16"/>
  <c r="L82" i="21"/>
  <c r="O82" i="21" s="1"/>
  <c r="AG27" i="16"/>
  <c r="L27" i="21"/>
  <c r="O27" i="21" s="1"/>
  <c r="AG147" i="16"/>
  <c r="L147" i="21"/>
  <c r="O147" i="21" s="1"/>
  <c r="AG76" i="16"/>
  <c r="L76" i="21"/>
  <c r="O76" i="21" s="1"/>
  <c r="AG29" i="16"/>
  <c r="L29" i="21"/>
  <c r="O29" i="21" s="1"/>
  <c r="AG149" i="16"/>
  <c r="L149" i="21"/>
  <c r="O149" i="21" s="1"/>
  <c r="AG114" i="16"/>
  <c r="L114" i="21"/>
  <c r="O114" i="21" s="1"/>
  <c r="AG219" i="16"/>
  <c r="L219" i="21"/>
  <c r="O219" i="21" s="1"/>
  <c r="AG473" i="16"/>
  <c r="L473" i="21"/>
  <c r="O473" i="21" s="1"/>
  <c r="AG418" i="16"/>
  <c r="L418" i="21"/>
  <c r="O418" i="21" s="1"/>
  <c r="AG419" i="16"/>
  <c r="L419" i="21"/>
  <c r="O419" i="21" s="1"/>
  <c r="AG396" i="16"/>
  <c r="L396" i="21"/>
  <c r="O396" i="21" s="1"/>
  <c r="AG465" i="16"/>
  <c r="L465" i="21"/>
  <c r="O465" i="21" s="1"/>
  <c r="AG445" i="16"/>
  <c r="L445" i="21"/>
  <c r="O445" i="21" s="1"/>
  <c r="AG440" i="16"/>
  <c r="L440" i="21"/>
  <c r="O440" i="21" s="1"/>
  <c r="AG446" i="16"/>
  <c r="L446" i="21"/>
  <c r="O446" i="21" s="1"/>
  <c r="AG470" i="16"/>
  <c r="L470" i="21"/>
  <c r="O470" i="21" s="1"/>
  <c r="AG239" i="16"/>
  <c r="L239" i="21"/>
  <c r="O239" i="21" s="1"/>
  <c r="AG257" i="16"/>
  <c r="L257" i="21"/>
  <c r="O257" i="21" s="1"/>
  <c r="AG235" i="16"/>
  <c r="L235" i="21"/>
  <c r="O235" i="21" s="1"/>
  <c r="AG264" i="16"/>
  <c r="L264" i="21"/>
  <c r="O264" i="21" s="1"/>
  <c r="AG246" i="16"/>
  <c r="L246" i="21"/>
  <c r="O246" i="21" s="1"/>
  <c r="AG503" i="16"/>
  <c r="L503" i="21"/>
  <c r="O503" i="21" s="1"/>
  <c r="AG143" i="16"/>
  <c r="L143" i="21"/>
  <c r="O143" i="21" s="1"/>
  <c r="AG134" i="16"/>
  <c r="L134" i="21"/>
  <c r="O134" i="21" s="1"/>
  <c r="AG28" i="16"/>
  <c r="L28" i="21"/>
  <c r="O28" i="21" s="1"/>
  <c r="AG448" i="16"/>
  <c r="L448" i="21"/>
  <c r="O448" i="21" s="1"/>
  <c r="AG467" i="16"/>
  <c r="L467" i="21"/>
  <c r="O467" i="21" s="1"/>
  <c r="AG498" i="16"/>
  <c r="L498" i="21"/>
  <c r="O498" i="21" s="1"/>
  <c r="AG6" i="16"/>
  <c r="L6" i="21"/>
  <c r="O6" i="21" s="1"/>
  <c r="AG3" i="16"/>
  <c r="L3" i="21"/>
  <c r="O3" i="21" s="1"/>
  <c r="AG107" i="16"/>
  <c r="L107" i="21"/>
  <c r="O107" i="21" s="1"/>
  <c r="AG41" i="16"/>
  <c r="L41" i="21"/>
  <c r="O41" i="21" s="1"/>
  <c r="AG173" i="16"/>
  <c r="L173" i="21"/>
  <c r="O173" i="21" s="1"/>
  <c r="AG138" i="16"/>
  <c r="L138" i="21"/>
  <c r="O138" i="21" s="1"/>
  <c r="AG140" i="16"/>
  <c r="L140" i="21"/>
  <c r="O140" i="21" s="1"/>
  <c r="AG213" i="16"/>
  <c r="L213" i="21"/>
  <c r="O213" i="21" s="1"/>
  <c r="AG214" i="16"/>
  <c r="L214" i="21"/>
  <c r="O214" i="21" s="1"/>
  <c r="AG115" i="16"/>
  <c r="L115" i="21"/>
  <c r="O115" i="21" s="1"/>
  <c r="AG189" i="16"/>
  <c r="L189" i="21"/>
  <c r="O189" i="21" s="1"/>
  <c r="AG110" i="16"/>
  <c r="L110" i="21"/>
  <c r="O110" i="21" s="1"/>
  <c r="AG35" i="16"/>
  <c r="L35" i="21"/>
  <c r="O35" i="21" s="1"/>
  <c r="AG155" i="16"/>
  <c r="L155" i="21"/>
  <c r="O155" i="21" s="1"/>
  <c r="AG84" i="16"/>
  <c r="L84" i="21"/>
  <c r="O84" i="21" s="1"/>
  <c r="AG37" i="16"/>
  <c r="L61" i="21"/>
  <c r="O61" i="21" s="1"/>
  <c r="L53" i="21"/>
  <c r="O53" i="21" s="1"/>
  <c r="L58" i="21"/>
  <c r="L50" i="21"/>
  <c r="O50" i="21" s="1"/>
  <c r="L55" i="21"/>
  <c r="O55" i="21" s="1"/>
  <c r="L60" i="21"/>
  <c r="O60" i="21" s="1"/>
  <c r="L56" i="21"/>
  <c r="O56" i="21" s="1"/>
  <c r="L51" i="21"/>
  <c r="O51" i="21" s="1"/>
  <c r="L59" i="21"/>
  <c r="O59" i="21" s="1"/>
  <c r="L57" i="21"/>
  <c r="O57" i="21" s="1"/>
  <c r="L52" i="21"/>
  <c r="O52" i="21" s="1"/>
  <c r="L54" i="21"/>
  <c r="O54" i="21" s="1"/>
  <c r="L37" i="21"/>
  <c r="O37" i="21" s="1"/>
  <c r="AG157" i="16"/>
  <c r="L157" i="21"/>
  <c r="O157" i="21" s="1"/>
  <c r="AG150" i="16"/>
  <c r="L150" i="21"/>
  <c r="O150" i="21" s="1"/>
  <c r="AG220" i="16"/>
  <c r="L220" i="21"/>
  <c r="O220" i="21" s="1"/>
  <c r="AG409" i="16"/>
  <c r="L409" i="21"/>
  <c r="O409" i="21" s="1"/>
  <c r="AG426" i="16"/>
  <c r="L426" i="21"/>
  <c r="O426" i="21" s="1"/>
  <c r="AG431" i="16"/>
  <c r="L431" i="21"/>
  <c r="O431" i="21" s="1"/>
  <c r="AG427" i="16"/>
  <c r="L427" i="21"/>
  <c r="O427" i="21" s="1"/>
  <c r="AG404" i="16"/>
  <c r="L404" i="21"/>
  <c r="O404" i="21" s="1"/>
  <c r="AG479" i="16"/>
  <c r="AG472" i="16"/>
  <c r="L472" i="21"/>
  <c r="O472" i="21" s="1"/>
  <c r="AG456" i="16"/>
  <c r="L456" i="21"/>
  <c r="O456" i="21" s="1"/>
  <c r="AG478" i="16"/>
  <c r="AG247" i="16"/>
  <c r="L247" i="21"/>
  <c r="O247" i="21" s="1"/>
  <c r="AG265" i="16"/>
  <c r="L265" i="21"/>
  <c r="O265" i="21" s="1"/>
  <c r="AG243" i="16"/>
  <c r="L243" i="21"/>
  <c r="O243" i="21" s="1"/>
  <c r="AG237" i="16"/>
  <c r="L237" i="21"/>
  <c r="O237" i="21" s="1"/>
  <c r="AG254" i="16"/>
  <c r="L254" i="21"/>
  <c r="O254" i="21" s="1"/>
  <c r="AG504" i="16"/>
  <c r="L504" i="21"/>
  <c r="O504" i="21" s="1"/>
  <c r="AG225" i="16"/>
  <c r="L225" i="21"/>
  <c r="O225" i="21" s="1"/>
  <c r="AG217" i="16"/>
  <c r="L217" i="21"/>
  <c r="O217" i="21" s="1"/>
  <c r="AG154" i="16"/>
  <c r="L154" i="21"/>
  <c r="O154" i="21" s="1"/>
  <c r="AG80" i="16"/>
  <c r="L80" i="21"/>
  <c r="O80" i="21" s="1"/>
  <c r="AG433" i="16"/>
  <c r="L433" i="21"/>
  <c r="O433" i="21" s="1"/>
  <c r="AG500" i="16"/>
  <c r="L500" i="21"/>
  <c r="O500" i="21" s="1"/>
  <c r="L2" i="21"/>
  <c r="AG11" i="16"/>
  <c r="L11" i="21"/>
  <c r="O11" i="21" s="1"/>
  <c r="AG207" i="16"/>
  <c r="L207" i="21"/>
  <c r="O207" i="21" s="1"/>
  <c r="AG49" i="16"/>
  <c r="L69" i="21"/>
  <c r="O69" i="21" s="1"/>
  <c r="L66" i="21"/>
  <c r="O66" i="21" s="1"/>
  <c r="L71" i="21"/>
  <c r="O71" i="21" s="1"/>
  <c r="L63" i="21"/>
  <c r="O63" i="21" s="1"/>
  <c r="L73" i="21"/>
  <c r="O73" i="21" s="1"/>
  <c r="L68" i="21"/>
  <c r="O68" i="21" s="1"/>
  <c r="L64" i="21"/>
  <c r="O64" i="21" s="1"/>
  <c r="L72" i="21"/>
  <c r="O72" i="21" s="1"/>
  <c r="L62" i="21"/>
  <c r="O62" i="21" s="1"/>
  <c r="L70" i="21"/>
  <c r="O70" i="21" s="1"/>
  <c r="L65" i="21"/>
  <c r="O65" i="21" s="1"/>
  <c r="L67" i="21"/>
  <c r="O67" i="21" s="1"/>
  <c r="L49" i="21"/>
  <c r="O49" i="21" s="1"/>
  <c r="AG181" i="16"/>
  <c r="L181" i="21"/>
  <c r="O181" i="21" s="1"/>
  <c r="AG174" i="16"/>
  <c r="L174" i="21"/>
  <c r="O174" i="21" s="1"/>
  <c r="AG103" i="16"/>
  <c r="L103" i="21"/>
  <c r="O103" i="21" s="1"/>
  <c r="AG176" i="16"/>
  <c r="L176" i="21"/>
  <c r="O176" i="21" s="1"/>
  <c r="AG48" i="16"/>
  <c r="L48" i="21"/>
  <c r="O48" i="21" s="1"/>
  <c r="AG98" i="16"/>
  <c r="L98" i="21"/>
  <c r="O98" i="21" s="1"/>
  <c r="AG116" i="16"/>
  <c r="L116" i="21"/>
  <c r="O116" i="21" s="1"/>
  <c r="AG118" i="16"/>
  <c r="L118" i="21"/>
  <c r="O118" i="21" s="1"/>
  <c r="AG183" i="16"/>
  <c r="L183" i="21"/>
  <c r="O183" i="21" s="1"/>
  <c r="AG112" i="16"/>
  <c r="L112" i="21"/>
  <c r="O112" i="21" s="1"/>
  <c r="AG185" i="16"/>
  <c r="L185" i="21"/>
  <c r="O185" i="21" s="1"/>
  <c r="AG186" i="16"/>
  <c r="L186" i="21"/>
  <c r="O186" i="21" s="1"/>
  <c r="AG221" i="16"/>
  <c r="L221" i="21"/>
  <c r="O221" i="21" s="1"/>
  <c r="AG417" i="16"/>
  <c r="L417" i="21"/>
  <c r="O417" i="21" s="1"/>
  <c r="AG407" i="16"/>
  <c r="L407" i="21"/>
  <c r="O407" i="21" s="1"/>
  <c r="AG434" i="16"/>
  <c r="AG471" i="16"/>
  <c r="L471" i="21"/>
  <c r="O471" i="21" s="1"/>
  <c r="AG435" i="16"/>
  <c r="L435" i="21"/>
  <c r="O435" i="21" s="1"/>
  <c r="AG412" i="16"/>
  <c r="L412" i="21"/>
  <c r="O412" i="21" s="1"/>
  <c r="AG397" i="16"/>
  <c r="L397" i="21"/>
  <c r="O397" i="21" s="1"/>
  <c r="AG468" i="16"/>
  <c r="AG398" i="16"/>
  <c r="L398" i="21"/>
  <c r="O398" i="21" s="1"/>
  <c r="AG469" i="16"/>
  <c r="L469" i="21"/>
  <c r="O469" i="21" s="1"/>
  <c r="AG451" i="16"/>
  <c r="AG255" i="16"/>
  <c r="L255" i="21"/>
  <c r="O255" i="21" s="1"/>
  <c r="AG232" i="16"/>
  <c r="L232" i="21"/>
  <c r="O232" i="21" s="1"/>
  <c r="AG251" i="16"/>
  <c r="L251" i="21"/>
  <c r="O251" i="21" s="1"/>
  <c r="AG245" i="16"/>
  <c r="L245" i="21"/>
  <c r="O245" i="21" s="1"/>
  <c r="AG262" i="16"/>
  <c r="L262" i="21"/>
  <c r="O262" i="21" s="1"/>
  <c r="AG505" i="16"/>
  <c r="L505" i="21"/>
  <c r="O505" i="21" s="1"/>
  <c r="AG224" i="16"/>
  <c r="L224" i="21"/>
  <c r="O224" i="21" s="1"/>
  <c r="AG12" i="16"/>
  <c r="AG172" i="16"/>
  <c r="L172" i="21"/>
  <c r="O172" i="21" s="1"/>
  <c r="AG452" i="16"/>
  <c r="L452" i="21"/>
  <c r="O452" i="21" s="1"/>
  <c r="AG450" i="16"/>
  <c r="L450" i="21"/>
  <c r="O450" i="21" s="1"/>
  <c r="AG4" i="16"/>
  <c r="L4" i="21"/>
  <c r="O4" i="21" s="1"/>
  <c r="AG39" i="16"/>
  <c r="L39" i="21"/>
  <c r="O39" i="21" s="1"/>
  <c r="AG209" i="16"/>
  <c r="L209" i="21"/>
  <c r="O209" i="21" s="1"/>
  <c r="AG210" i="16"/>
  <c r="L210" i="21"/>
  <c r="O210" i="21" s="1"/>
  <c r="AG139" i="16"/>
  <c r="L139" i="21"/>
  <c r="O139" i="21" s="1"/>
  <c r="AG212" i="16"/>
  <c r="L212" i="21"/>
  <c r="O212" i="21" s="1"/>
  <c r="AG136" i="16"/>
  <c r="L136" i="21"/>
  <c r="O136" i="21" s="1"/>
  <c r="AG106" i="16"/>
  <c r="L106" i="21"/>
  <c r="O106" i="21" s="1"/>
  <c r="AG152" i="16"/>
  <c r="L152" i="21"/>
  <c r="O152" i="21" s="1"/>
  <c r="AG188" i="16"/>
  <c r="L188" i="21"/>
  <c r="O188" i="21" s="1"/>
  <c r="AG146" i="16"/>
  <c r="L146" i="21"/>
  <c r="O146" i="21" s="1"/>
  <c r="AG191" i="16"/>
  <c r="L191" i="21"/>
  <c r="O191" i="21" s="1"/>
  <c r="AG120" i="16"/>
  <c r="L120" i="21"/>
  <c r="O120" i="21" s="1"/>
  <c r="AG193" i="16"/>
  <c r="L193" i="21"/>
  <c r="O193" i="21" s="1"/>
  <c r="AG415" i="16"/>
  <c r="L415" i="21"/>
  <c r="O415" i="21" s="1"/>
  <c r="AG425" i="16"/>
  <c r="L425" i="21"/>
  <c r="O425" i="21" s="1"/>
  <c r="AG447" i="16"/>
  <c r="L447" i="21"/>
  <c r="O447" i="21" s="1"/>
  <c r="AG442" i="16"/>
  <c r="L442" i="21"/>
  <c r="O442" i="21" s="1"/>
  <c r="L416" i="21"/>
  <c r="O416" i="21" s="1"/>
  <c r="AG443" i="16"/>
  <c r="L443" i="21"/>
  <c r="O443" i="21" s="1"/>
  <c r="AG420" i="16"/>
  <c r="L420" i="21"/>
  <c r="O420" i="21" s="1"/>
  <c r="AG405" i="16"/>
  <c r="L405" i="21"/>
  <c r="O405" i="21" s="1"/>
  <c r="AG480" i="16"/>
  <c r="L480" i="21"/>
  <c r="O480" i="21" s="1"/>
  <c r="AG481" i="16"/>
  <c r="L493" i="21"/>
  <c r="O493" i="21" s="1"/>
  <c r="L485" i="21"/>
  <c r="L490" i="21"/>
  <c r="L482" i="21"/>
  <c r="O482" i="21" s="1"/>
  <c r="L487" i="21"/>
  <c r="O487" i="21" s="1"/>
  <c r="L488" i="21"/>
  <c r="L484" i="21"/>
  <c r="L481" i="21"/>
  <c r="O481" i="21" s="1"/>
  <c r="L491" i="21"/>
  <c r="L486" i="21"/>
  <c r="O486" i="21" s="1"/>
  <c r="L489" i="21"/>
  <c r="O489" i="21" s="1"/>
  <c r="L492" i="21"/>
  <c r="O492" i="21" s="1"/>
  <c r="L483" i="21"/>
  <c r="O483" i="21" s="1"/>
  <c r="AG459" i="16"/>
  <c r="L459" i="21"/>
  <c r="O459" i="21" s="1"/>
  <c r="AG226" i="16"/>
  <c r="L226" i="21"/>
  <c r="O226" i="21" s="1"/>
  <c r="AG263" i="16"/>
  <c r="L263" i="21"/>
  <c r="O263" i="21" s="1"/>
  <c r="AG234" i="16"/>
  <c r="L234" i="21"/>
  <c r="O234" i="21" s="1"/>
  <c r="AG259" i="16"/>
  <c r="L259" i="21"/>
  <c r="O259" i="21" s="1"/>
  <c r="AG253" i="16"/>
  <c r="L253" i="21"/>
  <c r="O253" i="21" s="1"/>
  <c r="AG495" i="16"/>
  <c r="L495" i="21"/>
  <c r="O495" i="21" s="1"/>
  <c r="AG222" i="16"/>
  <c r="L222" i="21"/>
  <c r="O222" i="21" s="1"/>
  <c r="AP5" i="16"/>
  <c r="AQ5" i="16" s="1"/>
  <c r="Y5" i="13"/>
  <c r="X45" i="13"/>
  <c r="Y5" i="12"/>
  <c r="X45" i="12"/>
  <c r="L10" i="21" l="1"/>
  <c r="O10" i="21" s="1"/>
  <c r="L296" i="21"/>
  <c r="O296" i="21" s="1"/>
  <c r="L401" i="21"/>
  <c r="O401" i="21" s="1"/>
  <c r="L428" i="21"/>
  <c r="O428" i="21" s="1"/>
  <c r="L410" i="21"/>
  <c r="O410" i="21" s="1"/>
  <c r="AG457" i="16"/>
  <c r="AG403" i="16"/>
  <c r="AC11" i="21" s="1"/>
  <c r="L223" i="21"/>
  <c r="O223" i="21" s="1"/>
  <c r="L295" i="21"/>
  <c r="O295" i="21" s="1"/>
  <c r="L455" i="21"/>
  <c r="O455" i="21" s="1"/>
  <c r="O490" i="21"/>
  <c r="L297" i="21"/>
  <c r="O297" i="21" s="1"/>
  <c r="L399" i="21"/>
  <c r="O399" i="21" s="1"/>
  <c r="L7" i="21"/>
  <c r="O7" i="21" s="1"/>
  <c r="L413" i="21"/>
  <c r="O413" i="21" s="1"/>
  <c r="L406" i="21"/>
  <c r="O406" i="21" s="1"/>
  <c r="O484" i="21"/>
  <c r="L278" i="21"/>
  <c r="O278" i="21" s="1"/>
  <c r="L310" i="21"/>
  <c r="O310" i="21" s="1"/>
  <c r="L279" i="21"/>
  <c r="O279" i="21" s="1"/>
  <c r="L280" i="21"/>
  <c r="O280" i="21" s="1"/>
  <c r="L304" i="21"/>
  <c r="O304" i="21" s="1"/>
  <c r="L287" i="21"/>
  <c r="O287" i="21" s="1"/>
  <c r="L314" i="21"/>
  <c r="O314" i="21" s="1"/>
  <c r="L267" i="21"/>
  <c r="O267" i="21" s="1"/>
  <c r="L300" i="21"/>
  <c r="O300" i="21" s="1"/>
  <c r="L266" i="21"/>
  <c r="O266" i="21" s="1"/>
  <c r="L315" i="21"/>
  <c r="O315" i="21" s="1"/>
  <c r="L292" i="21"/>
  <c r="O292" i="21" s="1"/>
  <c r="L307" i="21"/>
  <c r="O307" i="21" s="1"/>
  <c r="L289" i="21"/>
  <c r="O289" i="21" s="1"/>
  <c r="L270" i="21"/>
  <c r="O270" i="21" s="1"/>
  <c r="L302" i="21"/>
  <c r="O302" i="21" s="1"/>
  <c r="L269" i="21"/>
  <c r="O269" i="21" s="1"/>
  <c r="L272" i="21"/>
  <c r="O272" i="21" s="1"/>
  <c r="L271" i="21"/>
  <c r="O271" i="21" s="1"/>
  <c r="L299" i="21"/>
  <c r="O299" i="21" s="1"/>
  <c r="L288" i="21"/>
  <c r="O288" i="21" s="1"/>
  <c r="L293" i="21"/>
  <c r="O293" i="21" s="1"/>
  <c r="L274" i="21"/>
  <c r="O274" i="21" s="1"/>
  <c r="L306" i="21"/>
  <c r="O306" i="21" s="1"/>
  <c r="L282" i="21"/>
  <c r="O282" i="21" s="1"/>
  <c r="O491" i="21"/>
  <c r="L303" i="21"/>
  <c r="O303" i="21" s="1"/>
  <c r="L311" i="21"/>
  <c r="O311" i="21" s="1"/>
  <c r="L284" i="21"/>
  <c r="O284" i="21" s="1"/>
  <c r="L312" i="21"/>
  <c r="O312" i="21" s="1"/>
  <c r="L273" i="21"/>
  <c r="O273" i="21" s="1"/>
  <c r="L305" i="21"/>
  <c r="O305" i="21" s="1"/>
  <c r="L286" i="21"/>
  <c r="O286" i="21" s="1"/>
  <c r="AG303" i="16"/>
  <c r="AP4" i="16" s="1"/>
  <c r="AQ4" i="16" s="1"/>
  <c r="L276" i="21"/>
  <c r="O276" i="21" s="1"/>
  <c r="L291" i="21"/>
  <c r="O291" i="21" s="1"/>
  <c r="L268" i="21"/>
  <c r="O268" i="21" s="1"/>
  <c r="L277" i="21"/>
  <c r="O277" i="21" s="1"/>
  <c r="L309" i="21"/>
  <c r="O309" i="21" s="1"/>
  <c r="L290" i="21"/>
  <c r="O290" i="21" s="1"/>
  <c r="O488" i="21"/>
  <c r="L283" i="21"/>
  <c r="O283" i="21" s="1"/>
  <c r="L316" i="21"/>
  <c r="O316" i="21" s="1"/>
  <c r="L275" i="21"/>
  <c r="O275" i="21" s="1"/>
  <c r="L281" i="21"/>
  <c r="O281" i="21" s="1"/>
  <c r="L313" i="21"/>
  <c r="O313" i="21" s="1"/>
  <c r="L294" i="21"/>
  <c r="O294" i="21" s="1"/>
  <c r="L301" i="21"/>
  <c r="O301" i="21" s="1"/>
  <c r="L308" i="21"/>
  <c r="O308" i="21" s="1"/>
  <c r="L285" i="21"/>
  <c r="O285" i="21" s="1"/>
  <c r="O58" i="21"/>
  <c r="O485" i="21"/>
  <c r="M7" i="26"/>
  <c r="M13" i="26" s="1"/>
  <c r="K13" i="26"/>
  <c r="M9" i="26"/>
  <c r="K15" i="26"/>
  <c r="K14" i="26"/>
  <c r="AP6" i="16"/>
  <c r="AQ6" i="16" s="1"/>
  <c r="AP3" i="16"/>
  <c r="AQ3" i="16" s="1"/>
  <c r="AP7" i="16"/>
  <c r="AQ7" i="16" s="1"/>
  <c r="O395" i="21"/>
  <c r="O218" i="21"/>
  <c r="O2" i="21"/>
  <c r="T7" i="21"/>
  <c r="O26" i="21"/>
  <c r="W7" i="21" s="1"/>
  <c r="T10" i="21"/>
  <c r="O317" i="21"/>
  <c r="W10" i="21" s="1"/>
  <c r="AC7" i="21"/>
  <c r="T12" i="21"/>
  <c r="O494" i="21"/>
  <c r="W12" i="21" s="1"/>
  <c r="AC12" i="21"/>
  <c r="Y45" i="13"/>
  <c r="AB5" i="13"/>
  <c r="G5" i="28" s="1"/>
  <c r="Y45" i="12"/>
  <c r="AB5" i="12"/>
  <c r="AB45" i="12" s="1"/>
  <c r="T11" i="21" l="1"/>
  <c r="AC9" i="21"/>
  <c r="W9" i="21"/>
  <c r="T9" i="21"/>
  <c r="W11" i="21"/>
  <c r="Z11" i="21" s="1"/>
  <c r="AH11" i="21" s="1"/>
  <c r="M15" i="26"/>
  <c r="M14" i="26"/>
  <c r="AP9" i="16"/>
  <c r="AQ9" i="16" s="1"/>
  <c r="Z12" i="21"/>
  <c r="AH12" i="21" s="1"/>
  <c r="Z10" i="21"/>
  <c r="AH10" i="21" s="1"/>
  <c r="Z7" i="21"/>
  <c r="AH7" i="21" s="1"/>
  <c r="AB45" i="13"/>
  <c r="AA22" i="16"/>
  <c r="AA14" i="16"/>
  <c r="AA16" i="16"/>
  <c r="AA21" i="16"/>
  <c r="AA20" i="16"/>
  <c r="AA19" i="16"/>
  <c r="AA18" i="16"/>
  <c r="AA25" i="16"/>
  <c r="AA17" i="16"/>
  <c r="AA24" i="16"/>
  <c r="AA23" i="16"/>
  <c r="AA15" i="16"/>
  <c r="Z9" i="21" l="1"/>
  <c r="AH9" i="21" s="1"/>
  <c r="AG17" i="16"/>
  <c r="L17" i="21"/>
  <c r="O17" i="21" s="1"/>
  <c r="AG22" i="16"/>
  <c r="L22" i="21"/>
  <c r="O22" i="21" s="1"/>
  <c r="AG18" i="16"/>
  <c r="L18" i="21"/>
  <c r="O18" i="21" s="1"/>
  <c r="AG21" i="16"/>
  <c r="L21" i="21"/>
  <c r="O21" i="21" s="1"/>
  <c r="AG14" i="16"/>
  <c r="L14" i="21"/>
  <c r="AG25" i="16"/>
  <c r="L25" i="21"/>
  <c r="O25" i="21" s="1"/>
  <c r="AG19" i="16"/>
  <c r="L19" i="21"/>
  <c r="O19" i="21" s="1"/>
  <c r="AG15" i="16"/>
  <c r="L15" i="21"/>
  <c r="O15" i="21" s="1"/>
  <c r="AG24" i="16"/>
  <c r="L24" i="21"/>
  <c r="O24" i="21" s="1"/>
  <c r="AG20" i="16"/>
  <c r="L20" i="21"/>
  <c r="O20" i="21" s="1"/>
  <c r="AG23" i="16"/>
  <c r="L23" i="21"/>
  <c r="O23" i="21" s="1"/>
  <c r="AG16" i="16"/>
  <c r="L16" i="21"/>
  <c r="O16" i="21" s="1"/>
  <c r="AP2" i="16"/>
  <c r="AC5" i="21" l="1"/>
  <c r="O14" i="21"/>
  <c r="W5" i="21" s="1"/>
  <c r="T5" i="21"/>
  <c r="AP8" i="16"/>
  <c r="AQ2" i="16"/>
  <c r="Z5" i="21" l="1"/>
  <c r="AH5" i="21" s="1"/>
  <c r="AQ8" i="16"/>
  <c r="AP10" i="16"/>
  <c r="AQ10" i="16" s="1"/>
  <c r="J2" i="21" l="1"/>
  <c r="K2" i="21"/>
  <c r="M2" i="21"/>
  <c r="N2" i="21"/>
  <c r="J3" i="21"/>
  <c r="K3" i="21"/>
  <c r="M3" i="21"/>
  <c r="N3" i="21"/>
  <c r="J4" i="21"/>
  <c r="K4" i="21"/>
  <c r="M4" i="21"/>
  <c r="N4" i="21"/>
  <c r="J5" i="21"/>
  <c r="K5" i="21"/>
  <c r="M5" i="21"/>
  <c r="N5" i="21"/>
  <c r="R5" i="21"/>
  <c r="S5" i="21"/>
  <c r="U5" i="21"/>
  <c r="V5" i="21"/>
  <c r="X5" i="21"/>
  <c r="Y5" i="21"/>
  <c r="AA5" i="21"/>
  <c r="AB5" i="21"/>
  <c r="AF5" i="21"/>
  <c r="AG5" i="21"/>
  <c r="AI5" i="21"/>
  <c r="AJ5" i="21"/>
  <c r="J6" i="21"/>
  <c r="K6" i="21"/>
  <c r="M6" i="21"/>
  <c r="N6" i="21"/>
  <c r="J7" i="21"/>
  <c r="K7" i="21"/>
  <c r="M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J8" i="21"/>
  <c r="K8" i="21"/>
  <c r="M8" i="21"/>
  <c r="N8" i="21"/>
  <c r="J9" i="21"/>
  <c r="K9" i="21"/>
  <c r="M9" i="21"/>
  <c r="N9" i="21"/>
  <c r="S9" i="21"/>
  <c r="V9" i="21"/>
  <c r="Y9" i="21"/>
  <c r="AB9" i="21"/>
  <c r="AE9" i="21"/>
  <c r="AG9" i="21"/>
  <c r="AJ9" i="21"/>
  <c r="J10" i="21"/>
  <c r="K10" i="21"/>
  <c r="M10" i="21"/>
  <c r="N10" i="21"/>
  <c r="S10" i="21"/>
  <c r="V10" i="21"/>
  <c r="Y10" i="21"/>
  <c r="AB10" i="21"/>
  <c r="AE10" i="21"/>
  <c r="AG10" i="21"/>
  <c r="AJ10" i="21"/>
  <c r="J11" i="21"/>
  <c r="K11" i="21"/>
  <c r="M11" i="21"/>
  <c r="N11" i="21"/>
  <c r="S11" i="21"/>
  <c r="V11" i="21"/>
  <c r="Y11" i="21"/>
  <c r="AB11" i="21"/>
  <c r="AE11" i="21"/>
  <c r="AG11" i="21"/>
  <c r="AJ11" i="21"/>
  <c r="J12" i="21"/>
  <c r="K12" i="21"/>
  <c r="M12" i="21"/>
  <c r="N12" i="21"/>
  <c r="S12" i="21"/>
  <c r="V12" i="21"/>
  <c r="Y12" i="21"/>
  <c r="AB12" i="21"/>
  <c r="AG12" i="21"/>
  <c r="AJ12" i="21"/>
  <c r="J13" i="21"/>
  <c r="K13" i="21"/>
  <c r="M13" i="21"/>
  <c r="N13" i="21"/>
  <c r="J14" i="21"/>
  <c r="K14" i="21"/>
  <c r="M14" i="21"/>
  <c r="N14" i="21"/>
  <c r="J15" i="21"/>
  <c r="K15" i="21"/>
  <c r="M15" i="21"/>
  <c r="N15" i="21"/>
  <c r="J16" i="21"/>
  <c r="K16" i="21"/>
  <c r="M16" i="21"/>
  <c r="N16" i="21"/>
  <c r="J17" i="21"/>
  <c r="K17" i="21"/>
  <c r="M17" i="21"/>
  <c r="N17" i="21"/>
  <c r="J18" i="21"/>
  <c r="K18" i="21"/>
  <c r="M18" i="21"/>
  <c r="N18" i="21"/>
  <c r="J19" i="21"/>
  <c r="K19" i="21"/>
  <c r="M19" i="21"/>
  <c r="N19" i="21"/>
  <c r="J20" i="21"/>
  <c r="K20" i="21"/>
  <c r="M20" i="21"/>
  <c r="N20" i="21"/>
  <c r="J21" i="21"/>
  <c r="K21" i="21"/>
  <c r="M21" i="21"/>
  <c r="N21" i="21"/>
  <c r="J22" i="21"/>
  <c r="K22" i="21"/>
  <c r="M22" i="21"/>
  <c r="N22" i="21"/>
  <c r="J23" i="21"/>
  <c r="K23" i="21"/>
  <c r="M23" i="21"/>
  <c r="N23" i="21"/>
  <c r="J24" i="21"/>
  <c r="K24" i="21"/>
  <c r="M24" i="21"/>
  <c r="N24" i="21"/>
  <c r="J25" i="21"/>
  <c r="K25" i="21"/>
  <c r="M25" i="21"/>
  <c r="N25" i="21"/>
  <c r="J26" i="21"/>
  <c r="K26" i="21"/>
  <c r="M26" i="21"/>
  <c r="N26" i="21"/>
  <c r="J27" i="21"/>
  <c r="K27" i="21"/>
  <c r="M27" i="21"/>
  <c r="N27" i="21"/>
  <c r="J28" i="21"/>
  <c r="K28" i="21"/>
  <c r="M28" i="21"/>
  <c r="N28" i="21"/>
  <c r="J29" i="21"/>
  <c r="K29" i="21"/>
  <c r="M29" i="21"/>
  <c r="N29" i="21"/>
  <c r="J30" i="21"/>
  <c r="K30" i="21"/>
  <c r="M30" i="21"/>
  <c r="N30" i="21"/>
  <c r="J31" i="21"/>
  <c r="K31" i="21"/>
  <c r="M31" i="21"/>
  <c r="N31" i="21"/>
  <c r="J32" i="21"/>
  <c r="K32" i="21"/>
  <c r="M32" i="21"/>
  <c r="N32" i="21"/>
  <c r="J33" i="21"/>
  <c r="K33" i="21"/>
  <c r="M33" i="21"/>
  <c r="N33" i="21"/>
  <c r="J34" i="21"/>
  <c r="K34" i="21"/>
  <c r="M34" i="21"/>
  <c r="N34" i="21"/>
  <c r="J35" i="21"/>
  <c r="K35" i="21"/>
  <c r="M35" i="21"/>
  <c r="N35" i="21"/>
  <c r="J36" i="21"/>
  <c r="K36" i="21"/>
  <c r="M36" i="21"/>
  <c r="N36" i="21"/>
  <c r="J37" i="21"/>
  <c r="K37" i="21"/>
  <c r="M37" i="21"/>
  <c r="N37" i="21"/>
  <c r="J38" i="21"/>
  <c r="K38" i="21"/>
  <c r="M38" i="21"/>
  <c r="N38" i="21"/>
  <c r="J39" i="21"/>
  <c r="K39" i="21"/>
  <c r="M39" i="21"/>
  <c r="N39" i="21"/>
  <c r="J40" i="21"/>
  <c r="K40" i="21"/>
  <c r="M40" i="21"/>
  <c r="N40" i="21"/>
  <c r="J41" i="21"/>
  <c r="K41" i="21"/>
  <c r="M41" i="21"/>
  <c r="N41" i="21"/>
  <c r="J42" i="21"/>
  <c r="K42" i="21"/>
  <c r="M42" i="21"/>
  <c r="N42" i="21"/>
  <c r="J43" i="21"/>
  <c r="K43" i="21"/>
  <c r="M43" i="21"/>
  <c r="N43" i="21"/>
  <c r="J44" i="21"/>
  <c r="K44" i="21"/>
  <c r="M44" i="21"/>
  <c r="N44" i="21"/>
  <c r="J45" i="21"/>
  <c r="K45" i="21"/>
  <c r="M45" i="21"/>
  <c r="N45" i="21"/>
  <c r="J46" i="21"/>
  <c r="K46" i="21"/>
  <c r="M46" i="21"/>
  <c r="N46" i="21"/>
  <c r="J47" i="21"/>
  <c r="K47" i="21"/>
  <c r="M47" i="21"/>
  <c r="N47" i="21"/>
  <c r="J48" i="21"/>
  <c r="K48" i="21"/>
  <c r="M48" i="21"/>
  <c r="N48" i="21"/>
  <c r="J49" i="21"/>
  <c r="K49" i="21"/>
  <c r="M49" i="21"/>
  <c r="N49" i="21"/>
  <c r="J50" i="21"/>
  <c r="K50" i="21"/>
  <c r="M50" i="21"/>
  <c r="N50" i="21"/>
  <c r="J51" i="21"/>
  <c r="K51" i="21"/>
  <c r="M51" i="21"/>
  <c r="N51" i="21"/>
  <c r="J52" i="21"/>
  <c r="K52" i="21"/>
  <c r="M52" i="21"/>
  <c r="N52" i="21"/>
  <c r="J53" i="21"/>
  <c r="K53" i="21"/>
  <c r="M53" i="21"/>
  <c r="N53" i="21"/>
  <c r="J54" i="21"/>
  <c r="K54" i="21"/>
  <c r="M54" i="21"/>
  <c r="N54" i="21"/>
  <c r="J55" i="21"/>
  <c r="K55" i="21"/>
  <c r="M55" i="21"/>
  <c r="N55" i="21"/>
  <c r="J56" i="21"/>
  <c r="K56" i="21"/>
  <c r="M56" i="21"/>
  <c r="N56" i="21"/>
  <c r="J57" i="21"/>
  <c r="K57" i="21"/>
  <c r="M57" i="21"/>
  <c r="N57" i="21"/>
  <c r="J58" i="21"/>
  <c r="K58" i="21"/>
  <c r="M58" i="21"/>
  <c r="N58" i="21"/>
  <c r="J59" i="21"/>
  <c r="K59" i="21"/>
  <c r="M59" i="21"/>
  <c r="N59" i="21"/>
  <c r="J60" i="21"/>
  <c r="K60" i="21"/>
  <c r="M60" i="21"/>
  <c r="N60" i="21"/>
  <c r="J61" i="21"/>
  <c r="K61" i="21"/>
  <c r="M61" i="21"/>
  <c r="N61" i="21"/>
  <c r="J62" i="21"/>
  <c r="K62" i="21"/>
  <c r="M62" i="21"/>
  <c r="N62" i="21"/>
  <c r="J63" i="21"/>
  <c r="K63" i="21"/>
  <c r="M63" i="21"/>
  <c r="N63" i="21"/>
  <c r="J64" i="21"/>
  <c r="K64" i="21"/>
  <c r="M64" i="21"/>
  <c r="N64" i="21"/>
  <c r="J65" i="21"/>
  <c r="K65" i="21"/>
  <c r="M65" i="21"/>
  <c r="N65" i="21"/>
  <c r="J66" i="21"/>
  <c r="K66" i="21"/>
  <c r="M66" i="21"/>
  <c r="N66" i="21"/>
  <c r="J67" i="21"/>
  <c r="K67" i="21"/>
  <c r="M67" i="21"/>
  <c r="N67" i="21"/>
  <c r="J68" i="21"/>
  <c r="K68" i="21"/>
  <c r="M68" i="21"/>
  <c r="N68" i="21"/>
  <c r="J69" i="21"/>
  <c r="K69" i="21"/>
  <c r="M69" i="21"/>
  <c r="N69" i="21"/>
  <c r="J70" i="21"/>
  <c r="K70" i="21"/>
  <c r="M70" i="21"/>
  <c r="N70" i="21"/>
  <c r="J71" i="21"/>
  <c r="K71" i="21"/>
  <c r="M71" i="21"/>
  <c r="N71" i="21"/>
  <c r="J72" i="21"/>
  <c r="K72" i="21"/>
  <c r="M72" i="21"/>
  <c r="N72" i="21"/>
  <c r="J73" i="21"/>
  <c r="K73" i="21"/>
  <c r="M73" i="21"/>
  <c r="N73" i="21"/>
  <c r="K74" i="21"/>
  <c r="N74" i="21"/>
  <c r="K75" i="21"/>
  <c r="N75" i="21"/>
  <c r="K76" i="21"/>
  <c r="N76" i="21"/>
  <c r="K77" i="21"/>
  <c r="N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J86" i="21"/>
  <c r="M86" i="21"/>
  <c r="J87" i="21"/>
  <c r="M87" i="21"/>
  <c r="J88" i="21"/>
  <c r="M88" i="21"/>
  <c r="J89" i="21"/>
  <c r="M89" i="21"/>
  <c r="J90" i="21"/>
  <c r="M90" i="21"/>
  <c r="J91" i="21"/>
  <c r="M91" i="21"/>
  <c r="J92" i="21"/>
  <c r="M92" i="21"/>
  <c r="J93" i="21"/>
  <c r="M93" i="21"/>
  <c r="J94" i="21"/>
  <c r="M94" i="21"/>
  <c r="J95" i="21"/>
  <c r="M95" i="21"/>
  <c r="J96" i="21"/>
  <c r="M96" i="21"/>
  <c r="J97" i="21"/>
  <c r="M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J122" i="21"/>
  <c r="M122" i="21"/>
  <c r="J123" i="21"/>
  <c r="M123" i="21"/>
  <c r="J124" i="21"/>
  <c r="M124" i="21"/>
  <c r="J125" i="21"/>
  <c r="M125" i="21"/>
  <c r="J126" i="21"/>
  <c r="M126" i="21"/>
  <c r="J127" i="21"/>
  <c r="M127" i="21"/>
  <c r="J128" i="21"/>
  <c r="M128" i="21"/>
  <c r="J129" i="21"/>
  <c r="M129" i="21"/>
  <c r="J130" i="21"/>
  <c r="M130" i="21"/>
  <c r="J131" i="21"/>
  <c r="M131" i="21"/>
  <c r="J132" i="21"/>
  <c r="M132" i="21"/>
  <c r="J133" i="21"/>
  <c r="M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J158" i="21"/>
  <c r="M158" i="21"/>
  <c r="J159" i="21"/>
  <c r="M159" i="21"/>
  <c r="J160" i="21"/>
  <c r="M160" i="21"/>
  <c r="J161" i="21"/>
  <c r="M161" i="21"/>
  <c r="J162" i="21"/>
  <c r="M162" i="21"/>
  <c r="J163" i="21"/>
  <c r="M163" i="21"/>
  <c r="J164" i="21"/>
  <c r="M164" i="21"/>
  <c r="J165" i="21"/>
  <c r="M165" i="21"/>
  <c r="J166" i="21"/>
  <c r="M166" i="21"/>
  <c r="J167" i="21"/>
  <c r="M167" i="21"/>
  <c r="J168" i="21"/>
  <c r="M168" i="21"/>
  <c r="J169" i="21"/>
  <c r="M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J194" i="21"/>
  <c r="M194" i="21"/>
  <c r="J195" i="21"/>
  <c r="M195" i="21"/>
  <c r="J196" i="21"/>
  <c r="M196" i="21"/>
  <c r="J197" i="21"/>
  <c r="M197" i="21"/>
  <c r="J198" i="21"/>
  <c r="M198" i="21"/>
  <c r="J199" i="21"/>
  <c r="M199" i="21"/>
  <c r="J200" i="21"/>
  <c r="M200" i="21"/>
  <c r="J201" i="21"/>
  <c r="M201" i="21"/>
  <c r="J202" i="21"/>
  <c r="M202" i="21"/>
  <c r="J203" i="21"/>
  <c r="M203" i="21"/>
  <c r="J204" i="21"/>
  <c r="M204" i="21"/>
  <c r="J205" i="21"/>
  <c r="M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D48" i="5"/>
  <c r="E48" i="5"/>
  <c r="F48" i="5"/>
  <c r="D49" i="5"/>
  <c r="E49" i="5"/>
  <c r="F49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AK10" i="16"/>
  <c r="AL10" i="16"/>
  <c r="AU10" i="16"/>
  <c r="AV10" i="16"/>
  <c r="Y11" i="16"/>
  <c r="Z11" i="16"/>
  <c r="AE11" i="16"/>
  <c r="AF11" i="16"/>
  <c r="Y12" i="16"/>
  <c r="Z12" i="16"/>
  <c r="AE12" i="16"/>
  <c r="AF12" i="16"/>
  <c r="Y13" i="16"/>
  <c r="Z13" i="16"/>
  <c r="AE13" i="16"/>
  <c r="AF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Y26" i="16"/>
  <c r="Z26" i="16"/>
  <c r="AE26" i="16"/>
  <c r="AF26" i="16"/>
  <c r="Y27" i="16"/>
  <c r="Z27" i="16"/>
  <c r="AE27" i="16"/>
  <c r="AF27" i="16"/>
  <c r="Y28" i="16"/>
  <c r="Z28" i="16"/>
  <c r="AE28" i="16"/>
  <c r="AF28" i="16"/>
  <c r="Y29" i="16"/>
  <c r="Z29" i="16"/>
  <c r="AE29" i="16"/>
  <c r="AF29" i="16"/>
  <c r="Y30" i="16"/>
  <c r="Z30" i="16"/>
  <c r="AE30" i="16"/>
  <c r="AF30" i="16"/>
  <c r="Y31" i="16"/>
  <c r="Z31" i="16"/>
  <c r="AE31" i="16"/>
  <c r="AF31" i="16"/>
  <c r="Y32" i="16"/>
  <c r="Z32" i="16"/>
  <c r="AE32" i="16"/>
  <c r="AF32" i="16"/>
  <c r="Y33" i="16"/>
  <c r="Z33" i="16"/>
  <c r="AE33" i="16"/>
  <c r="AF33" i="16"/>
  <c r="Y34" i="16"/>
  <c r="Z34" i="16"/>
  <c r="AE34" i="16"/>
  <c r="AF34" i="16"/>
  <c r="Y35" i="16"/>
  <c r="Z35" i="16"/>
  <c r="AE35" i="16"/>
  <c r="AF35" i="16"/>
  <c r="Y36" i="16"/>
  <c r="Z36" i="16"/>
  <c r="AE36" i="16"/>
  <c r="AF36" i="16"/>
  <c r="Y37" i="16"/>
  <c r="Z37" i="16"/>
  <c r="AE37" i="16"/>
  <c r="AF37" i="16"/>
  <c r="Y38" i="16"/>
  <c r="Z38" i="16"/>
  <c r="AE38" i="16"/>
  <c r="AF38" i="16"/>
  <c r="Y39" i="16"/>
  <c r="Z39" i="16"/>
  <c r="AE39" i="16"/>
  <c r="AF39" i="16"/>
  <c r="Y40" i="16"/>
  <c r="Z40" i="16"/>
  <c r="AE40" i="16"/>
  <c r="AF40" i="16"/>
  <c r="Y41" i="16"/>
  <c r="Z41" i="16"/>
  <c r="AE41" i="16"/>
  <c r="AF41" i="16"/>
  <c r="Y42" i="16"/>
  <c r="Z42" i="16"/>
  <c r="AE42" i="16"/>
  <c r="AF42" i="16"/>
  <c r="Y43" i="16"/>
  <c r="Z43" i="16"/>
  <c r="AE43" i="16"/>
  <c r="AF43" i="16"/>
  <c r="Y44" i="16"/>
  <c r="Z44" i="16"/>
  <c r="AE44" i="16"/>
  <c r="AF44" i="16"/>
  <c r="Y45" i="16"/>
  <c r="Z45" i="16"/>
  <c r="AE45" i="16"/>
  <c r="AF45" i="16"/>
  <c r="Y46" i="16"/>
  <c r="Z46" i="16"/>
  <c r="AE46" i="16"/>
  <c r="AF46" i="16"/>
  <c r="Y47" i="16"/>
  <c r="Z47" i="16"/>
  <c r="AE47" i="16"/>
  <c r="AF47" i="16"/>
  <c r="Y48" i="16"/>
  <c r="Z48" i="16"/>
  <c r="AE48" i="16"/>
  <c r="AF48" i="16"/>
  <c r="Y49" i="16"/>
  <c r="Z49" i="16"/>
  <c r="AE49" i="16"/>
  <c r="AF49" i="16"/>
  <c r="Y50" i="16"/>
  <c r="Z50" i="16"/>
  <c r="AE50" i="16"/>
  <c r="AF50" i="16"/>
  <c r="Y51" i="16"/>
  <c r="Z51" i="16"/>
  <c r="AE51" i="16"/>
  <c r="AF51" i="16"/>
  <c r="Y52" i="16"/>
  <c r="Z52" i="16"/>
  <c r="AE52" i="16"/>
  <c r="AF52" i="16"/>
  <c r="Y53" i="16"/>
  <c r="Z53" i="16"/>
  <c r="AE53" i="16"/>
  <c r="AF53" i="16"/>
  <c r="Y54" i="16"/>
  <c r="Z54" i="16"/>
  <c r="AE54" i="16"/>
  <c r="AF54" i="16"/>
  <c r="Y55" i="16"/>
  <c r="Z55" i="16"/>
  <c r="AE55" i="16"/>
  <c r="AF55" i="16"/>
  <c r="Y56" i="16"/>
  <c r="Z56" i="16"/>
  <c r="AE56" i="16"/>
  <c r="AF56" i="16"/>
  <c r="Y57" i="16"/>
  <c r="Z57" i="16"/>
  <c r="AE57" i="16"/>
  <c r="AF57" i="16"/>
  <c r="Y58" i="16"/>
  <c r="Z58" i="16"/>
  <c r="AE58" i="16"/>
  <c r="AF58" i="16"/>
  <c r="Y59" i="16"/>
  <c r="Z59" i="16"/>
  <c r="AE59" i="16"/>
  <c r="AF59" i="16"/>
  <c r="Y60" i="16"/>
  <c r="Z60" i="16"/>
  <c r="AE60" i="16"/>
  <c r="AF60" i="16"/>
  <c r="Y61" i="16"/>
  <c r="Z61" i="16"/>
  <c r="AE61" i="16"/>
  <c r="AF61" i="16"/>
  <c r="Y62" i="16"/>
  <c r="Z62" i="16"/>
  <c r="AE62" i="16"/>
  <c r="AF62" i="16"/>
  <c r="Y63" i="16"/>
  <c r="Z63" i="16"/>
  <c r="AE63" i="16"/>
  <c r="AF63" i="16"/>
  <c r="Y64" i="16"/>
  <c r="Z64" i="16"/>
  <c r="AE64" i="16"/>
  <c r="AF64" i="16"/>
  <c r="Y65" i="16"/>
  <c r="Z65" i="16"/>
  <c r="AE65" i="16"/>
  <c r="AF65" i="16"/>
  <c r="Y66" i="16"/>
  <c r="Z66" i="16"/>
  <c r="AE66" i="16"/>
  <c r="AF66" i="16"/>
  <c r="Y67" i="16"/>
  <c r="Z67" i="16"/>
  <c r="AE67" i="16"/>
  <c r="AF67" i="16"/>
  <c r="Y68" i="16"/>
  <c r="Z68" i="16"/>
  <c r="AE68" i="16"/>
  <c r="AF68" i="16"/>
  <c r="Y69" i="16"/>
  <c r="Z69" i="16"/>
  <c r="AE69" i="16"/>
  <c r="AF69" i="16"/>
  <c r="Y70" i="16"/>
  <c r="Z70" i="16"/>
  <c r="AE70" i="16"/>
  <c r="AF70" i="16"/>
  <c r="Y71" i="16"/>
  <c r="Z71" i="16"/>
  <c r="AE71" i="16"/>
  <c r="AF71" i="16"/>
  <c r="Y72" i="16"/>
  <c r="Z72" i="16"/>
  <c r="AE72" i="16"/>
  <c r="AF72" i="16"/>
  <c r="Y73" i="16"/>
  <c r="Z73" i="16"/>
  <c r="AE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Y86" i="16"/>
  <c r="AE86" i="16"/>
  <c r="Y87" i="16"/>
  <c r="AE87" i="16"/>
  <c r="Y88" i="16"/>
  <c r="AE88" i="16"/>
  <c r="Y89" i="16"/>
  <c r="AE89" i="16"/>
  <c r="Y90" i="16"/>
  <c r="AE90" i="16"/>
  <c r="Y91" i="16"/>
  <c r="AE91" i="16"/>
  <c r="Y92" i="16"/>
  <c r="AE92" i="16"/>
  <c r="Y93" i="16"/>
  <c r="AE93" i="16"/>
  <c r="Y94" i="16"/>
  <c r="AE94" i="16"/>
  <c r="Y95" i="16"/>
  <c r="AE95" i="16"/>
  <c r="Y96" i="16"/>
  <c r="AE96" i="16"/>
  <c r="Y97" i="16"/>
  <c r="AE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Y122" i="16"/>
  <c r="AE122" i="16"/>
  <c r="Y123" i="16"/>
  <c r="AE123" i="16"/>
  <c r="Y124" i="16"/>
  <c r="AE124" i="16"/>
  <c r="Y125" i="16"/>
  <c r="AE125" i="16"/>
  <c r="Y126" i="16"/>
  <c r="AE126" i="16"/>
  <c r="Y127" i="16"/>
  <c r="AE127" i="16"/>
  <c r="Y128" i="16"/>
  <c r="AE128" i="16"/>
  <c r="Y129" i="16"/>
  <c r="AE129" i="16"/>
  <c r="Y130" i="16"/>
  <c r="AE130" i="16"/>
  <c r="Y131" i="16"/>
  <c r="AE131" i="16"/>
  <c r="Y132" i="16"/>
  <c r="AE132" i="16"/>
  <c r="Y133" i="16"/>
  <c r="AE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Y158" i="16"/>
  <c r="AE158" i="16"/>
  <c r="Y159" i="16"/>
  <c r="AE159" i="16"/>
  <c r="Y160" i="16"/>
  <c r="AE160" i="16"/>
  <c r="Y161" i="16"/>
  <c r="AE161" i="16"/>
  <c r="Y162" i="16"/>
  <c r="AE162" i="16"/>
  <c r="Y163" i="16"/>
  <c r="AE163" i="16"/>
  <c r="Y164" i="16"/>
  <c r="AE164" i="16"/>
  <c r="Y165" i="16"/>
  <c r="AE165" i="16"/>
  <c r="Y166" i="16"/>
  <c r="AE166" i="16"/>
  <c r="Y167" i="16"/>
  <c r="AE167" i="16"/>
  <c r="Y168" i="16"/>
  <c r="AE168" i="16"/>
  <c r="Y169" i="16"/>
  <c r="AE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Y194" i="16"/>
  <c r="AE194" i="16"/>
  <c r="Y195" i="16"/>
  <c r="AE195" i="16"/>
  <c r="Y196" i="16"/>
  <c r="AE196" i="16"/>
  <c r="Y197" i="16"/>
  <c r="AE197" i="16"/>
  <c r="Y198" i="16"/>
  <c r="AE198" i="16"/>
  <c r="Y199" i="16"/>
  <c r="AE199" i="16"/>
  <c r="Y200" i="16"/>
  <c r="AE200" i="16"/>
  <c r="Y201" i="16"/>
  <c r="AE201" i="16"/>
  <c r="Y202" i="16"/>
  <c r="AE202" i="16"/>
  <c r="Y203" i="16"/>
  <c r="AE203" i="16"/>
  <c r="Y204" i="16"/>
  <c r="AE204" i="16"/>
  <c r="Y205" i="16"/>
  <c r="AE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Y2" i="17"/>
  <c r="Z2" i="17"/>
  <c r="AD2" i="17"/>
  <c r="AE2" i="17"/>
  <c r="Y3" i="17"/>
  <c r="Z3" i="17"/>
  <c r="AD3" i="17"/>
  <c r="AE3" i="17"/>
  <c r="Y4" i="17"/>
  <c r="Z4" i="17"/>
  <c r="AD4" i="17"/>
  <c r="AE4" i="17"/>
  <c r="Y5" i="17"/>
  <c r="Z5" i="17"/>
  <c r="AD5" i="17"/>
  <c r="AE5" i="17"/>
  <c r="AJ5" i="17"/>
  <c r="Y6" i="17"/>
  <c r="Z6" i="17"/>
  <c r="AD6" i="17"/>
  <c r="AE6" i="17"/>
  <c r="AJ6" i="17"/>
  <c r="Y7" i="17"/>
  <c r="Z7" i="17"/>
  <c r="AD7" i="17"/>
  <c r="AE7" i="17"/>
  <c r="AJ7" i="17"/>
  <c r="Y8" i="17"/>
  <c r="Z8" i="17"/>
  <c r="AD8" i="17"/>
  <c r="AE8" i="17"/>
  <c r="AJ8" i="17"/>
  <c r="Y9" i="17"/>
  <c r="Z9" i="17"/>
  <c r="AD9" i="17"/>
  <c r="AE9" i="17"/>
  <c r="Y10" i="17"/>
  <c r="Z10" i="17"/>
  <c r="AD10" i="17"/>
  <c r="AE10" i="17"/>
  <c r="Y11" i="17"/>
  <c r="Z11" i="17"/>
  <c r="AD11" i="17"/>
  <c r="AE11" i="17"/>
  <c r="Y12" i="17"/>
  <c r="Z12" i="17"/>
  <c r="AD12" i="17"/>
  <c r="AE12" i="17"/>
  <c r="Y13" i="17"/>
  <c r="Z13" i="17"/>
  <c r="AD13" i="17"/>
  <c r="AE13" i="17"/>
  <c r="Y14" i="17"/>
  <c r="Z14" i="17"/>
  <c r="AD14" i="17"/>
  <c r="AE14" i="17"/>
  <c r="Y15" i="17"/>
  <c r="Z15" i="17"/>
  <c r="AD15" i="17"/>
  <c r="AE15" i="17"/>
  <c r="Y16" i="17"/>
  <c r="Z16" i="17"/>
  <c r="AD16" i="17"/>
  <c r="AE16" i="17"/>
  <c r="Y17" i="17"/>
  <c r="Z17" i="17"/>
  <c r="AD17" i="17"/>
  <c r="AE17" i="17"/>
  <c r="Y18" i="17"/>
  <c r="Z18" i="17"/>
  <c r="AD18" i="17"/>
  <c r="AE18" i="17"/>
  <c r="Y19" i="17"/>
  <c r="Z19" i="17"/>
  <c r="AD19" i="17"/>
  <c r="AE19" i="17"/>
  <c r="Y20" i="17"/>
  <c r="Z20" i="17"/>
  <c r="AD20" i="17"/>
  <c r="AE20" i="17"/>
  <c r="Y21" i="17"/>
  <c r="Z21" i="17"/>
  <c r="AD21" i="17"/>
  <c r="AE21" i="17"/>
  <c r="Y22" i="17"/>
  <c r="Z22" i="17"/>
  <c r="AD22" i="17"/>
  <c r="AE22" i="17"/>
  <c r="Y23" i="17"/>
  <c r="Z23" i="17"/>
  <c r="AD23" i="17"/>
  <c r="AE23" i="17"/>
  <c r="Y24" i="17"/>
  <c r="Z24" i="17"/>
  <c r="AD24" i="17"/>
  <c r="AE24" i="17"/>
  <c r="Y25" i="17"/>
  <c r="Z25" i="17"/>
  <c r="AD25" i="17"/>
  <c r="AE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F9" i="28"/>
  <c r="H9" i="28"/>
  <c r="I9" i="28"/>
  <c r="R9" i="28"/>
  <c r="U9" i="28"/>
  <c r="E10" i="28"/>
  <c r="F10" i="28"/>
  <c r="H10" i="28"/>
  <c r="I10" i="28"/>
  <c r="R10" i="28"/>
  <c r="U10" i="28"/>
  <c r="E11" i="28"/>
  <c r="F11" i="28"/>
  <c r="H11" i="28"/>
  <c r="I11" i="28"/>
  <c r="R11" i="28"/>
  <c r="U11" i="28"/>
  <c r="E12" i="28"/>
  <c r="F12" i="28"/>
  <c r="H12" i="28"/>
  <c r="I12" i="28"/>
  <c r="R12" i="28"/>
  <c r="U12" i="28"/>
  <c r="E13" i="28"/>
  <c r="H13" i="28"/>
  <c r="R13" i="28"/>
  <c r="U13" i="28"/>
  <c r="F14" i="28"/>
  <c r="I14" i="28"/>
  <c r="R14" i="28"/>
  <c r="U14" i="28"/>
  <c r="F15" i="28"/>
  <c r="I15" i="28"/>
  <c r="R15" i="28"/>
  <c r="U15" i="28"/>
  <c r="E16" i="28"/>
  <c r="H16" i="28"/>
  <c r="R16" i="28"/>
  <c r="U16" i="28"/>
  <c r="F17" i="28"/>
  <c r="I17" i="28"/>
  <c r="R17" i="28"/>
  <c r="U17" i="28"/>
  <c r="F18" i="28"/>
  <c r="I18" i="28"/>
  <c r="R18" i="28"/>
  <c r="U18" i="28"/>
  <c r="E19" i="28"/>
  <c r="H19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5" i="6"/>
  <c r="AJ15" i="6"/>
  <c r="AK15" i="6"/>
  <c r="N16" i="6"/>
  <c r="AJ16" i="6"/>
  <c r="AK16" i="6"/>
  <c r="N17" i="6"/>
  <c r="AJ17" i="6"/>
  <c r="AK17" i="6"/>
  <c r="N18" i="6"/>
  <c r="AJ18" i="6"/>
  <c r="AK18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2" i="6"/>
  <c r="AJ52" i="6"/>
  <c r="AK52" i="6"/>
  <c r="N53" i="6"/>
  <c r="AJ53" i="6"/>
  <c r="AK53" i="6"/>
  <c r="N54" i="6"/>
  <c r="AJ54" i="6"/>
  <c r="AK54" i="6"/>
  <c r="N55" i="6"/>
  <c r="AJ55" i="6"/>
  <c r="AK55" i="6"/>
  <c r="N59" i="6"/>
  <c r="AJ59" i="6"/>
  <c r="AK59" i="6"/>
  <c r="N64" i="6"/>
  <c r="AJ64" i="6"/>
  <c r="AK64" i="6"/>
  <c r="L67" i="6"/>
  <c r="N67" i="6"/>
  <c r="L68" i="6"/>
  <c r="N68" i="6"/>
  <c r="L69" i="6"/>
  <c r="N69" i="6"/>
  <c r="N70" i="6"/>
  <c r="L71" i="6"/>
  <c r="L72" i="6"/>
  <c r="L73" i="6"/>
  <c r="L74" i="6"/>
  <c r="L75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2" i="23"/>
  <c r="AB52" i="23"/>
  <c r="AC52" i="23"/>
  <c r="AF52" i="23"/>
  <c r="AG52" i="23"/>
  <c r="N53" i="23"/>
  <c r="AB53" i="23"/>
  <c r="AC53" i="23"/>
  <c r="AF53" i="23"/>
  <c r="AG53" i="23"/>
  <c r="N54" i="23"/>
  <c r="AB54" i="23"/>
  <c r="AC54" i="23"/>
  <c r="AF54" i="23"/>
  <c r="AG54" i="23"/>
  <c r="N55" i="23"/>
  <c r="AB55" i="23"/>
  <c r="AC55" i="23"/>
  <c r="AF55" i="23"/>
  <c r="AG55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104" i="23"/>
  <c r="AB104" i="23"/>
  <c r="AC104" i="23"/>
  <c r="AF104" i="23"/>
  <c r="AG104" i="23"/>
  <c r="N105" i="23"/>
  <c r="AB105" i="23"/>
  <c r="AC105" i="23"/>
  <c r="AF105" i="23"/>
  <c r="AG105" i="23"/>
  <c r="N106" i="23"/>
  <c r="AB106" i="23"/>
  <c r="AC106" i="23"/>
  <c r="AF106" i="23"/>
  <c r="AG106" i="23"/>
  <c r="N107" i="23"/>
  <c r="AB107" i="23"/>
  <c r="AC107" i="23"/>
  <c r="AF107" i="23"/>
  <c r="AG107" i="23"/>
  <c r="N108" i="23"/>
  <c r="AB108" i="23"/>
  <c r="AC108" i="23"/>
  <c r="AF108" i="23"/>
  <c r="AG108" i="23"/>
  <c r="N109" i="23"/>
  <c r="AB109" i="23"/>
  <c r="AC109" i="23"/>
  <c r="AF109" i="23"/>
  <c r="AG109" i="23"/>
  <c r="N110" i="23"/>
  <c r="AB110" i="23"/>
  <c r="AC110" i="23"/>
  <c r="AF110" i="23"/>
  <c r="AG110" i="23"/>
  <c r="N111" i="23"/>
  <c r="AB111" i="23"/>
  <c r="AC111" i="23"/>
  <c r="AF111" i="23"/>
  <c r="AG111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2" i="7"/>
  <c r="T52" i="7"/>
  <c r="AJ52" i="7"/>
  <c r="AK52" i="7"/>
  <c r="AL52" i="7"/>
  <c r="AM52" i="7"/>
  <c r="N53" i="7"/>
  <c r="T53" i="7"/>
  <c r="AJ53" i="7"/>
  <c r="AK53" i="7"/>
  <c r="AL53" i="7"/>
  <c r="AM53" i="7"/>
  <c r="N54" i="7"/>
  <c r="T54" i="7"/>
  <c r="AJ54" i="7"/>
  <c r="AK54" i="7"/>
  <c r="AL54" i="7"/>
  <c r="AM54" i="7"/>
  <c r="N55" i="7"/>
  <c r="T55" i="7"/>
  <c r="AJ55" i="7"/>
  <c r="AK55" i="7"/>
  <c r="AL55" i="7"/>
  <c r="AM55" i="7"/>
  <c r="N57" i="7"/>
  <c r="T57" i="7"/>
  <c r="AJ57" i="7"/>
  <c r="AK57" i="7"/>
  <c r="AL57" i="7"/>
  <c r="AM57" i="7"/>
  <c r="N62" i="7"/>
  <c r="AE62" i="7"/>
  <c r="AF62" i="7"/>
  <c r="AJ62" i="7"/>
  <c r="AK62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2" i="8"/>
  <c r="T52" i="8"/>
  <c r="AE52" i="8"/>
  <c r="AF52" i="8"/>
  <c r="AG52" i="8"/>
  <c r="AJ52" i="8"/>
  <c r="AK52" i="8"/>
  <c r="AL52" i="8"/>
  <c r="AM52" i="8"/>
  <c r="AO52" i="8"/>
  <c r="AP52" i="8"/>
  <c r="N53" i="8"/>
  <c r="T53" i="8"/>
  <c r="AE53" i="8"/>
  <c r="AF53" i="8"/>
  <c r="AG53" i="8"/>
  <c r="AJ53" i="8"/>
  <c r="AK53" i="8"/>
  <c r="AL53" i="8"/>
  <c r="AM53" i="8"/>
  <c r="AO53" i="8"/>
  <c r="AP53" i="8"/>
  <c r="N54" i="8"/>
  <c r="T54" i="8"/>
  <c r="AE54" i="8"/>
  <c r="AF54" i="8"/>
  <c r="AG54" i="8"/>
  <c r="AJ54" i="8"/>
  <c r="AK54" i="8"/>
  <c r="AL54" i="8"/>
  <c r="AM54" i="8"/>
  <c r="AO54" i="8"/>
  <c r="AP54" i="8"/>
  <c r="N55" i="8"/>
  <c r="T55" i="8"/>
  <c r="AE55" i="8"/>
  <c r="AF55" i="8"/>
  <c r="AG55" i="8"/>
  <c r="AJ55" i="8"/>
  <c r="AK55" i="8"/>
  <c r="AL55" i="8"/>
  <c r="AM55" i="8"/>
  <c r="AO55" i="8"/>
  <c r="AP55" i="8"/>
  <c r="N57" i="8"/>
  <c r="T57" i="8"/>
  <c r="AE57" i="8"/>
  <c r="AF57" i="8"/>
  <c r="AG57" i="8"/>
  <c r="AJ57" i="8"/>
  <c r="AK57" i="8"/>
  <c r="AL57" i="8"/>
  <c r="AM57" i="8"/>
  <c r="AO57" i="8"/>
  <c r="AP57" i="8"/>
  <c r="AO59" i="8"/>
  <c r="AP59" i="8"/>
  <c r="AE62" i="8"/>
  <c r="AF62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2" i="9"/>
  <c r="T52" i="9"/>
  <c r="AE52" i="9"/>
  <c r="AF52" i="9"/>
  <c r="AG52" i="9"/>
  <c r="AJ52" i="9"/>
  <c r="AK52" i="9"/>
  <c r="AL52" i="9"/>
  <c r="AM52" i="9"/>
  <c r="AO52" i="9"/>
  <c r="AP52" i="9"/>
  <c r="N53" i="9"/>
  <c r="T53" i="9"/>
  <c r="AE53" i="9"/>
  <c r="AF53" i="9"/>
  <c r="AG53" i="9"/>
  <c r="AJ53" i="9"/>
  <c r="AK53" i="9"/>
  <c r="AL53" i="9"/>
  <c r="AM53" i="9"/>
  <c r="AO53" i="9"/>
  <c r="AP53" i="9"/>
  <c r="N54" i="9"/>
  <c r="T54" i="9"/>
  <c r="AE54" i="9"/>
  <c r="AF54" i="9"/>
  <c r="AG54" i="9"/>
  <c r="AJ54" i="9"/>
  <c r="AK54" i="9"/>
  <c r="AL54" i="9"/>
  <c r="AM54" i="9"/>
  <c r="AO54" i="9"/>
  <c r="AP54" i="9"/>
  <c r="N55" i="9"/>
  <c r="T55" i="9"/>
  <c r="AE55" i="9"/>
  <c r="AF55" i="9"/>
  <c r="AG55" i="9"/>
  <c r="AJ55" i="9"/>
  <c r="AK55" i="9"/>
  <c r="AL55" i="9"/>
  <c r="AM55" i="9"/>
  <c r="AO55" i="9"/>
  <c r="AP55" i="9"/>
  <c r="N57" i="9"/>
  <c r="T57" i="9"/>
  <c r="AE57" i="9"/>
  <c r="AF57" i="9"/>
  <c r="AG57" i="9"/>
  <c r="AJ57" i="9"/>
  <c r="AK57" i="9"/>
  <c r="AL57" i="9"/>
  <c r="AM57" i="9"/>
  <c r="AO57" i="9"/>
  <c r="AP57" i="9"/>
  <c r="AO59" i="9"/>
  <c r="AP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D6B81906-55B8-4426-A23A-496CB1E83CE8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sharedStrings.xml><?xml version="1.0" encoding="utf-8"?>
<sst xmlns="http://schemas.openxmlformats.org/spreadsheetml/2006/main" count="22096" uniqueCount="1102">
  <si>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</si>
  <si>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</si>
  <si>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</si>
  <si>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</si>
  <si>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</si>
  <si>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</si>
  <si>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</si>
  <si>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</si>
  <si>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</si>
  <si>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</si>
  <si>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</si>
  <si>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</si>
  <si>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</si>
  <si>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</si>
  <si>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</si>
  <si>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</si>
  <si>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</si>
  <si>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</si>
  <si>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</si>
  <si>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</si>
  <si>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</si>
  <si>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</si>
  <si>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</si>
  <si>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</si>
  <si>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</si>
  <si>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</si>
  <si>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</si>
  <si>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</si>
  <si>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</si>
  <si>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</si>
  <si>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</si>
  <si>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</si>
  <si>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</si>
  <si>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</si>
  <si>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</si>
  <si>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A3</t>
  </si>
  <si>
    <t>Azul</t>
  </si>
  <si>
    <t>Ponta</t>
  </si>
  <si>
    <t>Fora ponta</t>
  </si>
  <si>
    <t>A4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</si>
  <si>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</si>
  <si>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</si>
  <si>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</si>
  <si>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</si>
  <si>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</si>
  <si>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</si>
  <si>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</si>
  <si>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</si>
  <si>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</si>
  <si>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</si>
  <si>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</si>
  <si>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</si>
  <si>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</si>
  <si>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</si>
  <si>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</si>
  <si>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Branca</t>
  </si>
  <si>
    <t>Intermediário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</si>
  <si>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</si>
  <si>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</si>
  <si>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</si>
  <si>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</si>
  <si>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</si>
  <si>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</si>
  <si>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</si>
  <si>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</si>
  <si>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</si>
  <si>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</si>
  <si>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</si>
  <si>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</si>
  <si>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</si>
  <si>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</si>
  <si>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</si>
  <si>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</si>
  <si>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</si>
  <si>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</si>
  <si>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</si>
  <si>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</si>
  <si>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</si>
  <si>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</si>
  <si>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</si>
  <si>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</si>
  <si>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</si>
  <si>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</si>
  <si>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</si>
  <si>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</si>
  <si>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</si>
  <si>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</si>
  <si>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</si>
  <si>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</si>
  <si>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</si>
  <si>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</si>
  <si>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</si>
  <si>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</si>
  <si>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</si>
  <si>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44440A3AzulNão se aplicaNão se aplicaNão se aplicaNão se aplicaFora ponta</t>
  </si>
  <si>
    <t>44470A3AzulNão se aplicaNão se aplicaNão se aplicaNão se aplicaFora ponta</t>
  </si>
  <si>
    <t>44501A3AzulNão se aplicaNão se aplicaNão se aplicaNão se aplicaFora ponta</t>
  </si>
  <si>
    <t>44531A3AzulNão se aplicaNão se aplicaNão se aplicaNão se aplicaFora ponta</t>
  </si>
  <si>
    <t>44562A3AzulNão se aplicaNão se aplicaNão se aplicaNão se aplicaFora ponta</t>
  </si>
  <si>
    <t>44593A3AzulNão se aplicaNão se aplicaNão se aplicaNão se aplicaFora ponta</t>
  </si>
  <si>
    <t>44621A3AzulNão se aplicaNão se aplicaNão se aplicaNão se aplicaFora ponta</t>
  </si>
  <si>
    <t>44652A3AzulNão se aplicaNão se aplicaNão se aplicaNão se aplicaFora ponta</t>
  </si>
  <si>
    <t>44682A3AzulNão se aplicaNão se aplicaNão se aplicaNão se aplicaFora ponta</t>
  </si>
  <si>
    <t>44713A3AzulNão se aplicaNão se aplicaNão se aplicaNão se aplicaFora ponta</t>
  </si>
  <si>
    <t>44743A3AzulNão se aplicaNão se aplicaNão se aplicaNão se aplicaFora ponta</t>
  </si>
  <si>
    <t>44774A3AzulNão se aplicaNão se aplicaNão se aplicaNão se aplicaFora ponta</t>
  </si>
  <si>
    <t>44440A3AzulNão se aplicaNão se aplicaNão se aplicaNão se aplicaPonta</t>
  </si>
  <si>
    <t>44470A3AzulNão se aplicaNão se aplicaNão se aplicaNão se aplicaPonta</t>
  </si>
  <si>
    <t>44501A3AzulNão se aplicaNão se aplicaNão se aplicaNão se aplicaPonta</t>
  </si>
  <si>
    <t>44531A3AzulNão se aplicaNão se aplicaNão se aplicaNão se aplicaPonta</t>
  </si>
  <si>
    <t>44562A3AzulNão se aplicaNão se aplicaNão se aplicaNão se aplicaPonta</t>
  </si>
  <si>
    <t>44593A3AzulNão se aplicaNão se aplicaNão se aplicaNão se aplicaPonta</t>
  </si>
  <si>
    <t>44621A3AzulNão se aplicaNão se aplicaNão se aplicaNão se aplicaPonta</t>
  </si>
  <si>
    <t>44652A3AzulNão se aplicaNão se aplicaNão se aplicaNão se aplicaPonta</t>
  </si>
  <si>
    <t>44682A3AzulNão se aplicaNão se aplicaNão se aplicaNão se aplicaPonta</t>
  </si>
  <si>
    <t>44713A3AzulNão se aplicaNão se aplicaNão se aplicaNão se aplicaPonta</t>
  </si>
  <si>
    <t>44743A3AzulNão se aplicaNão se aplicaNão se aplicaNão se aplicaPonta</t>
  </si>
  <si>
    <t>44774A3AzulNão se aplicaNão se aplicaNão se aplicaNão se aplicaPonta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</si>
  <si>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</si>
  <si>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</si>
  <si>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</si>
  <si>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</si>
  <si>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</si>
  <si>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</si>
  <si>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</si>
  <si>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</si>
  <si>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</si>
  <si>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</si>
  <si>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</si>
  <si>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</si>
  <si>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</si>
  <si>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</si>
  <si>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</si>
  <si>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</si>
  <si>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</si>
  <si>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</si>
  <si>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</si>
  <si>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</si>
  <si>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</si>
  <si>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</si>
  <si>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</si>
  <si>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</si>
  <si>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</si>
  <si>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</si>
  <si>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</si>
  <si>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</si>
  <si>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</si>
  <si>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</si>
  <si>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</si>
  <si>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</si>
  <si>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</si>
  <si>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</si>
  <si>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</si>
  <si>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</si>
  <si>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</si>
  <si>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</si>
  <si>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</si>
  <si>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</si>
  <si>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</si>
  <si>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</si>
  <si>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</si>
  <si>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</si>
  <si>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</si>
  <si>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</si>
  <si>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</si>
  <si>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</si>
  <si>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</si>
  <si>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</si>
  <si>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</si>
  <si>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</si>
  <si>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</si>
  <si>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</si>
  <si>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</si>
  <si>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</si>
  <si>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</si>
  <si>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</si>
  <si>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</si>
  <si>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</si>
  <si>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44682B1BrancaResidencialResidencialNão se aplicaNão se aplicaFora ponta</t>
  </si>
  <si>
    <t>44713B1BrancaResidencialResidencialNão se aplicaNão se aplicaFora ponta</t>
  </si>
  <si>
    <t>44743B1BrancaResidencialResidencialNão se aplicaNão se aplicaFora ponta</t>
  </si>
  <si>
    <t>44774B1BrancaResidencialResidencialNão se aplicaNão se aplicaFora ponta</t>
  </si>
  <si>
    <t>44682B1BrancaResidencialResidencialNão se aplicaNão se aplicaIntermediário</t>
  </si>
  <si>
    <t>44713B1BrancaResidencialResidencialNão se aplicaNão se aplicaIntermediário</t>
  </si>
  <si>
    <t>44743B1BrancaResidencialResidencialNão se aplicaNão se aplicaIntermediário</t>
  </si>
  <si>
    <t>44774B1BrancaResidencialResidencialNão se aplicaNão se aplicaIntermediário</t>
  </si>
  <si>
    <t>44682B1BrancaResidencialResidencialNão se aplicaNão se aplicaPonta</t>
  </si>
  <si>
    <t>44713B1BrancaResidencialResidencialNão se aplicaNão se aplicaPonta</t>
  </si>
  <si>
    <t>44743B1BrancaResidencialResidencialNão se aplicaNão se aplicaPonta</t>
  </si>
  <si>
    <t>44774B1BrancaResidencialResidencialNão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</si>
  <si>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</si>
  <si>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</si>
  <si>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</si>
  <si>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</si>
  <si>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</si>
  <si>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</si>
  <si>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</si>
  <si>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</si>
  <si>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</si>
  <si>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</si>
  <si>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</si>
  <si>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</si>
  <si>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</si>
  <si>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</si>
  <si>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</si>
  <si>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</si>
  <si>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</si>
  <si>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</si>
  <si>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</si>
  <si>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</si>
  <si>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</si>
  <si>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</si>
  <si>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</si>
  <si>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</si>
  <si>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</si>
  <si>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</si>
  <si>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</si>
  <si>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</si>
  <si>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</si>
  <si>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</si>
  <si>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</si>
  <si>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</si>
  <si>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</si>
  <si>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</si>
  <si>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</si>
  <si>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</si>
  <si>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</si>
  <si>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</si>
  <si>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</si>
  <si>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</si>
  <si>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</si>
  <si>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</si>
  <si>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</si>
  <si>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</si>
  <si>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</si>
  <si>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</si>
  <si>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</si>
  <si>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</si>
  <si>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</si>
  <si>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</si>
  <si>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</si>
  <si>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</si>
  <si>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</si>
  <si>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</si>
  <si>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</si>
  <si>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</si>
  <si>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</si>
  <si>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</si>
  <si>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</si>
  <si>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</si>
  <si>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</si>
  <si>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</si>
  <si>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</si>
  <si>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</si>
  <si>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</si>
  <si>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</si>
  <si>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</si>
  <si>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</si>
  <si>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</si>
  <si>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</si>
  <si>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</si>
  <si>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</si>
  <si>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</si>
  <si>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</si>
  <si>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</si>
  <si>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</si>
  <si>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</si>
  <si>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</si>
  <si>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</si>
  <si>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</si>
  <si>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</si>
  <si>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</si>
  <si>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</si>
  <si>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</si>
  <si>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</si>
  <si>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</si>
  <si>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</si>
  <si>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</si>
  <si>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</si>
  <si>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</si>
  <si>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</si>
  <si>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</si>
  <si>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</si>
  <si>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</si>
  <si>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</si>
  <si>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</si>
  <si>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</si>
  <si>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44440A3Energia horáriaNão se aplicaNão se aplicaNão se aplicaNão se aplicaFora ponta</t>
  </si>
  <si>
    <t>44470A3Energia horáriaNão se aplicaNão se aplicaNão se aplicaNão se aplicaFora ponta</t>
  </si>
  <si>
    <t>44501A3Energia horáriaNão se aplicaNão se aplicaNão se aplicaNão se aplicaFora ponta</t>
  </si>
  <si>
    <t>44531A3Energia horáriaNão se aplicaNão se aplicaNão se aplicaNão se aplicaFora ponta</t>
  </si>
  <si>
    <t>44562A3Energia horáriaNão se aplicaNão se aplicaNão se aplicaNão se aplicaFora ponta</t>
  </si>
  <si>
    <t>44593A3Energia horáriaNão se aplicaNão se aplicaNão se aplicaNão se aplicaFora ponta</t>
  </si>
  <si>
    <t>44621A3Energia horáriaNão se aplicaNão se aplicaNão se aplicaNão se aplicaFora ponta</t>
  </si>
  <si>
    <t>44652A3Energia horáriaNão se aplicaNão se aplicaNão se aplicaNão se aplicaFora ponta</t>
  </si>
  <si>
    <t>44682A3Energia horáriaNão se aplicaNão se aplicaNão se aplicaNão se aplicaFora ponta</t>
  </si>
  <si>
    <t>44713A3Energia horáriaNão se aplicaNão se aplicaNão se aplicaNão se aplicaFora ponta</t>
  </si>
  <si>
    <t>44743A3Energia horáriaNão se aplicaNão se aplicaNão se aplicaNão se aplicaFora ponta</t>
  </si>
  <si>
    <t>44774A3Energia horáriaNão se aplicaNão se aplicaNão se aplicaNão se aplicaFora ponta</t>
  </si>
  <si>
    <t>44440A3Energia horáriaNão se aplicaNão se aplicaNão se aplicaNão se aplicaPonta</t>
  </si>
  <si>
    <t>44470A3Energia horáriaNão se aplicaNão se aplicaNão se aplicaNão se aplicaPonta</t>
  </si>
  <si>
    <t>44501A3Energia horáriaNão se aplicaNão se aplicaNão se aplicaNão se aplicaPonta</t>
  </si>
  <si>
    <t>44531A3Energia horáriaNão se aplicaNão se aplicaNão se aplicaNão se aplicaPonta</t>
  </si>
  <si>
    <t>44562A3Energia horáriaNão se aplicaNão se aplicaNão se aplicaNão se aplicaPonta</t>
  </si>
  <si>
    <t>44593A3Energia horáriaNão se aplicaNão se aplicaNão se aplicaNão se aplicaPonta</t>
  </si>
  <si>
    <t>44621A3Energia horáriaNão se aplicaNão se aplicaNão se aplicaNão se aplicaPonta</t>
  </si>
  <si>
    <t>44652A3Energia horáriaNão se aplicaNão se aplicaNão se aplicaNão se aplicaPonta</t>
  </si>
  <si>
    <t>44682A3Energia horáriaNão se aplicaNão se aplicaNão se aplicaNão se aplicaPonta</t>
  </si>
  <si>
    <t>44713A3Energia horáriaNão se aplicaNão se aplicaNão se aplicaNão se aplicaPonta</t>
  </si>
  <si>
    <t>44743A3Energia horáriaNão se aplicaNão se aplicaNão se aplicaNão se aplicaPonta</t>
  </si>
  <si>
    <t>44774A3Energia horáriaNão se aplicaNão se aplicaNão se aplicaNão se aplicaPonta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</si>
  <si>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</si>
  <si>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</si>
  <si>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</si>
  <si>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</si>
  <si>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</si>
  <si>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</si>
  <si>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</si>
  <si>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</si>
  <si>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</si>
  <si>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</si>
  <si>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</si>
  <si>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</si>
  <si>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</si>
  <si>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</si>
  <si>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</si>
  <si>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</si>
  <si>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</si>
  <si>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</si>
  <si>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</si>
  <si>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</si>
  <si>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</si>
  <si>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</si>
  <si>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</si>
  <si>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</si>
  <si>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</si>
  <si>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</si>
  <si>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</si>
  <si>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</si>
  <si>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44682B1Energia horáriaResidencialResidencialNão se aplicaNão se aplicaFora ponta</t>
  </si>
  <si>
    <t>44713B1Energia horáriaResidencialResidencialNão se aplicaNão se aplicaFora ponta</t>
  </si>
  <si>
    <t>44743B1Energia horáriaResidencialResidencialNão se aplicaNão se aplicaFora ponta</t>
  </si>
  <si>
    <t>44774B1Energia horáriaResidencialResidencialNão se aplicaNão se aplicaFora ponta</t>
  </si>
  <si>
    <t>44682B1Energia horáriaResidencialResidencialNão se aplicaNão se aplicaIntermediário</t>
  </si>
  <si>
    <t>44713B1Energia horáriaResidencialResidencialNão se aplicaNão se aplicaIntermediário</t>
  </si>
  <si>
    <t>44743B1Energia horáriaResidencialResidencialNão se aplicaNão se aplicaIntermediário</t>
  </si>
  <si>
    <t>44774B1Energia horáriaResidencialResidencialNão se aplicaNão se aplicaIntermediário</t>
  </si>
  <si>
    <t>44682B1Energia horáriaResidencialResidencialNão se aplicaNão se aplicaPonta</t>
  </si>
  <si>
    <t>44713B1Energia horáriaResidencialResidencialNão se aplicaNão se aplicaPonta</t>
  </si>
  <si>
    <t>44743B1Energia horáriaResidencialResidencialNão se aplicaNão se aplicaPonta</t>
  </si>
  <si>
    <t>44774B1Energia horáriaResidencialResidencialNão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</si>
  <si>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</si>
  <si>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</si>
  <si>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</si>
  <si>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</si>
  <si>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</si>
  <si>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</si>
  <si>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</si>
  <si>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</si>
  <si>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</si>
  <si>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</si>
  <si>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</si>
  <si>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</si>
  <si>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</si>
  <si>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</si>
  <si>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</si>
  <si>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</si>
  <si>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</si>
  <si>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</si>
  <si>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</si>
  <si>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</si>
  <si>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</si>
  <si>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</si>
  <si>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</si>
  <si>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</si>
  <si>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</si>
  <si>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</si>
  <si>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</si>
  <si>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</si>
  <si>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</si>
  <si>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</si>
  <si>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</si>
  <si>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</si>
  <si>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</si>
  <si>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</si>
  <si>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</si>
  <si>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</si>
  <si>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</si>
  <si>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</si>
  <si>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</si>
  <si>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</si>
  <si>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</si>
  <si>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</si>
  <si>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</si>
  <si>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</si>
  <si>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</si>
  <si>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</si>
  <si>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</si>
  <si>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</si>
  <si>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</si>
  <si>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</si>
  <si>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</si>
  <si>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</si>
  <si>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</si>
  <si>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</si>
  <si>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</si>
  <si>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</si>
  <si>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</si>
  <si>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</si>
  <si>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</si>
  <si>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</si>
  <si>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</si>
  <si>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</si>
  <si>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</si>
  <si>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</si>
  <si>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</si>
  <si>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</si>
  <si>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</si>
  <si>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</si>
  <si>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</si>
  <si>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</si>
  <si>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</si>
  <si>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</si>
  <si>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</si>
  <si>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</si>
  <si>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</si>
  <si>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</si>
  <si>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</si>
  <si>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</si>
  <si>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</si>
  <si>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</si>
  <si>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</si>
  <si>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</si>
  <si>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</si>
  <si>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</si>
  <si>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</si>
  <si>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</si>
  <si>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</si>
  <si>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</si>
  <si>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</si>
  <si>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</si>
  <si>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</si>
  <si>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</si>
  <si>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</si>
  <si>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</si>
  <si>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</si>
  <si>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</si>
  <si>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</si>
  <si>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</si>
  <si>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</si>
  <si>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</si>
  <si>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</si>
  <si>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</si>
  <si>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</si>
  <si>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</si>
  <si>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</si>
  <si>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</si>
  <si>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</si>
  <si>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</si>
  <si>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</si>
  <si>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</si>
  <si>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</si>
  <si>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</si>
  <si>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</si>
  <si>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</si>
  <si>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</si>
  <si>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</si>
  <si>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</si>
  <si>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</si>
  <si>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</si>
  <si>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</si>
  <si>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</si>
  <si>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</si>
  <si>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</si>
  <si>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</si>
  <si>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</si>
  <si>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</si>
  <si>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</si>
  <si>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</si>
  <si>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</si>
  <si>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</si>
  <si>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</si>
  <si>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</si>
  <si>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</si>
  <si>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</si>
  <si>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</si>
  <si>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</si>
  <si>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</si>
  <si>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</si>
  <si>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</si>
  <si>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</si>
  <si>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</si>
  <si>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</si>
  <si>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</si>
  <si>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</si>
  <si>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</si>
  <si>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</si>
  <si>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</si>
  <si>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</si>
  <si>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</si>
  <si>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</si>
  <si>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</si>
  <si>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</si>
  <si>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</si>
  <si>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</si>
  <si>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</si>
  <si>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</si>
  <si>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</si>
  <si>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</si>
  <si>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</si>
  <si>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</si>
  <si>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</si>
  <si>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</si>
  <si>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</si>
  <si>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</si>
  <si>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</si>
  <si>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</si>
  <si>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</si>
  <si>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</si>
  <si>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</si>
  <si>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</si>
  <si>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</si>
  <si>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</si>
  <si>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</si>
  <si>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</si>
  <si>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</si>
  <si>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</si>
  <si>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</si>
  <si>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</si>
  <si>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</si>
  <si>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</si>
  <si>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</si>
  <si>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</si>
  <si>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</si>
  <si>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</si>
  <si>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</si>
  <si>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</si>
  <si>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</si>
  <si>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</si>
  <si>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</si>
  <si>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</si>
  <si>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</si>
  <si>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</si>
  <si>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</si>
  <si>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</si>
  <si>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</si>
  <si>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</si>
  <si>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</si>
  <si>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2.937,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</si>
  <si>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</si>
  <si>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</si>
  <si>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</si>
  <si>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</si>
  <si>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</si>
  <si>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</si>
  <si>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</si>
  <si>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</si>
  <si>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</si>
  <si>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</si>
  <si>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</si>
  <si>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</si>
  <si>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</si>
  <si>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</si>
  <si>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</si>
  <si>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</si>
  <si>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</si>
  <si>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</si>
  <si>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</si>
  <si>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</si>
  <si>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</si>
  <si>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</si>
  <si>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</si>
  <si>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</si>
  <si>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</si>
  <si>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</si>
  <si>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</si>
  <si>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</si>
  <si>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</si>
  <si>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</si>
  <si>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</si>
  <si>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</si>
  <si>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</si>
  <si>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</si>
  <si>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</si>
  <si>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</si>
  <si>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</si>
  <si>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</si>
  <si>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</si>
  <si>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</si>
  <si>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</si>
  <si>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</si>
  <si>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</si>
  <si>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</si>
  <si>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</si>
  <si>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</si>
  <si>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</si>
  <si>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</si>
  <si>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</si>
  <si>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</si>
  <si>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</si>
  <si>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</si>
  <si>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</si>
  <si>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</si>
  <si>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</si>
  <si>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</si>
  <si>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</si>
  <si>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</si>
  <si>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</si>
  <si>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</si>
  <si>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</si>
  <si>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</si>
  <si>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</si>
  <si>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</si>
  <si>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</si>
  <si>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</si>
  <si>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</si>
  <si>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</si>
  <si>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</si>
  <si>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</si>
  <si>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</si>
  <si>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</si>
  <si>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</si>
  <si>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</si>
  <si>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</si>
  <si>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</si>
  <si>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</si>
  <si>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</si>
  <si>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</si>
  <si>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</si>
  <si>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</si>
  <si>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</si>
  <si>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</si>
  <si>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</si>
  <si>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</si>
  <si>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</si>
  <si>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</si>
  <si>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</si>
  <si>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</si>
  <si>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</si>
  <si>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</si>
  <si>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</si>
  <si>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</si>
  <si>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</si>
  <si>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</si>
  <si>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</si>
  <si>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</si>
  <si>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</si>
  <si>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</si>
  <si>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</si>
  <si>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</si>
  <si>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</si>
  <si>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</si>
  <si>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</si>
  <si>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</si>
  <si>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</si>
  <si>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</si>
  <si>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</si>
  <si>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</si>
  <si>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</si>
  <si>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</si>
  <si>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</si>
  <si>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</si>
  <si>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</si>
  <si>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Branca1RuralNão se aplicaRuralB2</t>
  </si>
  <si>
    <t>Convencional1RuralServiço público de irrigação ruralPlanilha CUSTOB2</t>
  </si>
  <si>
    <t>Planilha CUSTO</t>
  </si>
  <si>
    <t>Branca 1RuralServiço público de irrigação ruralPlanilha CUSTOB2</t>
  </si>
  <si>
    <t xml:space="preserve">Branca 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</si>
  <si>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</si>
  <si>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</si>
  <si>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</si>
  <si>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</si>
  <si>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</si>
  <si>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</si>
  <si>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</si>
  <si>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</si>
  <si>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</si>
  <si>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</si>
  <si>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</si>
  <si>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</si>
  <si>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</si>
  <si>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</si>
  <si>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</si>
  <si>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</si>
  <si>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</si>
  <si>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</si>
  <si>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</si>
  <si>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</si>
  <si>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</si>
  <si>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</si>
  <si>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</si>
  <si>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</si>
  <si>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</si>
  <si>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</si>
  <si>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</si>
  <si>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</si>
  <si>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</si>
  <si>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</si>
  <si>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</si>
  <si>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</si>
  <si>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</si>
  <si>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</si>
  <si>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</si>
  <si>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</si>
  <si>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</si>
  <si>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</si>
  <si>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</si>
  <si>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</si>
  <si>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</si>
  <si>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</si>
  <si>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</si>
  <si>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</si>
  <si>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</si>
  <si>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</si>
  <si>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</si>
  <si>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</si>
  <si>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</si>
  <si>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</si>
  <si>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</si>
  <si>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</si>
  <si>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</si>
  <si>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</si>
  <si>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</si>
  <si>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</si>
  <si>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</si>
  <si>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</si>
  <si>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</si>
  <si>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</si>
  <si>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</si>
  <si>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</si>
  <si>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</si>
  <si>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</si>
  <si>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</si>
  <si>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</si>
  <si>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</si>
  <si>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</si>
  <si>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</si>
  <si>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</si>
  <si>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</si>
  <si>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</si>
  <si>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</si>
  <si>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</si>
  <si>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</si>
  <si>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</si>
  <si>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</si>
  <si>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</si>
  <si>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</si>
  <si>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</si>
  <si>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</si>
  <si>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</si>
  <si>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</si>
  <si>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A3Azul</t>
  </si>
  <si>
    <t>A3AzulNão se aplica</t>
  </si>
  <si>
    <t>A3AzulNão se aplicaNão se aplica</t>
  </si>
  <si>
    <t>A3AzulNão se aplicaNão se aplicaNão se aplica</t>
  </si>
  <si>
    <t>A3AzulNão se aplicaNão se aplicaNão se aplicaNão se aplica</t>
  </si>
  <si>
    <t>A3AzulNão se aplicaNão se aplicaNão se aplicaNão se aplicaDP</t>
  </si>
  <si>
    <t>A3AzulNão se aplicaNão se aplicaNão se aplicaNão se aplicaDFP</t>
  </si>
  <si>
    <t>A3AzulNão se aplicaNão se aplicaNão se aplicaNão se aplicaE</t>
  </si>
  <si>
    <t>A3AzulNão se aplicaNão se aplicaAPE</t>
  </si>
  <si>
    <t>A3AzulNão se aplicaNão se aplicaAPENão se aplica</t>
  </si>
  <si>
    <t>A3AzulNão se aplicaNão se aplicaAPENão se aplicaE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</si>
  <si>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</si>
  <si>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</si>
  <si>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</si>
  <si>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</si>
  <si>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</si>
  <si>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</si>
  <si>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</si>
  <si>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</si>
  <si>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</si>
  <si>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</si>
  <si>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</si>
  <si>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</si>
  <si>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</si>
  <si>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</si>
  <si>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</si>
  <si>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</si>
  <si>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</si>
  <si>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</si>
  <si>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</si>
  <si>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</si>
  <si>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</si>
  <si>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</si>
  <si>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</si>
  <si>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</si>
  <si>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</si>
  <si>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</si>
  <si>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</si>
  <si>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</si>
  <si>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</si>
  <si>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</si>
  <si>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</si>
  <si>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</si>
  <si>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</si>
  <si>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</si>
  <si>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</si>
  <si>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</si>
  <si>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</si>
  <si>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</si>
  <si>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</si>
  <si>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</si>
  <si>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</si>
  <si>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</si>
  <si>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</si>
  <si>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</si>
  <si>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</si>
  <si>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</si>
  <si>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</si>
  <si>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</si>
  <si>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</si>
  <si>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</si>
  <si>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</si>
  <si>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</si>
  <si>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</si>
  <si>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</si>
  <si>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</si>
  <si>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</si>
  <si>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</si>
  <si>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</si>
  <si>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</si>
  <si>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</si>
  <si>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</si>
  <si>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</si>
  <si>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</si>
  <si>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</si>
  <si>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</si>
  <si>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</si>
  <si>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</si>
  <si>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</si>
  <si>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</si>
  <si>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</si>
  <si>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</si>
  <si>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</si>
  <si>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</si>
  <si>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</si>
  <si>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</si>
  <si>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</si>
  <si>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</si>
  <si>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</si>
  <si>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</si>
  <si>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</si>
  <si>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</si>
  <si>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</si>
  <si>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</si>
  <si>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</si>
  <si>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</si>
  <si>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</si>
  <si>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</si>
  <si>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</si>
  <si>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</si>
  <si>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</si>
  <si>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</si>
  <si>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</si>
  <si>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</si>
  <si>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</si>
  <si>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</si>
  <si>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</si>
  <si>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</si>
  <si>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</si>
  <si>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</si>
  <si>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</si>
  <si>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</si>
  <si>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</si>
  <si>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</si>
  <si>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</si>
  <si>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</si>
  <si>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</si>
  <si>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</si>
  <si>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</si>
  <si>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</si>
  <si>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</si>
  <si>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</si>
  <si>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</si>
  <si>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</si>
  <si>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</si>
  <si>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</si>
  <si>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</si>
  <si>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</si>
  <si>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</si>
  <si>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</si>
  <si>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</si>
  <si>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</si>
  <si>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</si>
  <si>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</si>
  <si>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</si>
  <si>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</si>
  <si>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</si>
  <si>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</si>
  <si>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</si>
  <si>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</si>
  <si>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</si>
  <si>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</si>
  <si>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</si>
  <si>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</si>
  <si>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</si>
  <si>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</si>
  <si>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</si>
  <si>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</si>
  <si>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</si>
  <si>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</si>
  <si>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</si>
  <si>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</si>
  <si>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</si>
  <si>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</si>
  <si>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</si>
  <si>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</si>
  <si>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</si>
  <si>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</si>
  <si>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</si>
  <si>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</si>
  <si>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</si>
  <si>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</si>
  <si>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</si>
  <si>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</si>
  <si>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</si>
  <si>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</si>
  <si>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</si>
  <si>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</si>
  <si>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</si>
  <si>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</si>
  <si>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</si>
  <si>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</si>
  <si>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</si>
  <si>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</si>
  <si>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</si>
  <si>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</si>
  <si>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</si>
  <si>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</si>
  <si>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</si>
  <si>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</si>
  <si>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</si>
  <si>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A3Energia horária</t>
  </si>
  <si>
    <t>A3Energia horáriaNão se aplica</t>
  </si>
  <si>
    <t>A3Energia horáriaNão se aplicaNão se aplica</t>
  </si>
  <si>
    <t>A3Energia horáriaNão se aplicaNão se aplicaNão se aplica</t>
  </si>
  <si>
    <t>A3Energia horáriaNão se aplicaNão se aplicaNão se aplicaNão se aplica</t>
  </si>
  <si>
    <t>A3Energia horáriaNão se aplicaNão se aplicaNão se aplicaNão se aplicaEP</t>
  </si>
  <si>
    <t>A3Energia horáriaNão se aplicaNão se aplicaNão se aplicaNão se aplicaEFP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</si>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</sst>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7" fillId="2" borderId="0" xfId="0" applyNumberFormat="1" applyFont="1" applyFill="1" applyAlignment="1">
      <alignment horizontal="center" vertical="center"/>
    </xf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/>
    <xf numFmtId="2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40" fontId="8" fillId="3" borderId="14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85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-3.0795197391216404E-3</c:v>
                </c:pt>
                <c:pt idx="1">
                  <c:v>-4.9732277838505259E-5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0.13573465052320005</c:v>
                </c:pt>
                <c:pt idx="6">
                  <c:v>2.5633001385844404E-2</c:v>
                </c:pt>
                <c:pt idx="7">
                  <c:v>0</c:v>
                </c:pt>
                <c:pt idx="8">
                  <c:v>4.3694554942537919E-2</c:v>
                </c:pt>
                <c:pt idx="9">
                  <c:v>1.4424560579360162E-3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9.4033845658336668E-2</c:v>
                </c:pt>
                <c:pt idx="16">
                  <c:v>0</c:v>
                </c:pt>
                <c:pt idx="17">
                  <c:v>0</c:v>
                </c:pt>
                <c:pt idx="18">
                  <c:v>-5.6959206931280325E-3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2-4450-BCD0-CAF7000FC359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-1.1968963380265121E-2</c:v>
                </c:pt>
                <c:pt idx="1">
                  <c:v>9.3944925618527593E-5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0.135457557039941</c:v>
                </c:pt>
                <c:pt idx="6">
                  <c:v>4.0099248376113374E-2</c:v>
                </c:pt>
                <c:pt idx="7">
                  <c:v>0</c:v>
                </c:pt>
                <c:pt idx="8">
                  <c:v>6.5747956325688486E-2</c:v>
                </c:pt>
                <c:pt idx="9">
                  <c:v>1.9875767164349253E-3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6.4537761882212316E-2</c:v>
                </c:pt>
                <c:pt idx="16">
                  <c:v>0</c:v>
                </c:pt>
                <c:pt idx="17">
                  <c:v>0</c:v>
                </c:pt>
                <c:pt idx="18">
                  <c:v>-3.5470935250542235E-3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2-4450-BCD0-CAF7000FC359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-1.1968963380265121E-2</c:v>
                </c:pt>
                <c:pt idx="1">
                  <c:v>9.3944925618527593E-5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0.135457557039941</c:v>
                </c:pt>
                <c:pt idx="6">
                  <c:v>4.0099248376113374E-2</c:v>
                </c:pt>
                <c:pt idx="7">
                  <c:v>0</c:v>
                </c:pt>
                <c:pt idx="8">
                  <c:v>6.5747956325688486E-2</c:v>
                </c:pt>
                <c:pt idx="9">
                  <c:v>1.9875767164349253E-3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6.4537761882212316E-2</c:v>
                </c:pt>
                <c:pt idx="16">
                  <c:v>0</c:v>
                </c:pt>
                <c:pt idx="17">
                  <c:v>0</c:v>
                </c:pt>
                <c:pt idx="18">
                  <c:v>-3.5470935250542235E-3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2-4450-BCD0-CAF7000FC359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19F2-4450-BCD0-CAF7000FC359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19F2-4450-BCD0-CAF7000FC359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19F2-4450-BCD0-CAF7000FC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474800"/>
        <c:axId val="961471472"/>
      </c:radarChart>
      <c:catAx>
        <c:axId val="9614748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61471472"/>
        <c:crosses val="autoZero"/>
        <c:auto val="1"/>
        <c:lblAlgn val="ctr"/>
        <c:lblOffset val="100"/>
        <c:noMultiLvlLbl val="0"/>
      </c:catAx>
      <c:valAx>
        <c:axId val="96147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47480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-0.14086136975064401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A-4CFC-93D0-D19F1144E4F3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-0.14335383209186614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A-4CFC-93D0-D19F1144E4F3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-0.14335383209186614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A-4CFC-93D0-D19F1144E4F3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57A-4CFC-93D0-D19F1144E4F3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57A-4CFC-93D0-D19F1144E4F3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57A-4CFC-93D0-D19F1144E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440688"/>
        <c:axId val="961418224"/>
      </c:radarChart>
      <c:catAx>
        <c:axId val="961440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61418224"/>
        <c:crosses val="autoZero"/>
        <c:auto val="1"/>
        <c:lblAlgn val="ctr"/>
        <c:lblOffset val="100"/>
        <c:noMultiLvlLbl val="0"/>
      </c:catAx>
      <c:valAx>
        <c:axId val="96141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44068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209551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86F5A3-78A7-BF65-7F9E-DAB5955EE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238126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F615A1-788C-608E-1B15-6031295B4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52530324071" createdVersion="5" refreshedVersion="8" minRefreshableVersion="3" recordCount="504" xr:uid="{57B24DE1-9568-42CF-A66D-6E95A2BEF5DC}">
  <cacheSource type="worksheet">
    <worksheetSource name="Efeito"/>
  </cacheSource>
  <cacheFields count="36">
    <cacheField name="TipoMercado" numFmtId="0">
      <sharedItems/>
    </cacheField>
    <cacheField name="Subgrupo" numFmtId="0">
      <sharedItems count="6">
        <s v="A3"/>
        <s v="A4"/>
        <s v="B1"/>
        <s v="B2"/>
        <s v="B3"/>
        <s v="B4"/>
      </sharedItems>
    </cacheField>
    <cacheField name="Modalidade" numFmtId="0">
      <sharedItems count="4">
        <s v="Azul"/>
        <s v="Verde"/>
        <s v="Branca"/>
        <s v="Convencional"/>
      </sharedItems>
    </cacheField>
    <cacheField name="Classe" numFmtId="0">
      <sharedItems count="8">
        <s v="Industrial"/>
        <s v="Serviço público"/>
        <s v="Comercial"/>
        <s v="Consumo próprio"/>
        <s v="Poder público"/>
        <s v="Residencial"/>
        <s v="Rural"/>
        <s v="Iluminação pública"/>
      </sharedItems>
    </cacheField>
    <cacheField name="Subclasse" numFmtId="0">
      <sharedItems count="10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51344"/>
    </cacheField>
    <cacheField name="Daj" numFmtId="40">
      <sharedItems containsSemiMixedTypes="0" containsString="0" containsNumber="1" minValue="0" maxValue="51344"/>
    </cacheField>
    <cacheField name="TUSD_E" numFmtId="40">
      <sharedItems containsSemiMixedTypes="0" containsString="0" containsNumber="1" minValue="-71.263000000000005" maxValue="14615.763000000001"/>
    </cacheField>
    <cacheField name="TUSD_Eaj" numFmtId="40">
      <sharedItems containsSemiMixedTypes="0" containsString="0" containsNumber="1" minValue="-71.263000000000005" maxValue="14615.763000000001"/>
    </cacheField>
    <cacheField name="TE_E" numFmtId="40">
      <sharedItems containsSemiMixedTypes="0" containsString="0" containsNumber="1" minValue="-71.263000000000005" maxValue="14615.763000000001"/>
    </cacheField>
    <cacheField name="TE_Eaj" numFmtId="40">
      <sharedItems containsSemiMixedTypes="0" containsString="0" containsNumber="1" minValue="-71.263000000000005" maxValue="14615.763000000001"/>
    </cacheField>
    <cacheField name="UC" numFmtId="40">
      <sharedItems containsSemiMixedTypes="0" containsString="0" containsNumber="1" containsInteger="1" minValue="0" maxValue="20729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28"/>
    </cacheField>
    <cacheField name="CóD. AUX. TUSD R$/MWh" numFmtId="40">
      <sharedItems containsSemiMixedTypes="0" containsString="0" containsNumber="1" containsInteger="1" minValue="0" maxValue="59"/>
    </cacheField>
    <cacheField name="CóD. AUX. TE R$/MWh" numFmtId="40">
      <sharedItems containsSemiMixedTypes="0" containsString="0" containsNumber="1" containsInteger="1" minValue="0" maxValue="88"/>
    </cacheField>
    <cacheField name="TUSD (R$/kW)" numFmtId="40">
      <sharedItems containsSemiMixedTypes="0" containsString="0" containsNumber="1" minValue="0" maxValue="38.14"/>
    </cacheField>
    <cacheField name="TUSD (R$/MWh)" numFmtId="40">
      <sharedItems containsSemiMixedTypes="0" containsString="0" containsNumber="1" minValue="0" maxValue="1007.94"/>
    </cacheField>
    <cacheField name="TE (R$/MWh)" numFmtId="40">
      <sharedItems containsSemiMixedTypes="0" containsString="0" containsNumber="1" minValue="0" maxValue="133.97"/>
    </cacheField>
    <cacheField name="TUSD (R$/kW) NOVA" numFmtId="40">
      <sharedItems containsString="0" containsBlank="1" containsNumber="1" minValue="11.498438014700289" maxValue="47.10799658431754"/>
    </cacheField>
    <cacheField name="TUSD (R$/MWh) NOVA" numFmtId="40">
      <sharedItems containsString="0" containsBlank="1" containsNumber="1" minValue="72.700315363205746" maxValue="1254.594131793204"/>
    </cacheField>
    <cacheField name="TE (R$/MWh) NOVA" numFmtId="40">
      <sharedItems containsString="0" containsBlank="1" containsNumber="1" minValue="40.167854611384364" maxValue="114.76529888966962"/>
    </cacheField>
    <cacheField name="RA0 ou RV - TUSD (kW)" numFmtId="40">
      <sharedItems containsSemiMixedTypes="0" containsString="0" containsNumber="1" minValue="0" maxValue="741920.79999999993"/>
    </cacheField>
    <cacheField name="RA0 ou RV - TUSD (MWh)" numFmtId="40">
      <sharedItems containsSemiMixedTypes="0" containsString="0" containsNumber="1" minValue="-16872.94051" maxValue="1639623.1196400002"/>
    </cacheField>
    <cacheField name="RA0 ou RV - TE (MWh)" numFmtId="40">
      <sharedItems containsSemiMixedTypes="0" containsString="0" containsNumber="1" minValue="-8401.1950699999998" maxValue="1958073.76911"/>
    </cacheField>
    <cacheField name="RA1 ou RRD - TUSD (kW)" numFmtId="40">
      <sharedItems containsSemiMixedTypes="0" containsString="0" containsNumber="1" minValue="0" maxValue="943308.06584552175"/>
    </cacheField>
    <cacheField name="RA1 ou RRD - TUSD (MWh)" numFmtId="40">
      <sharedItems containsSemiMixedTypes="0" containsString="0" containsNumber="1" minValue="-23031.190515910566" maxValue="2095170.2981220048"/>
    </cacheField>
    <cacheField name="RA1 ou RRD - TE (MWh)" numFmtId="40">
      <sharedItems containsSemiMixedTypes="0" containsString="0" containsNumber="1" minValue="-7687.8083250880545" maxValue="1677382.409195574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5261701389" createdVersion="5" refreshedVersion="8" minRefreshableVersion="3" recordCount="166" xr:uid="{DE5F6BA1-C87A-4247-A915-0DC998861795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Azul"/>
        <s v="Convencional"/>
      </sharedItems>
    </cacheField>
    <cacheField name="Classe" numFmtId="0">
      <sharedItems count="3">
        <s v="Serviço público"/>
        <s v="Residencial"/>
        <s v="Rural"/>
      </sharedItems>
    </cacheField>
    <cacheField name="Subclasse" numFmtId="0">
      <sharedItems count="9"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Não se aplic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507"/>
    </cacheField>
    <cacheField name="Daj" numFmtId="40">
      <sharedItems containsSemiMixedTypes="0" containsString="0" containsNumber="1" minValue="0" maxValue="430.95"/>
    </cacheField>
    <cacheField name="TUSD_E" numFmtId="40">
      <sharedItems containsSemiMixedTypes="0" containsString="0" containsNumber="1" minValue="-71.263000000000005" maxValue="4595.1440000000002"/>
    </cacheField>
    <cacheField name="TUSD_Eaj" numFmtId="40">
      <sharedItems containsSemiMixedTypes="0" containsString="0" containsNumber="1" minValue="-71.263000000000005" maxValue="4595.1440000000002"/>
    </cacheField>
    <cacheField name="TE_E" numFmtId="40">
      <sharedItems containsSemiMixedTypes="0" containsString="0" containsNumber="1" minValue="-71.263000000000005" maxValue="4595.1440000000002"/>
    </cacheField>
    <cacheField name="TE_Eaj" numFmtId="40">
      <sharedItems containsSemiMixedTypes="0" containsString="0" containsNumber="1" minValue="-71.263000000000005" maxValue="4595.1440000000002"/>
    </cacheField>
    <cacheField name="UC" numFmtId="40">
      <sharedItems containsSemiMixedTypes="0" containsString="0" containsNumber="1" containsInteger="1" minValue="0" maxValue="20586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17"/>
    </cacheField>
    <cacheField name="CóD. AUX. TUSD R$/MWh" numFmtId="0">
      <sharedItems containsSemiMixedTypes="0" containsString="0" containsNumber="1" containsInteger="1" minValue="6" maxValue="30"/>
    </cacheField>
    <cacheField name="CóD. AUX. TE R$/MWh" numFmtId="0">
      <sharedItems containsSemiMixedTypes="0" containsString="0" containsNumber="1" containsInteger="1" minValue="46" maxValue="88"/>
    </cacheField>
    <cacheField name="TUSD (R$/kW)" numFmtId="40">
      <sharedItems containsSemiMixedTypes="0" containsString="0" containsNumber="1" minValue="0" maxValue="38.14"/>
    </cacheField>
    <cacheField name="TUSD (R$/MWh)" numFmtId="40">
      <sharedItems containsSemiMixedTypes="0" containsString="0" containsNumber="1" minValue="60.53" maxValue="269.06"/>
    </cacheField>
    <cacheField name="TE (R$/MWh)" numFmtId="40">
      <sharedItems containsSemiMixedTypes="0" containsString="0" containsNumber="1" minValue="46.89" maxValue="133.97"/>
    </cacheField>
    <cacheField name="TUSD (R$/kW) NOVA" numFmtId="40">
      <sharedItems containsString="0" containsBlank="1" containsNumber="1" minValue="18.372313529244348" maxValue="47.10799658431754"/>
    </cacheField>
    <cacheField name="TUSD (R$/MWh) NOVA" numFmtId="40">
      <sharedItems containsSemiMixedTypes="0" containsString="0" containsNumber="1" minValue="72.700315363205746" maxValue="343.81469354767324"/>
    </cacheField>
    <cacheField name="TE (R$/MWh) NOVA" numFmtId="40">
      <sharedItems containsSemiMixedTypes="0" containsString="0" containsNumber="1" minValue="40.167854611384364" maxValue="114.76529888966962"/>
    </cacheField>
    <cacheField name="SUBSIDIO kW - TV" numFmtId="40">
      <sharedItems containsSemiMixedTypes="0" containsString="0" containsNumber="1" minValue="0" maxValue="2900.5470000000005"/>
    </cacheField>
    <cacheField name="SUBSIDIO MWh - TV" numFmtId="40">
      <sharedItems containsSemiMixedTypes="0" containsString="0" containsNumber="1" minValue="-3446.9913099999976" maxValue="75032.608139999938"/>
    </cacheField>
    <cacheField name="SUBSIDIO kW - TN" numFmtId="40">
      <sharedItems containsSemiMixedTypes="0" containsString="0" containsNumber="1" minValue="0" maxValue="3582.5631402373497"/>
    </cacheField>
    <cacheField name="SUBSIDIO MWh - TN" numFmtId="40">
      <sharedItems containsSemiMixedTypes="0" containsString="0" containsNumber="1" minValue="-1960.7871600637448" maxValue="42681.562381718453"/>
    </cacheField>
    <cacheField name="TIPO" numFmtId="0">
      <sharedItems containsBlank="1" count="5"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s v="Regular"/>
    <x v="0"/>
    <x v="0"/>
    <x v="0"/>
    <x v="0"/>
    <x v="0"/>
    <x v="0"/>
    <x v="0"/>
    <x v="0"/>
    <n v="2438"/>
    <n v="2438"/>
    <n v="1006.154"/>
    <n v="1006.154"/>
    <n v="1006.154"/>
    <n v="1006.154"/>
    <n v="0"/>
    <x v="0"/>
    <n v="0"/>
    <n v="20"/>
    <n v="7"/>
    <n v="48"/>
    <n v="8.76"/>
    <n v="70.59"/>
    <n v="133.97"/>
    <n v="11.498438014700289"/>
    <n v="92.6281433384992"/>
    <n v="114.76529888966962"/>
    <n v="21356.880000000001"/>
    <n v="71024.410860000004"/>
    <n v="134794.45137999998"/>
    <n v="28033.191879839305"/>
    <n v="93198.176932604329"/>
    <n v="115471.56453903666"/>
  </r>
  <r>
    <s v="Regular"/>
    <x v="0"/>
    <x v="0"/>
    <x v="0"/>
    <x v="0"/>
    <x v="0"/>
    <x v="0"/>
    <x v="0"/>
    <x v="1"/>
    <n v="2538"/>
    <n v="2538"/>
    <n v="1003.545"/>
    <n v="1003.545"/>
    <n v="1003.545"/>
    <n v="1003.545"/>
    <n v="0"/>
    <x v="0"/>
    <n v="0"/>
    <n v="20"/>
    <n v="7"/>
    <n v="48"/>
    <n v="8.76"/>
    <n v="70.59"/>
    <n v="133.97"/>
    <n v="11.498438014700289"/>
    <n v="92.6281433384992"/>
    <n v="114.76529888966962"/>
    <n v="22232.880000000001"/>
    <n v="70840.241550000006"/>
    <n v="134444.92364999998"/>
    <n v="29183.035681309335"/>
    <n v="92956.510106634174"/>
    <n v="115172.14187423349"/>
  </r>
  <r>
    <s v="Regular"/>
    <x v="0"/>
    <x v="0"/>
    <x v="0"/>
    <x v="0"/>
    <x v="0"/>
    <x v="0"/>
    <x v="0"/>
    <x v="2"/>
    <n v="2402"/>
    <n v="2402"/>
    <n v="1072.8430000000001"/>
    <n v="1072.8430000000001"/>
    <n v="1072.8430000000001"/>
    <n v="1072.8430000000001"/>
    <n v="0"/>
    <x v="0"/>
    <n v="0"/>
    <n v="20"/>
    <n v="7"/>
    <n v="48"/>
    <n v="8.76"/>
    <n v="70.59"/>
    <n v="133.97"/>
    <n v="11.498438014700289"/>
    <n v="92.6281433384992"/>
    <n v="114.76529888966962"/>
    <n v="21041.52"/>
    <n v="75731.987370000003"/>
    <n v="143728.77671000001"/>
    <n v="27619.248111310095"/>
    <n v="99375.455183705504"/>
    <n v="123125.14755668983"/>
  </r>
  <r>
    <s v="Regular"/>
    <x v="0"/>
    <x v="0"/>
    <x v="0"/>
    <x v="0"/>
    <x v="0"/>
    <x v="0"/>
    <x v="0"/>
    <x v="3"/>
    <n v="2500"/>
    <n v="2500"/>
    <n v="1023.229"/>
    <n v="1023.229"/>
    <n v="1023.229"/>
    <n v="1023.229"/>
    <n v="0"/>
    <x v="0"/>
    <n v="0"/>
    <n v="20"/>
    <n v="7"/>
    <n v="48"/>
    <n v="8.76"/>
    <n v="70.59"/>
    <n v="133.97"/>
    <n v="11.498438014700289"/>
    <n v="92.6281433384992"/>
    <n v="114.76529888966962"/>
    <n v="21900"/>
    <n v="72229.735110000009"/>
    <n v="137081.98913"/>
    <n v="28746.095036750721"/>
    <n v="94779.802480109196"/>
    <n v="117431.18201757777"/>
  </r>
  <r>
    <s v="Regular"/>
    <x v="0"/>
    <x v="0"/>
    <x v="0"/>
    <x v="0"/>
    <x v="0"/>
    <x v="0"/>
    <x v="0"/>
    <x v="4"/>
    <n v="2459"/>
    <n v="2459"/>
    <n v="1381.9390000000001"/>
    <n v="1381.9390000000001"/>
    <n v="1381.9390000000001"/>
    <n v="1381.9390000000001"/>
    <n v="0"/>
    <x v="0"/>
    <n v="0"/>
    <n v="20"/>
    <n v="7"/>
    <n v="48"/>
    <n v="8.76"/>
    <n v="70.59"/>
    <n v="133.97"/>
    <n v="11.498438014700289"/>
    <n v="92.6281433384992"/>
    <n v="114.76529888966962"/>
    <n v="21540.84"/>
    <n v="97551.074010000011"/>
    <n v="185138.36783"/>
    <n v="28274.659078148012"/>
    <n v="128006.44377706225"/>
    <n v="158598.64238229115"/>
  </r>
  <r>
    <s v="Regular"/>
    <x v="0"/>
    <x v="0"/>
    <x v="0"/>
    <x v="0"/>
    <x v="0"/>
    <x v="0"/>
    <x v="0"/>
    <x v="5"/>
    <n v="2361"/>
    <n v="2361"/>
    <n v="1251.78"/>
    <n v="1251.78"/>
    <n v="1251.78"/>
    <n v="1251.78"/>
    <n v="0"/>
    <x v="0"/>
    <n v="0"/>
    <n v="20"/>
    <n v="7"/>
    <n v="48"/>
    <n v="8.76"/>
    <n v="70.59"/>
    <n v="133.97"/>
    <n v="11.498438014700289"/>
    <n v="92.6281433384992"/>
    <n v="114.76529888966962"/>
    <n v="20682.36"/>
    <n v="88363.150200000004"/>
    <n v="167700.96659999999"/>
    <n v="27147.812152707382"/>
    <n v="115950.05726826652"/>
    <n v="143660.90584411065"/>
  </r>
  <r>
    <s v="Regular"/>
    <x v="0"/>
    <x v="0"/>
    <x v="0"/>
    <x v="0"/>
    <x v="0"/>
    <x v="0"/>
    <x v="0"/>
    <x v="6"/>
    <n v="2500"/>
    <n v="2500"/>
    <n v="954.22400000000005"/>
    <n v="954.22400000000005"/>
    <n v="954.22400000000005"/>
    <n v="954.22400000000005"/>
    <n v="0"/>
    <x v="0"/>
    <n v="0"/>
    <n v="20"/>
    <n v="7"/>
    <n v="48"/>
    <n v="8.76"/>
    <n v="70.59"/>
    <n v="133.97"/>
    <n v="11.498438014700289"/>
    <n v="92.6281433384992"/>
    <n v="114.76529888966962"/>
    <n v="21900"/>
    <n v="67358.672160000002"/>
    <n v="127837.38928"/>
    <n v="28746.095036750721"/>
    <n v="88387.997449036062"/>
    <n v="109511.80256769611"/>
  </r>
  <r>
    <s v="Regular"/>
    <x v="0"/>
    <x v="0"/>
    <x v="0"/>
    <x v="0"/>
    <x v="0"/>
    <x v="0"/>
    <x v="0"/>
    <x v="7"/>
    <n v="2500"/>
    <n v="2500"/>
    <n v="879.77"/>
    <n v="879.77"/>
    <n v="879.77"/>
    <n v="879.77"/>
    <n v="0"/>
    <x v="0"/>
    <n v="0"/>
    <n v="20"/>
    <n v="7"/>
    <n v="48"/>
    <n v="8.76"/>
    <n v="70.59"/>
    <n v="133.97"/>
    <n v="11.498438014700289"/>
    <n v="92.6281433384992"/>
    <n v="114.76529888966962"/>
    <n v="21900"/>
    <n v="62102.9643"/>
    <n v="117862.78689999999"/>
    <n v="28746.095036750721"/>
    <n v="81491.461664911432"/>
    <n v="100967.06700416464"/>
  </r>
  <r>
    <s v="Regular"/>
    <x v="0"/>
    <x v="0"/>
    <x v="0"/>
    <x v="0"/>
    <x v="0"/>
    <x v="0"/>
    <x v="0"/>
    <x v="8"/>
    <n v="2502"/>
    <n v="2502"/>
    <n v="1084.095"/>
    <n v="1084.095"/>
    <n v="1084.095"/>
    <n v="1084.095"/>
    <n v="0"/>
    <x v="0"/>
    <n v="0"/>
    <n v="20"/>
    <n v="7"/>
    <n v="48"/>
    <n v="8.76"/>
    <n v="70.59"/>
    <n v="133.97"/>
    <n v="11.498438014700289"/>
    <n v="92.6281433384992"/>
    <n v="114.76529888966962"/>
    <n v="21917.52"/>
    <n v="76526.266050000006"/>
    <n v="145236.20715"/>
    <n v="28769.091912780124"/>
    <n v="100417.70705255029"/>
    <n v="124416.4866997964"/>
  </r>
  <r>
    <s v="Regular"/>
    <x v="0"/>
    <x v="0"/>
    <x v="0"/>
    <x v="0"/>
    <x v="0"/>
    <x v="0"/>
    <x v="0"/>
    <x v="9"/>
    <n v="2495"/>
    <n v="2495"/>
    <n v="783.94200000000001"/>
    <n v="783.94200000000001"/>
    <n v="783.94200000000001"/>
    <n v="783.94200000000001"/>
    <n v="0"/>
    <x v="0"/>
    <n v="0"/>
    <n v="20"/>
    <n v="7"/>
    <n v="48"/>
    <n v="8.76"/>
    <n v="70.59"/>
    <n v="133.97"/>
    <n v="11.498438014700289"/>
    <n v="92.6281433384992"/>
    <n v="114.76529888966962"/>
    <n v="21856.2"/>
    <n v="55338.465780000006"/>
    <n v="105024.70974000001"/>
    <n v="28688.602846677222"/>
    <n v="72615.09194506974"/>
    <n v="89969.337942165381"/>
  </r>
  <r>
    <s v="Regular"/>
    <x v="0"/>
    <x v="0"/>
    <x v="0"/>
    <x v="0"/>
    <x v="0"/>
    <x v="0"/>
    <x v="0"/>
    <x v="10"/>
    <n v="2434"/>
    <n v="2434"/>
    <n v="869.30399999999997"/>
    <n v="869.30399999999997"/>
    <n v="869.30399999999997"/>
    <n v="869.30399999999997"/>
    <n v="0"/>
    <x v="0"/>
    <n v="0"/>
    <n v="20"/>
    <n v="7"/>
    <n v="48"/>
    <n v="8.76"/>
    <n v="70.59"/>
    <n v="133.97"/>
    <n v="11.498438014700289"/>
    <n v="92.6281433384992"/>
    <n v="114.76529888966962"/>
    <n v="21321.84"/>
    <n v="61364.16936"/>
    <n v="116460.65687999999"/>
    <n v="27987.198127780503"/>
    <n v="80522.015516730709"/>
    <n v="99765.933385985365"/>
  </r>
  <r>
    <s v="PROJETADO"/>
    <x v="0"/>
    <x v="0"/>
    <x v="0"/>
    <x v="0"/>
    <x v="0"/>
    <x v="0"/>
    <x v="0"/>
    <x v="11"/>
    <n v="2434"/>
    <n v="2434"/>
    <n v="869.30399999999997"/>
    <n v="869.30399999999997"/>
    <n v="869.30399999999997"/>
    <n v="869.30399999999997"/>
    <n v="0"/>
    <x v="0"/>
    <n v="0"/>
    <n v="20"/>
    <n v="7"/>
    <n v="48"/>
    <n v="8.76"/>
    <n v="70.59"/>
    <n v="133.97"/>
    <n v="11.498438014700289"/>
    <n v="92.6281433384992"/>
    <n v="114.76529888966962"/>
    <n v="21321.84"/>
    <n v="61364.16936"/>
    <n v="116460.65687999999"/>
    <n v="27987.198127780503"/>
    <n v="80522.015516730709"/>
    <n v="99765.933385985365"/>
  </r>
  <r>
    <s v="Regular"/>
    <x v="0"/>
    <x v="0"/>
    <x v="0"/>
    <x v="0"/>
    <x v="0"/>
    <x v="0"/>
    <x v="1"/>
    <x v="0"/>
    <n v="2386"/>
    <n v="2386"/>
    <n v="98.867000000000004"/>
    <n v="98.867000000000004"/>
    <n v="98.867000000000004"/>
    <n v="98.867000000000004"/>
    <n v="0"/>
    <x v="0"/>
    <n v="0"/>
    <n v="15"/>
    <n v="7"/>
    <n v="37"/>
    <n v="21.75"/>
    <n v="70.59"/>
    <n v="133.97"/>
    <n v="27.289864707263106"/>
    <n v="92.6281433384992"/>
    <n v="114.76529888966962"/>
    <n v="51895.5"/>
    <n v="6979.0215300000009"/>
    <n v="13245.21199"/>
    <n v="65113.617191529775"/>
    <n v="9157.8666474474012"/>
    <n v="11346.500805324968"/>
  </r>
  <r>
    <s v="Regular"/>
    <x v="0"/>
    <x v="0"/>
    <x v="0"/>
    <x v="0"/>
    <x v="0"/>
    <x v="0"/>
    <x v="1"/>
    <x v="1"/>
    <n v="2497"/>
    <n v="2497"/>
    <n v="88.641000000000005"/>
    <n v="88.641000000000005"/>
    <n v="88.641000000000005"/>
    <n v="88.641000000000005"/>
    <n v="0"/>
    <x v="0"/>
    <n v="0"/>
    <n v="15"/>
    <n v="7"/>
    <n v="37"/>
    <n v="21.75"/>
    <n v="70.59"/>
    <n v="133.97"/>
    <n v="27.289864707263106"/>
    <n v="92.6281433384992"/>
    <n v="114.76529888966962"/>
    <n v="54309.75"/>
    <n v="6257.1681900000003"/>
    <n v="11875.234770000001"/>
    <n v="68142.792174035974"/>
    <n v="8210.6512536679074"/>
    <n v="10172.910858879206"/>
  </r>
  <r>
    <s v="Regular"/>
    <x v="0"/>
    <x v="0"/>
    <x v="0"/>
    <x v="0"/>
    <x v="0"/>
    <x v="0"/>
    <x v="1"/>
    <x v="2"/>
    <n v="2353"/>
    <n v="2353"/>
    <n v="101.35"/>
    <n v="101.35"/>
    <n v="101.35"/>
    <n v="101.35"/>
    <n v="0"/>
    <x v="0"/>
    <n v="0"/>
    <n v="15"/>
    <n v="7"/>
    <n v="37"/>
    <n v="21.75"/>
    <n v="70.59"/>
    <n v="133.97"/>
    <n v="27.289864707263106"/>
    <n v="92.6281433384992"/>
    <n v="114.76529888966962"/>
    <n v="51177.75"/>
    <n v="7154.2965000000004"/>
    <n v="13577.859499999999"/>
    <n v="64213.051656190088"/>
    <n v="9387.8623273568937"/>
    <n v="11631.463042468016"/>
  </r>
  <r>
    <s v="Regular"/>
    <x v="0"/>
    <x v="0"/>
    <x v="0"/>
    <x v="0"/>
    <x v="0"/>
    <x v="0"/>
    <x v="1"/>
    <x v="3"/>
    <n v="2442"/>
    <n v="2442"/>
    <n v="110.199"/>
    <n v="110.199"/>
    <n v="110.199"/>
    <n v="110.199"/>
    <n v="0"/>
    <x v="0"/>
    <n v="0"/>
    <n v="15"/>
    <n v="7"/>
    <n v="37"/>
    <n v="21.75"/>
    <n v="70.59"/>
    <n v="133.97"/>
    <n v="27.289864707263106"/>
    <n v="92.6281433384992"/>
    <n v="114.76529888966962"/>
    <n v="53113.5"/>
    <n v="7778.9474100000007"/>
    <n v="14763.36003"/>
    <n v="66641.849615136511"/>
    <n v="10207.528767759273"/>
    <n v="12647.021172342702"/>
  </r>
  <r>
    <s v="Regular"/>
    <x v="0"/>
    <x v="0"/>
    <x v="0"/>
    <x v="0"/>
    <x v="0"/>
    <x v="0"/>
    <x v="1"/>
    <x v="4"/>
    <n v="2441"/>
    <n v="2441"/>
    <n v="123.512"/>
    <n v="123.512"/>
    <n v="123.512"/>
    <n v="123.512"/>
    <n v="0"/>
    <x v="0"/>
    <n v="0"/>
    <n v="15"/>
    <n v="7"/>
    <n v="37"/>
    <n v="21.75"/>
    <n v="70.59"/>
    <n v="133.97"/>
    <n v="27.289864707263106"/>
    <n v="92.6281433384992"/>
    <n v="114.76529888966962"/>
    <n v="53091.75"/>
    <n v="8718.7120800000012"/>
    <n v="16546.90264"/>
    <n v="66614.559750429238"/>
    <n v="11440.687240024714"/>
    <n v="14174.891596460875"/>
  </r>
  <r>
    <s v="Regular"/>
    <x v="0"/>
    <x v="0"/>
    <x v="0"/>
    <x v="0"/>
    <x v="0"/>
    <x v="0"/>
    <x v="1"/>
    <x v="5"/>
    <n v="2359"/>
    <n v="2359"/>
    <n v="122.203"/>
    <n v="122.203"/>
    <n v="122.203"/>
    <n v="122.203"/>
    <n v="0"/>
    <x v="0"/>
    <n v="0"/>
    <n v="15"/>
    <n v="7"/>
    <n v="37"/>
    <n v="21.75"/>
    <n v="70.59"/>
    <n v="133.97"/>
    <n v="27.289864707263106"/>
    <n v="92.6281433384992"/>
    <n v="114.76529888966962"/>
    <n v="51308.25"/>
    <n v="8626.3097699999998"/>
    <n v="16371.535910000001"/>
    <n v="64376.790844433664"/>
    <n v="11319.437000394619"/>
    <n v="14024.663820214297"/>
  </r>
  <r>
    <s v="Regular"/>
    <x v="0"/>
    <x v="0"/>
    <x v="0"/>
    <x v="0"/>
    <x v="0"/>
    <x v="0"/>
    <x v="1"/>
    <x v="6"/>
    <n v="2477"/>
    <n v="2477"/>
    <n v="97.435000000000002"/>
    <n v="97.435000000000002"/>
    <n v="97.435000000000002"/>
    <n v="97.435000000000002"/>
    <n v="0"/>
    <x v="0"/>
    <n v="0"/>
    <n v="15"/>
    <n v="7"/>
    <n v="37"/>
    <n v="21.75"/>
    <n v="70.59"/>
    <n v="133.97"/>
    <n v="27.289864707263106"/>
    <n v="92.6281433384992"/>
    <n v="114.76529888966962"/>
    <n v="53874.75"/>
    <n v="6877.9366500000006"/>
    <n v="13053.36695"/>
    <n v="67596.994879890713"/>
    <n v="9025.2231461866704"/>
    <n v="11182.156897314961"/>
  </r>
  <r>
    <s v="Regular"/>
    <x v="0"/>
    <x v="0"/>
    <x v="0"/>
    <x v="0"/>
    <x v="0"/>
    <x v="0"/>
    <x v="1"/>
    <x v="7"/>
    <n v="2505"/>
    <n v="2505"/>
    <n v="82.11"/>
    <n v="82.11"/>
    <n v="82.11"/>
    <n v="82.11"/>
    <n v="0"/>
    <x v="0"/>
    <n v="0"/>
    <n v="15"/>
    <n v="7"/>
    <n v="37"/>
    <n v="21.75"/>
    <n v="70.59"/>
    <n v="133.97"/>
    <n v="27.289864707263106"/>
    <n v="92.6281433384992"/>
    <n v="114.76529888966962"/>
    <n v="54483.75"/>
    <n v="5796.1449000000002"/>
    <n v="11000.2767"/>
    <n v="68361.111091694082"/>
    <n v="7605.696849524169"/>
    <n v="9423.3786918307724"/>
  </r>
  <r>
    <s v="Regular"/>
    <x v="0"/>
    <x v="0"/>
    <x v="0"/>
    <x v="0"/>
    <x v="0"/>
    <x v="0"/>
    <x v="1"/>
    <x v="8"/>
    <n v="2460"/>
    <n v="2460"/>
    <n v="106.626"/>
    <n v="106.626"/>
    <n v="106.626"/>
    <n v="106.626"/>
    <n v="0"/>
    <x v="0"/>
    <n v="0"/>
    <n v="15"/>
    <n v="7"/>
    <n v="37"/>
    <n v="21.75"/>
    <n v="70.59"/>
    <n v="133.97"/>
    <n v="27.289864707263106"/>
    <n v="92.6281433384992"/>
    <n v="114.76529888966962"/>
    <n v="53505"/>
    <n v="7526.7293400000008"/>
    <n v="14284.685220000001"/>
    <n v="67133.067179867241"/>
    <n v="9876.5684116108168"/>
    <n v="12236.964759409913"/>
  </r>
  <r>
    <s v="Regular"/>
    <x v="0"/>
    <x v="0"/>
    <x v="0"/>
    <x v="0"/>
    <x v="0"/>
    <x v="0"/>
    <x v="1"/>
    <x v="9"/>
    <n v="2467"/>
    <n v="2467"/>
    <n v="78.682000000000002"/>
    <n v="78.682000000000002"/>
    <n v="78.682000000000002"/>
    <n v="78.682000000000002"/>
    <n v="0"/>
    <x v="0"/>
    <n v="0"/>
    <n v="15"/>
    <n v="7"/>
    <n v="37"/>
    <n v="21.75"/>
    <n v="70.59"/>
    <n v="133.97"/>
    <n v="27.289864707263106"/>
    <n v="92.6281433384992"/>
    <n v="114.76529888966962"/>
    <n v="53657.25"/>
    <n v="5554.1623800000007"/>
    <n v="10541.027540000001"/>
    <n v="67324.09623281809"/>
    <n v="7288.1675741597946"/>
    <n v="9029.9632472369849"/>
  </r>
  <r>
    <s v="Regular"/>
    <x v="0"/>
    <x v="0"/>
    <x v="0"/>
    <x v="0"/>
    <x v="0"/>
    <x v="0"/>
    <x v="1"/>
    <x v="10"/>
    <n v="2437"/>
    <n v="2437"/>
    <n v="84.813999999999993"/>
    <n v="84.813999999999993"/>
    <n v="84.813999999999993"/>
    <n v="84.813999999999993"/>
    <n v="0"/>
    <x v="0"/>
    <n v="0"/>
    <n v="15"/>
    <n v="7"/>
    <n v="37"/>
    <n v="21.75"/>
    <n v="70.59"/>
    <n v="133.97"/>
    <n v="27.289864707263106"/>
    <n v="92.6281433384992"/>
    <n v="114.76529888966962"/>
    <n v="53004.75"/>
    <n v="5987.0202600000002"/>
    <n v="11362.531579999999"/>
    <n v="66505.400291600192"/>
    <n v="7856.1633491114708"/>
    <n v="9733.7040600284381"/>
  </r>
  <r>
    <s v="PROJETADO"/>
    <x v="0"/>
    <x v="0"/>
    <x v="0"/>
    <x v="0"/>
    <x v="0"/>
    <x v="0"/>
    <x v="1"/>
    <x v="11"/>
    <n v="2437"/>
    <n v="2437"/>
    <n v="84.813999999999993"/>
    <n v="84.813999999999993"/>
    <n v="84.813999999999993"/>
    <n v="84.813999999999993"/>
    <n v="0"/>
    <x v="0"/>
    <n v="0"/>
    <n v="15"/>
    <n v="7"/>
    <n v="37"/>
    <n v="21.75"/>
    <n v="70.59"/>
    <n v="133.97"/>
    <n v="27.289864707263106"/>
    <n v="92.6281433384992"/>
    <n v="114.76529888966962"/>
    <n v="53004.75"/>
    <n v="5987.0202600000002"/>
    <n v="11362.531579999999"/>
    <n v="66505.400291600192"/>
    <n v="7856.1633491114708"/>
    <n v="9733.7040600284381"/>
  </r>
  <r>
    <s v="Regular"/>
    <x v="1"/>
    <x v="0"/>
    <x v="0"/>
    <x v="0"/>
    <x v="0"/>
    <x v="0"/>
    <x v="0"/>
    <x v="0"/>
    <n v="6050"/>
    <n v="6050"/>
    <n v="2995.3240000000001"/>
    <n v="2995.3240000000001"/>
    <n v="2995.3240000000001"/>
    <n v="2995.3240000000001"/>
    <n v="0"/>
    <x v="0"/>
    <n v="0"/>
    <n v="12"/>
    <n v="10"/>
    <n v="85"/>
    <n v="14.45"/>
    <n v="90.67"/>
    <n v="133.97"/>
    <n v="18.372313529244348"/>
    <n v="121.64342985575733"/>
    <n v="114.76529888966962"/>
    <n v="87422.5"/>
    <n v="271586.02708000003"/>
    <n v="401283.55628000002"/>
    <n v="111152.4968519283"/>
    <n v="364361.48488926649"/>
    <n v="343759.25413140078"/>
  </r>
  <r>
    <s v="Regular"/>
    <x v="1"/>
    <x v="0"/>
    <x v="0"/>
    <x v="0"/>
    <x v="0"/>
    <x v="0"/>
    <x v="0"/>
    <x v="1"/>
    <n v="6088"/>
    <n v="6088"/>
    <n v="2873.0790000000002"/>
    <n v="2873.0790000000002"/>
    <n v="2873.0790000000002"/>
    <n v="2873.0790000000002"/>
    <n v="0"/>
    <x v="0"/>
    <n v="0"/>
    <n v="12"/>
    <n v="10"/>
    <n v="85"/>
    <n v="14.45"/>
    <n v="90.67"/>
    <n v="133.97"/>
    <n v="18.372313529244348"/>
    <n v="121.64342985575733"/>
    <n v="114.76529888966962"/>
    <n v="87971.599999999991"/>
    <n v="260502.07293000002"/>
    <n v="384906.39363000001"/>
    <n v="111850.64476603959"/>
    <n v="349491.18380654947"/>
    <n v="329729.77016863314"/>
  </r>
  <r>
    <s v="Regular"/>
    <x v="1"/>
    <x v="0"/>
    <x v="0"/>
    <x v="0"/>
    <x v="0"/>
    <x v="0"/>
    <x v="0"/>
    <x v="2"/>
    <n v="6276"/>
    <n v="6276"/>
    <n v="3062.462"/>
    <n v="3062.462"/>
    <n v="3062.462"/>
    <n v="3062.462"/>
    <n v="0"/>
    <x v="0"/>
    <n v="0"/>
    <n v="12"/>
    <n v="10"/>
    <n v="85"/>
    <n v="14.45"/>
    <n v="90.67"/>
    <n v="133.97"/>
    <n v="18.372313529244348"/>
    <n v="121.64342985575733"/>
    <n v="114.76529888966962"/>
    <n v="90688.2"/>
    <n v="277673.42953999998"/>
    <n v="410278.03414"/>
    <n v="115304.63970953753"/>
    <n v="372528.3814829223"/>
    <n v="351464.36676825542"/>
  </r>
  <r>
    <s v="Regular"/>
    <x v="1"/>
    <x v="0"/>
    <x v="0"/>
    <x v="0"/>
    <x v="0"/>
    <x v="0"/>
    <x v="0"/>
    <x v="3"/>
    <n v="6256"/>
    <n v="6256"/>
    <n v="3047.5450000000001"/>
    <n v="3047.5450000000001"/>
    <n v="3047.5450000000001"/>
    <n v="3047.5450000000001"/>
    <n v="0"/>
    <x v="0"/>
    <n v="0"/>
    <n v="12"/>
    <n v="10"/>
    <n v="85"/>
    <n v="14.45"/>
    <n v="90.67"/>
    <n v="133.97"/>
    <n v="18.372313529244348"/>
    <n v="121.64342985575733"/>
    <n v="114.76529888966962"/>
    <n v="90399.2"/>
    <n v="276320.90515000001"/>
    <n v="408279.60365"/>
    <n v="114937.19343895264"/>
    <n v="370713.826439764"/>
    <n v="349752.41280471825"/>
  </r>
  <r>
    <s v="Regular"/>
    <x v="1"/>
    <x v="0"/>
    <x v="0"/>
    <x v="0"/>
    <x v="0"/>
    <x v="0"/>
    <x v="0"/>
    <x v="4"/>
    <n v="6317"/>
    <n v="6317"/>
    <n v="3177.6329999999998"/>
    <n v="3177.6329999999998"/>
    <n v="3177.6329999999998"/>
    <n v="3177.6329999999998"/>
    <n v="0"/>
    <x v="0"/>
    <n v="0"/>
    <n v="12"/>
    <n v="10"/>
    <n v="85"/>
    <n v="14.45"/>
    <n v="90.67"/>
    <n v="133.97"/>
    <n v="18.372313529244348"/>
    <n v="121.64342985575733"/>
    <n v="114.76529888966962"/>
    <n v="91280.65"/>
    <n v="288115.98410999996"/>
    <n v="425707.49300999998"/>
    <n v="116057.90456423655"/>
    <n v="386538.17694283969"/>
    <n v="364682.00100667751"/>
  </r>
  <r>
    <s v="Regular"/>
    <x v="1"/>
    <x v="0"/>
    <x v="0"/>
    <x v="0"/>
    <x v="0"/>
    <x v="0"/>
    <x v="0"/>
    <x v="5"/>
    <n v="6290"/>
    <n v="6290"/>
    <n v="2984.953"/>
    <n v="2984.953"/>
    <n v="2984.953"/>
    <n v="2984.953"/>
    <n v="0"/>
    <x v="0"/>
    <n v="0"/>
    <n v="12"/>
    <n v="10"/>
    <n v="85"/>
    <n v="14.45"/>
    <n v="90.67"/>
    <n v="133.97"/>
    <n v="18.372313529244348"/>
    <n v="121.64342985575733"/>
    <n v="114.76529888966962"/>
    <n v="90890.5"/>
    <n v="270645.68851000001"/>
    <n v="399894.15340999997"/>
    <n v="115561.85209894695"/>
    <n v="363099.9208782324"/>
    <n v="342569.02321661601"/>
  </r>
  <r>
    <s v="Regular"/>
    <x v="1"/>
    <x v="0"/>
    <x v="0"/>
    <x v="0"/>
    <x v="0"/>
    <x v="0"/>
    <x v="0"/>
    <x v="6"/>
    <n v="6633"/>
    <n v="6633"/>
    <n v="3365.5079999999998"/>
    <n v="3365.5079999999998"/>
    <n v="3365.5079999999998"/>
    <n v="3365.5079999999998"/>
    <n v="0"/>
    <x v="0"/>
    <n v="0"/>
    <n v="12"/>
    <n v="10"/>
    <n v="85"/>
    <n v="14.45"/>
    <n v="90.67"/>
    <n v="133.97"/>
    <n v="18.372313529244348"/>
    <n v="121.64342985575733"/>
    <n v="114.76529888966962"/>
    <n v="95846.849999999991"/>
    <n v="305150.61035999999"/>
    <n v="450877.10676"/>
    <n v="121863.55563947777"/>
    <n v="409391.93632699014"/>
    <n v="386243.53153557424"/>
  </r>
  <r>
    <s v="Regular"/>
    <x v="1"/>
    <x v="0"/>
    <x v="0"/>
    <x v="0"/>
    <x v="0"/>
    <x v="0"/>
    <x v="0"/>
    <x v="7"/>
    <n v="6250"/>
    <n v="6250"/>
    <n v="2870.52"/>
    <n v="2870.52"/>
    <n v="2870.52"/>
    <n v="2870.52"/>
    <n v="0"/>
    <x v="0"/>
    <n v="0"/>
    <n v="12"/>
    <n v="10"/>
    <n v="85"/>
    <n v="14.45"/>
    <n v="90.67"/>
    <n v="133.97"/>
    <n v="18.372313529244348"/>
    <n v="121.64342985575733"/>
    <n v="114.76529888966962"/>
    <n v="90312.5"/>
    <n v="260270.0484"/>
    <n v="384563.56439999997"/>
    <n v="114826.95955777717"/>
    <n v="349179.89826954855"/>
    <n v="329436.08576877444"/>
  </r>
  <r>
    <s v="Regular"/>
    <x v="1"/>
    <x v="0"/>
    <x v="0"/>
    <x v="0"/>
    <x v="0"/>
    <x v="0"/>
    <x v="0"/>
    <x v="8"/>
    <n v="6095"/>
    <n v="6095"/>
    <n v="3039.1750000000002"/>
    <n v="3039.1750000000002"/>
    <n v="3039.1750000000002"/>
    <n v="3039.1750000000002"/>
    <n v="0"/>
    <x v="0"/>
    <n v="0"/>
    <n v="12"/>
    <n v="10"/>
    <n v="85"/>
    <n v="14.45"/>
    <n v="90.67"/>
    <n v="133.97"/>
    <n v="18.372313529244348"/>
    <n v="121.64342985575733"/>
    <n v="114.76529888966962"/>
    <n v="88072.75"/>
    <n v="275561.99725000001"/>
    <n v="407158.27475000004"/>
    <n v="111979.25096074431"/>
    <n v="369695.67093187134"/>
    <n v="348791.8272530117"/>
  </r>
  <r>
    <s v="Regular"/>
    <x v="1"/>
    <x v="0"/>
    <x v="0"/>
    <x v="0"/>
    <x v="0"/>
    <x v="0"/>
    <x v="0"/>
    <x v="9"/>
    <n v="6108"/>
    <n v="6108"/>
    <n v="2791.9110000000001"/>
    <n v="2791.9110000000001"/>
    <n v="2791.9110000000001"/>
    <n v="2791.9110000000001"/>
    <n v="0"/>
    <x v="0"/>
    <n v="0"/>
    <n v="12"/>
    <n v="10"/>
    <n v="85"/>
    <n v="14.45"/>
    <n v="90.67"/>
    <n v="133.97"/>
    <n v="18.372313529244348"/>
    <n v="121.64342985575733"/>
    <n v="114.76529888966962"/>
    <n v="88260.599999999991"/>
    <n v="253142.57037"/>
    <n v="374032.31667000003"/>
    <n v="112218.09103662448"/>
    <n v="339617.62989201734"/>
    <n v="320414.50038835639"/>
  </r>
  <r>
    <s v="Regular"/>
    <x v="1"/>
    <x v="0"/>
    <x v="0"/>
    <x v="0"/>
    <x v="0"/>
    <x v="0"/>
    <x v="0"/>
    <x v="10"/>
    <n v="6209"/>
    <n v="6209"/>
    <n v="3121.3009999999999"/>
    <n v="3121.3009999999999"/>
    <n v="3121.3009999999999"/>
    <n v="3121.3009999999999"/>
    <n v="0"/>
    <x v="0"/>
    <n v="0"/>
    <n v="12"/>
    <n v="10"/>
    <n v="85"/>
    <n v="14.45"/>
    <n v="90.67"/>
    <n v="133.97"/>
    <n v="18.372313529244348"/>
    <n v="121.64342985575733"/>
    <n v="114.76529888966962"/>
    <n v="89720.049999999988"/>
    <n v="283008.36167000001"/>
    <n v="418160.69497000001"/>
    <n v="114073.69470307816"/>
    <n v="379685.7592522052"/>
    <n v="358217.04218962468"/>
  </r>
  <r>
    <s v="PROJETADO"/>
    <x v="1"/>
    <x v="0"/>
    <x v="0"/>
    <x v="0"/>
    <x v="0"/>
    <x v="0"/>
    <x v="0"/>
    <x v="11"/>
    <n v="6209"/>
    <n v="6209"/>
    <n v="3121.3009999999999"/>
    <n v="3121.3009999999999"/>
    <n v="3121.3009999999999"/>
    <n v="3121.3009999999999"/>
    <n v="0"/>
    <x v="0"/>
    <n v="0"/>
    <n v="12"/>
    <n v="10"/>
    <n v="85"/>
    <n v="14.45"/>
    <n v="90.67"/>
    <n v="133.97"/>
    <n v="18.372313529244348"/>
    <n v="121.64342985575733"/>
    <n v="114.76529888966962"/>
    <n v="89720.049999999988"/>
    <n v="283008.36167000001"/>
    <n v="418160.69497000001"/>
    <n v="114073.69470307816"/>
    <n v="379685.7592522052"/>
    <n v="358217.04218962468"/>
  </r>
  <r>
    <s v="Regular"/>
    <x v="1"/>
    <x v="0"/>
    <x v="0"/>
    <x v="0"/>
    <x v="0"/>
    <x v="0"/>
    <x v="1"/>
    <x v="0"/>
    <n v="5950"/>
    <n v="5950"/>
    <n v="311.45"/>
    <n v="311.45"/>
    <n v="311.45"/>
    <n v="311.45"/>
    <n v="0"/>
    <x v="0"/>
    <n v="0"/>
    <n v="17"/>
    <n v="10"/>
    <n v="64"/>
    <n v="38.14"/>
    <n v="90.67"/>
    <n v="133.97"/>
    <n v="47.10799658431754"/>
    <n v="121.64342985575733"/>
    <n v="114.76529888966962"/>
    <n v="226933"/>
    <n v="28239.1715"/>
    <n v="41724.9565"/>
    <n v="280292.57967668935"/>
    <n v="37885.846228575618"/>
    <n v="35743.652339187604"/>
  </r>
  <r>
    <s v="Regular"/>
    <x v="1"/>
    <x v="0"/>
    <x v="0"/>
    <x v="0"/>
    <x v="0"/>
    <x v="0"/>
    <x v="1"/>
    <x v="1"/>
    <n v="5950"/>
    <n v="5950"/>
    <n v="306.77300000000002"/>
    <n v="306.77300000000002"/>
    <n v="306.77300000000002"/>
    <n v="306.77300000000002"/>
    <n v="0"/>
    <x v="0"/>
    <n v="0"/>
    <n v="17"/>
    <n v="10"/>
    <n v="64"/>
    <n v="38.14"/>
    <n v="90.67"/>
    <n v="133.97"/>
    <n v="47.10799658431754"/>
    <n v="121.64342985575733"/>
    <n v="114.76529888966962"/>
    <n v="226933"/>
    <n v="27815.107910000002"/>
    <n v="41098.378810000002"/>
    <n v="280292.57967668935"/>
    <n v="37316.919907140247"/>
    <n v="35206.895036280621"/>
  </r>
  <r>
    <s v="Regular"/>
    <x v="1"/>
    <x v="0"/>
    <x v="0"/>
    <x v="0"/>
    <x v="0"/>
    <x v="0"/>
    <x v="1"/>
    <x v="2"/>
    <n v="6122"/>
    <n v="6122"/>
    <n v="329.608"/>
    <n v="329.608"/>
    <n v="329.608"/>
    <n v="329.608"/>
    <n v="0"/>
    <x v="0"/>
    <n v="0"/>
    <n v="17"/>
    <n v="10"/>
    <n v="64"/>
    <n v="38.14"/>
    <n v="90.67"/>
    <n v="133.97"/>
    <n v="47.10799658431754"/>
    <n v="121.64342985575733"/>
    <n v="114.76529888966962"/>
    <n v="233493.08000000002"/>
    <n v="29885.557360000003"/>
    <n v="44157.583760000001"/>
    <n v="288395.15508919198"/>
    <n v="40094.647627896462"/>
    <n v="37827.560636426228"/>
  </r>
  <r>
    <s v="Regular"/>
    <x v="1"/>
    <x v="0"/>
    <x v="0"/>
    <x v="0"/>
    <x v="0"/>
    <x v="0"/>
    <x v="1"/>
    <x v="3"/>
    <n v="5967"/>
    <n v="5967"/>
    <n v="354.03300000000002"/>
    <n v="354.03300000000002"/>
    <n v="354.03300000000002"/>
    <n v="354.03300000000002"/>
    <n v="0"/>
    <x v="0"/>
    <n v="0"/>
    <n v="17"/>
    <n v="10"/>
    <n v="64"/>
    <n v="38.14"/>
    <n v="90.67"/>
    <n v="133.97"/>
    <n v="47.10799658431754"/>
    <n v="121.64342985575733"/>
    <n v="114.76529888966962"/>
    <n v="227581.38"/>
    <n v="32100.172110000003"/>
    <n v="47429.801010000003"/>
    <n v="281093.41561862273"/>
    <n v="43065.78840212334"/>
    <n v="40630.703061806409"/>
  </r>
  <r>
    <s v="Regular"/>
    <x v="1"/>
    <x v="0"/>
    <x v="0"/>
    <x v="0"/>
    <x v="0"/>
    <x v="0"/>
    <x v="1"/>
    <x v="4"/>
    <n v="6189"/>
    <n v="6189"/>
    <n v="360.85199999999998"/>
    <n v="360.85199999999998"/>
    <n v="360.85199999999998"/>
    <n v="360.85199999999998"/>
    <n v="0"/>
    <x v="0"/>
    <n v="0"/>
    <n v="17"/>
    <n v="10"/>
    <n v="64"/>
    <n v="38.14"/>
    <n v="90.67"/>
    <n v="133.97"/>
    <n v="47.10799658431754"/>
    <n v="121.64342985575733"/>
    <n v="114.76529888966962"/>
    <n v="236048.46"/>
    <n v="32718.450839999998"/>
    <n v="48343.342439999993"/>
    <n v="291551.39086034126"/>
    <n v="43895.274950309744"/>
    <n v="41413.287634935063"/>
  </r>
  <r>
    <s v="Regular"/>
    <x v="1"/>
    <x v="0"/>
    <x v="0"/>
    <x v="0"/>
    <x v="0"/>
    <x v="0"/>
    <x v="1"/>
    <x v="5"/>
    <n v="6156"/>
    <n v="6156"/>
    <n v="337.88200000000001"/>
    <n v="337.88200000000001"/>
    <n v="337.88200000000001"/>
    <n v="337.88200000000001"/>
    <n v="0"/>
    <x v="0"/>
    <n v="0"/>
    <n v="17"/>
    <n v="10"/>
    <n v="64"/>
    <n v="38.14"/>
    <n v="90.67"/>
    <n v="133.97"/>
    <n v="47.10799658431754"/>
    <n v="121.64342985575733"/>
    <n v="114.76529888966962"/>
    <n v="234789.84"/>
    <n v="30635.76094"/>
    <n v="45266.05154"/>
    <n v="289996.82697305875"/>
    <n v="41101.125366523003"/>
    <n v="38777.128719439352"/>
  </r>
  <r>
    <s v="Regular"/>
    <x v="1"/>
    <x v="0"/>
    <x v="0"/>
    <x v="0"/>
    <x v="0"/>
    <x v="0"/>
    <x v="1"/>
    <x v="6"/>
    <n v="6176"/>
    <n v="6176"/>
    <n v="373.58699999999999"/>
    <n v="373.58699999999999"/>
    <n v="373.58699999999999"/>
    <n v="373.58699999999999"/>
    <n v="0"/>
    <x v="0"/>
    <n v="0"/>
    <n v="17"/>
    <n v="10"/>
    <n v="64"/>
    <n v="38.14"/>
    <n v="90.67"/>
    <n v="133.97"/>
    <n v="47.10799658431754"/>
    <n v="121.64342985575733"/>
    <n v="114.76529888966962"/>
    <n v="235552.64000000001"/>
    <n v="33873.133289999998"/>
    <n v="50049.450389999998"/>
    <n v="290938.98690474511"/>
    <n v="45444.404029522811"/>
    <n v="42874.823716295003"/>
  </r>
  <r>
    <s v="Regular"/>
    <x v="1"/>
    <x v="0"/>
    <x v="0"/>
    <x v="0"/>
    <x v="0"/>
    <x v="0"/>
    <x v="1"/>
    <x v="7"/>
    <n v="6169"/>
    <n v="6169"/>
    <n v="298.16000000000003"/>
    <n v="298.16000000000003"/>
    <n v="298.16000000000003"/>
    <n v="298.16000000000003"/>
    <n v="0"/>
    <x v="0"/>
    <n v="0"/>
    <n v="17"/>
    <n v="10"/>
    <n v="64"/>
    <n v="38.14"/>
    <n v="90.67"/>
    <n v="133.97"/>
    <n v="47.10799658431754"/>
    <n v="121.64342985575733"/>
    <n v="114.76529888966962"/>
    <n v="235285.66"/>
    <n v="27034.167200000004"/>
    <n v="39944.495200000005"/>
    <n v="290609.2309286549"/>
    <n v="36269.205045792609"/>
    <n v="34218.421516943898"/>
  </r>
  <r>
    <s v="Regular"/>
    <x v="1"/>
    <x v="0"/>
    <x v="0"/>
    <x v="0"/>
    <x v="0"/>
    <x v="0"/>
    <x v="1"/>
    <x v="8"/>
    <n v="6061"/>
    <n v="6061"/>
    <n v="355.01900000000001"/>
    <n v="355.01900000000001"/>
    <n v="355.01900000000001"/>
    <n v="355.01900000000001"/>
    <n v="0"/>
    <x v="0"/>
    <n v="0"/>
    <n v="17"/>
    <n v="10"/>
    <n v="64"/>
    <n v="38.14"/>
    <n v="90.67"/>
    <n v="133.97"/>
    <n v="47.10799658431754"/>
    <n v="121.64342985575733"/>
    <n v="114.76529888966962"/>
    <n v="231166.54"/>
    <n v="32189.57273"/>
    <n v="47561.895429999997"/>
    <n v="285521.56729754864"/>
    <n v="43185.728823961115"/>
    <n v="40743.861646511621"/>
  </r>
  <r>
    <s v="Regular"/>
    <x v="1"/>
    <x v="0"/>
    <x v="0"/>
    <x v="0"/>
    <x v="0"/>
    <x v="0"/>
    <x v="1"/>
    <x v="9"/>
    <n v="5950"/>
    <n v="5950"/>
    <n v="322.58199999999999"/>
    <n v="322.58199999999999"/>
    <n v="322.58199999999999"/>
    <n v="322.58199999999999"/>
    <n v="0"/>
    <x v="0"/>
    <n v="0"/>
    <n v="17"/>
    <n v="10"/>
    <n v="64"/>
    <n v="38.14"/>
    <n v="90.67"/>
    <n v="133.97"/>
    <n v="47.10799658431754"/>
    <n v="121.64342985575733"/>
    <n v="114.76529888966962"/>
    <n v="226933"/>
    <n v="29248.50994"/>
    <n v="43216.310539999999"/>
    <n v="280292.57967668935"/>
    <n v="39239.980889729908"/>
    <n v="37021.219646427402"/>
  </r>
  <r>
    <s v="Regular"/>
    <x v="1"/>
    <x v="0"/>
    <x v="0"/>
    <x v="0"/>
    <x v="0"/>
    <x v="0"/>
    <x v="1"/>
    <x v="10"/>
    <n v="6156"/>
    <n v="6156"/>
    <n v="345.2"/>
    <n v="345.2"/>
    <n v="345.2"/>
    <n v="345.2"/>
    <n v="0"/>
    <x v="0"/>
    <n v="0"/>
    <n v="17"/>
    <n v="10"/>
    <n v="64"/>
    <n v="38.14"/>
    <n v="90.67"/>
    <n v="133.97"/>
    <n v="47.10799658431754"/>
    <n v="121.64342985575733"/>
    <n v="114.76529888966962"/>
    <n v="234789.84"/>
    <n v="31299.284"/>
    <n v="46246.443999999996"/>
    <n v="289996.82697305875"/>
    <n v="41991.311986207431"/>
    <n v="39616.981176713954"/>
  </r>
  <r>
    <s v="PROJETADO"/>
    <x v="1"/>
    <x v="0"/>
    <x v="0"/>
    <x v="0"/>
    <x v="0"/>
    <x v="0"/>
    <x v="1"/>
    <x v="11"/>
    <n v="6156"/>
    <n v="6156"/>
    <n v="345.2"/>
    <n v="345.2"/>
    <n v="345.2"/>
    <n v="345.2"/>
    <n v="0"/>
    <x v="0"/>
    <n v="0"/>
    <n v="17"/>
    <n v="10"/>
    <n v="64"/>
    <n v="38.14"/>
    <n v="90.67"/>
    <n v="133.97"/>
    <n v="47.10799658431754"/>
    <n v="121.64342985575733"/>
    <n v="114.76529888966962"/>
    <n v="234789.84"/>
    <n v="31299.284"/>
    <n v="46246.443999999996"/>
    <n v="289996.82697305875"/>
    <n v="41991.311986207431"/>
    <n v="39616.981176713954"/>
  </r>
  <r>
    <s v="Regular"/>
    <x v="1"/>
    <x v="0"/>
    <x v="1"/>
    <x v="1"/>
    <x v="0"/>
    <x v="0"/>
    <x v="0"/>
    <x v="0"/>
    <n v="505"/>
    <n v="429.25"/>
    <n v="145.86699999999999"/>
    <n v="137.11497999999997"/>
    <n v="145.86699999999999"/>
    <n v="137.11497999999997"/>
    <n v="0"/>
    <x v="0"/>
    <n v="0"/>
    <n v="12"/>
    <n v="10"/>
    <n v="85"/>
    <n v="14.45"/>
    <n v="90.67"/>
    <n v="133.97"/>
    <n v="18.372313529244348"/>
    <n v="121.64342985575733"/>
    <n v="114.76529888966962"/>
    <n v="6202.6624999999995"/>
    <n v="12432.215236599997"/>
    <n v="18369.293870599995"/>
    <n v="7886.3155824281366"/>
    <n v="16679.136451803566"/>
    <n v="15736.041661951069"/>
  </r>
  <r>
    <s v="Regular"/>
    <x v="1"/>
    <x v="0"/>
    <x v="1"/>
    <x v="1"/>
    <x v="0"/>
    <x v="0"/>
    <x v="0"/>
    <x v="1"/>
    <n v="447"/>
    <n v="379.95"/>
    <n v="144.97499999999999"/>
    <n v="136.2765"/>
    <n v="144.97499999999999"/>
    <n v="136.2765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2356.190255"/>
    <n v="18256.962704999998"/>
    <n v="6980.56052543639"/>
    <n v="16577.140868738115"/>
    <n v="15639.813254138062"/>
  </r>
  <r>
    <s v="Regular"/>
    <x v="1"/>
    <x v="0"/>
    <x v="1"/>
    <x v="1"/>
    <x v="0"/>
    <x v="0"/>
    <x v="0"/>
    <x v="2"/>
    <n v="447"/>
    <n v="379.95"/>
    <n v="146.18100000000001"/>
    <n v="137.41014000000001"/>
    <n v="146.18100000000001"/>
    <n v="137.41014000000001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2458.977393800002"/>
    <n v="18408.836455800003"/>
    <n v="6980.56052543639"/>
    <n v="16715.040726559797"/>
    <n v="15769.915787571348"/>
  </r>
  <r>
    <s v="Regular"/>
    <x v="1"/>
    <x v="0"/>
    <x v="1"/>
    <x v="1"/>
    <x v="0"/>
    <x v="0"/>
    <x v="0"/>
    <x v="3"/>
    <n v="447"/>
    <n v="379.95"/>
    <n v="145.358"/>
    <n v="136.63651999999999"/>
    <n v="145.358"/>
    <n v="136.63651999999999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2388.8332684"/>
    <n v="18305.1945844"/>
    <n v="6980.56052543639"/>
    <n v="16620.934936354784"/>
    <n v="15681.13105704432"/>
  </r>
  <r>
    <s v="Regular"/>
    <x v="1"/>
    <x v="0"/>
    <x v="1"/>
    <x v="1"/>
    <x v="0"/>
    <x v="0"/>
    <x v="0"/>
    <x v="4"/>
    <n v="447"/>
    <n v="379.95"/>
    <n v="150.84800000000001"/>
    <n v="141.79712000000001"/>
    <n v="150.84800000000001"/>
    <n v="141.79712000000001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2856.744870400002"/>
    <n v="18996.560166400002"/>
    <n v="6980.56052543639"/>
    <n v="17248.688020468406"/>
    <n v="16273.388858494351"/>
  </r>
  <r>
    <s v="Regular"/>
    <x v="1"/>
    <x v="0"/>
    <x v="1"/>
    <x v="1"/>
    <x v="0"/>
    <x v="0"/>
    <x v="0"/>
    <x v="5"/>
    <n v="447"/>
    <n v="379.95"/>
    <n v="148.161"/>
    <n v="139.27134000000001"/>
    <n v="148.161"/>
    <n v="139.27134000000001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2627.7323978"/>
    <n v="18658.181419799999"/>
    <n v="6980.56052543639"/>
    <n v="16941.443478207333"/>
    <n v="15983.516961864801"/>
  </r>
  <r>
    <s v="Regular"/>
    <x v="1"/>
    <x v="0"/>
    <x v="1"/>
    <x v="1"/>
    <x v="0"/>
    <x v="0"/>
    <x v="0"/>
    <x v="6"/>
    <n v="447"/>
    <n v="379.95"/>
    <n v="160.24100000000001"/>
    <n v="150.62654000000001"/>
    <n v="160.24100000000001"/>
    <n v="150.62654000000001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3657.308381800001"/>
    <n v="20179.437563800002"/>
    <n v="6980.56052543639"/>
    <n v="18322.728952905425"/>
    <n v="17286.699883816778"/>
  </r>
  <r>
    <s v="Regular"/>
    <x v="1"/>
    <x v="0"/>
    <x v="1"/>
    <x v="1"/>
    <x v="0"/>
    <x v="0"/>
    <x v="0"/>
    <x v="7"/>
    <n v="447"/>
    <n v="379.95"/>
    <n v="137.077"/>
    <n v="128.85238000000001"/>
    <n v="137.077"/>
    <n v="128.85238000000001"/>
    <n v="0"/>
    <x v="0"/>
    <n v="0"/>
    <n v="12"/>
    <n v="10"/>
    <n v="85"/>
    <n v="14.45"/>
    <n v="90.67"/>
    <n v="133.97"/>
    <n v="18.372313529244348"/>
    <n v="121.64342985575733"/>
    <n v="114.76529888966962"/>
    <n v="5490.2774999999992"/>
    <n v="11683.0452946"/>
    <n v="17262.353348600001"/>
    <n v="6980.56052543639"/>
    <n v="15674.045448277391"/>
    <n v="14787.781903345289"/>
  </r>
  <r>
    <s v="Regular"/>
    <x v="1"/>
    <x v="0"/>
    <x v="1"/>
    <x v="1"/>
    <x v="0"/>
    <x v="0"/>
    <x v="0"/>
    <x v="8"/>
    <n v="497"/>
    <n v="422.45"/>
    <n v="130.45599999999999"/>
    <n v="122.62864"/>
    <n v="130.45599999999999"/>
    <n v="122.62864"/>
    <n v="0"/>
    <x v="0"/>
    <n v="0"/>
    <n v="12"/>
    <n v="10"/>
    <n v="85"/>
    <n v="14.45"/>
    <n v="90.67"/>
    <n v="133.97"/>
    <n v="18.372313529244348"/>
    <n v="121.64342985575733"/>
    <n v="114.76529888966962"/>
    <n v="6104.4024999999992"/>
    <n v="11118.738788800001"/>
    <n v="16428.558900799999"/>
    <n v="7761.3838504292744"/>
    <n v="14916.968368146918"/>
    <n v="14073.512522033696"/>
  </r>
  <r>
    <s v="Regular"/>
    <x v="1"/>
    <x v="0"/>
    <x v="1"/>
    <x v="1"/>
    <x v="0"/>
    <x v="0"/>
    <x v="0"/>
    <x v="9"/>
    <n v="497"/>
    <n v="422.45"/>
    <n v="136.583"/>
    <n v="128.38802000000001"/>
    <n v="136.583"/>
    <n v="128.38802000000001"/>
    <n v="0"/>
    <x v="0"/>
    <n v="0"/>
    <n v="12"/>
    <n v="10"/>
    <n v="85"/>
    <n v="14.45"/>
    <n v="90.67"/>
    <n v="133.97"/>
    <n v="18.372313529244348"/>
    <n v="121.64342985575733"/>
    <n v="114.76529888966962"/>
    <n v="6104.4024999999992"/>
    <n v="11640.941773400002"/>
    <n v="17200.143039400002"/>
    <n v="7761.3838504292744"/>
    <n v="15617.559105189572"/>
    <n v="14734.489489152882"/>
  </r>
  <r>
    <s v="Regular"/>
    <x v="1"/>
    <x v="0"/>
    <x v="1"/>
    <x v="1"/>
    <x v="0"/>
    <x v="0"/>
    <x v="0"/>
    <x v="10"/>
    <n v="497"/>
    <n v="422.45"/>
    <n v="162.51599999999999"/>
    <n v="152.76504"/>
    <n v="162.51599999999999"/>
    <n v="152.76504"/>
    <n v="0"/>
    <x v="0"/>
    <n v="0"/>
    <n v="12"/>
    <n v="10"/>
    <n v="85"/>
    <n v="14.45"/>
    <n v="90.67"/>
    <n v="133.97"/>
    <n v="18.372313529244348"/>
    <n v="121.64342985575733"/>
    <n v="114.76529888966962"/>
    <n v="6104.4024999999992"/>
    <n v="13851.2061768"/>
    <n v="20465.932408799999"/>
    <n v="7761.3838504292744"/>
    <n v="18582.863427651962"/>
    <n v="17532.125475492336"/>
  </r>
  <r>
    <s v="PROJETADO"/>
    <x v="1"/>
    <x v="0"/>
    <x v="1"/>
    <x v="1"/>
    <x v="0"/>
    <x v="0"/>
    <x v="0"/>
    <x v="11"/>
    <n v="497"/>
    <n v="422.45"/>
    <n v="162.51599999999999"/>
    <n v="152.76504"/>
    <n v="162.51599999999999"/>
    <n v="152.76504"/>
    <n v="0"/>
    <x v="0"/>
    <n v="0"/>
    <n v="12"/>
    <n v="10"/>
    <n v="85"/>
    <n v="14.45"/>
    <n v="90.67"/>
    <n v="133.97"/>
    <n v="18.372313529244348"/>
    <n v="121.64342985575733"/>
    <n v="114.76529888966962"/>
    <n v="6104.4024999999992"/>
    <n v="13851.2061768"/>
    <n v="20465.932408799999"/>
    <n v="7761.3838504292744"/>
    <n v="18582.863427651962"/>
    <n v="17532.125475492336"/>
  </r>
  <r>
    <s v="Regular"/>
    <x v="1"/>
    <x v="0"/>
    <x v="1"/>
    <x v="1"/>
    <x v="0"/>
    <x v="0"/>
    <x v="1"/>
    <x v="0"/>
    <n v="507"/>
    <n v="430.95"/>
    <n v="18.385000000000002"/>
    <n v="17.2819"/>
    <n v="18.385000000000002"/>
    <n v="17.2819"/>
    <n v="0"/>
    <x v="0"/>
    <n v="0"/>
    <n v="17"/>
    <n v="10"/>
    <n v="64"/>
    <n v="38.14"/>
    <n v="90.67"/>
    <n v="133.97"/>
    <n v="47.10799658431754"/>
    <n v="121.64342985575733"/>
    <n v="114.76529888966962"/>
    <n v="16436.433000000001"/>
    <n v="1566.949873"/>
    <n v="2315.2561430000001"/>
    <n v="20301.191128011644"/>
    <n v="2102.2295904242128"/>
    <n v="1983.3624188813815"/>
  </r>
  <r>
    <s v="Regular"/>
    <x v="1"/>
    <x v="0"/>
    <x v="1"/>
    <x v="1"/>
    <x v="0"/>
    <x v="0"/>
    <x v="1"/>
    <x v="1"/>
    <n v="403"/>
    <n v="342.55"/>
    <n v="19.538"/>
    <n v="18.36572"/>
    <n v="19.538"/>
    <n v="18.36572"/>
    <n v="0"/>
    <x v="0"/>
    <n v="0"/>
    <n v="17"/>
    <n v="10"/>
    <n v="64"/>
    <n v="38.14"/>
    <n v="90.67"/>
    <n v="133.97"/>
    <n v="47.10799658431754"/>
    <n v="121.64342985575733"/>
    <n v="114.76529888966962"/>
    <n v="13064.857"/>
    <n v="1665.2198324000001"/>
    <n v="2460.4555083999999"/>
    <n v="16136.844229957975"/>
    <n v="2234.0691725704796"/>
    <n v="2107.747345123983"/>
  </r>
  <r>
    <s v="Regular"/>
    <x v="1"/>
    <x v="0"/>
    <x v="1"/>
    <x v="1"/>
    <x v="0"/>
    <x v="0"/>
    <x v="1"/>
    <x v="2"/>
    <n v="401"/>
    <n v="340.84999999999997"/>
    <n v="18.024000000000001"/>
    <n v="16.94256"/>
    <n v="18.024000000000001"/>
    <n v="16.94256"/>
    <n v="0"/>
    <x v="0"/>
    <n v="0"/>
    <n v="17"/>
    <n v="10"/>
    <n v="64"/>
    <n v="38.14"/>
    <n v="90.67"/>
    <n v="133.97"/>
    <n v="47.10799658431754"/>
    <n v="121.64342985575733"/>
    <n v="114.76529888966962"/>
    <n v="13000.018999999998"/>
    <n v="1536.1819152"/>
    <n v="2269.7947632"/>
    <n v="16056.760635764633"/>
    <n v="2060.9511089369598"/>
    <n v="1944.4179623561611"/>
  </r>
  <r>
    <s v="Regular"/>
    <x v="1"/>
    <x v="0"/>
    <x v="1"/>
    <x v="1"/>
    <x v="0"/>
    <x v="0"/>
    <x v="1"/>
    <x v="3"/>
    <n v="386"/>
    <n v="328.09999999999997"/>
    <n v="21.445"/>
    <n v="20.158300000000001"/>
    <n v="21.445"/>
    <n v="20.158300000000001"/>
    <n v="0"/>
    <x v="0"/>
    <n v="0"/>
    <n v="17"/>
    <n v="10"/>
    <n v="64"/>
    <n v="38.14"/>
    <n v="90.67"/>
    <n v="133.97"/>
    <n v="47.10799658431754"/>
    <n v="121.64342985575733"/>
    <n v="114.76529888966962"/>
    <n v="12513.733999999999"/>
    <n v="1827.7530610000001"/>
    <n v="2700.6074509999999"/>
    <n v="15456.133679314584"/>
    <n v="2452.1247520613133"/>
    <n v="2313.4733246076271"/>
  </r>
  <r>
    <s v="Regular"/>
    <x v="1"/>
    <x v="0"/>
    <x v="1"/>
    <x v="1"/>
    <x v="0"/>
    <x v="0"/>
    <x v="1"/>
    <x v="4"/>
    <n v="387"/>
    <n v="328.95"/>
    <n v="18.664000000000001"/>
    <n v="17.544160000000002"/>
    <n v="18.664000000000001"/>
    <n v="17.544160000000002"/>
    <n v="0"/>
    <x v="0"/>
    <n v="0"/>
    <n v="17"/>
    <n v="10"/>
    <n v="64"/>
    <n v="38.14"/>
    <n v="90.67"/>
    <n v="133.97"/>
    <n v="47.10799658431754"/>
    <n v="121.64342985575733"/>
    <n v="114.76529888966962"/>
    <n v="12546.153"/>
    <n v="1590.7289872000001"/>
    <n v="2350.3911152000001"/>
    <n v="15496.175476411254"/>
    <n v="2134.1317963381839"/>
    <n v="2013.4607661681864"/>
  </r>
  <r>
    <s v="Regular"/>
    <x v="1"/>
    <x v="0"/>
    <x v="1"/>
    <x v="1"/>
    <x v="0"/>
    <x v="0"/>
    <x v="1"/>
    <x v="5"/>
    <n v="405"/>
    <n v="344.25"/>
    <n v="17.995000000000001"/>
    <n v="16.915299999999998"/>
    <n v="17.995000000000001"/>
    <n v="16.915299999999998"/>
    <n v="0"/>
    <x v="0"/>
    <n v="0"/>
    <n v="17"/>
    <n v="10"/>
    <n v="64"/>
    <n v="38.14"/>
    <n v="90.67"/>
    <n v="133.97"/>
    <n v="47.10799658431754"/>
    <n v="121.64342985575733"/>
    <n v="114.76529888966962"/>
    <n v="13129.695"/>
    <n v="1533.710251"/>
    <n v="2266.1427409999997"/>
    <n v="16216.927824151313"/>
    <n v="2057.6351090390917"/>
    <n v="1941.2894603084285"/>
  </r>
  <r>
    <s v="Regular"/>
    <x v="1"/>
    <x v="0"/>
    <x v="1"/>
    <x v="1"/>
    <x v="0"/>
    <x v="0"/>
    <x v="1"/>
    <x v="6"/>
    <n v="415"/>
    <n v="352.75"/>
    <n v="21.170999999999999"/>
    <n v="19.900739999999999"/>
    <n v="21.170999999999999"/>
    <n v="19.900739999999999"/>
    <n v="0"/>
    <x v="0"/>
    <n v="0"/>
    <n v="17"/>
    <n v="10"/>
    <n v="64"/>
    <n v="38.14"/>
    <n v="90.67"/>
    <n v="133.97"/>
    <n v="47.10799658431754"/>
    <n v="121.64342985575733"/>
    <n v="114.76529888966962"/>
    <n v="13453.885"/>
    <n v="1804.4000957999999"/>
    <n v="2666.1021378"/>
    <n v="16617.345795118013"/>
    <n v="2420.7942702676642"/>
    <n v="2283.9143742256038"/>
  </r>
  <r>
    <s v="Regular"/>
    <x v="1"/>
    <x v="0"/>
    <x v="1"/>
    <x v="1"/>
    <x v="0"/>
    <x v="0"/>
    <x v="1"/>
    <x v="7"/>
    <n v="382"/>
    <n v="324.7"/>
    <n v="17.343"/>
    <n v="16.302420000000001"/>
    <n v="17.343"/>
    <n v="16.302420000000001"/>
    <n v="0"/>
    <x v="0"/>
    <n v="0"/>
    <n v="17"/>
    <n v="10"/>
    <n v="64"/>
    <n v="38.14"/>
    <n v="90.67"/>
    <n v="133.97"/>
    <n v="47.10799658431754"/>
    <n v="121.64342985575733"/>
    <n v="114.76529888966962"/>
    <n v="12384.057999999999"/>
    <n v="1478.1404214000002"/>
    <n v="2184.0352074000002"/>
    <n v="15295.966490927905"/>
    <n v="1983.0822837490957"/>
    <n v="1870.952103924928"/>
  </r>
  <r>
    <s v="Regular"/>
    <x v="1"/>
    <x v="0"/>
    <x v="1"/>
    <x v="1"/>
    <x v="0"/>
    <x v="0"/>
    <x v="1"/>
    <x v="8"/>
    <n v="497"/>
    <n v="422.45"/>
    <n v="15.837999999999999"/>
    <n v="14.88772"/>
    <n v="15.837999999999999"/>
    <n v="14.88772"/>
    <n v="0"/>
    <x v="0"/>
    <n v="0"/>
    <n v="17"/>
    <n v="10"/>
    <n v="64"/>
    <n v="38.14"/>
    <n v="90.67"/>
    <n v="133.97"/>
    <n v="47.10799658431754"/>
    <n v="121.64342985575733"/>
    <n v="114.76529888966962"/>
    <n v="16112.243"/>
    <n v="1349.8695723999999"/>
    <n v="1994.5078484000001"/>
    <n v="19900.773157044943"/>
    <n v="1810.9933235321555"/>
    <n v="1708.5936355857123"/>
  </r>
  <r>
    <s v="Regular"/>
    <x v="1"/>
    <x v="0"/>
    <x v="1"/>
    <x v="1"/>
    <x v="0"/>
    <x v="0"/>
    <x v="1"/>
    <x v="9"/>
    <n v="497"/>
    <n v="422.45"/>
    <n v="15.795"/>
    <n v="14.847300000000001"/>
    <n v="15.795"/>
    <n v="14.847300000000001"/>
    <n v="0"/>
    <x v="0"/>
    <n v="0"/>
    <n v="17"/>
    <n v="10"/>
    <n v="64"/>
    <n v="38.14"/>
    <n v="90.67"/>
    <n v="133.97"/>
    <n v="47.10799658431754"/>
    <n v="121.64342985575733"/>
    <n v="114.76529888966962"/>
    <n v="16112.243"/>
    <n v="1346.2046910000001"/>
    <n v="1989.0927810000001"/>
    <n v="19900.773157044943"/>
    <n v="1806.0764960973859"/>
    <n v="1703.9548222045919"/>
  </r>
  <r>
    <s v="Regular"/>
    <x v="1"/>
    <x v="0"/>
    <x v="1"/>
    <x v="1"/>
    <x v="0"/>
    <x v="0"/>
    <x v="1"/>
    <x v="10"/>
    <n v="497"/>
    <n v="422.45"/>
    <n v="20.617999999999999"/>
    <n v="19.38092"/>
    <n v="20.617999999999999"/>
    <n v="19.38092"/>
    <n v="0"/>
    <x v="0"/>
    <n v="0"/>
    <n v="17"/>
    <n v="10"/>
    <n v="64"/>
    <n v="38.14"/>
    <n v="90.67"/>
    <n v="133.97"/>
    <n v="47.10799658431754"/>
    <n v="121.64342985575733"/>
    <n v="114.76529888966962"/>
    <n v="16112.243"/>
    <n v="1757.2680164000001"/>
    <n v="2596.4618523999998"/>
    <n v="19900.773157044943"/>
    <n v="2357.5615825600444"/>
    <n v="2224.2570765567757"/>
  </r>
  <r>
    <s v="PROJETADO"/>
    <x v="1"/>
    <x v="0"/>
    <x v="1"/>
    <x v="1"/>
    <x v="0"/>
    <x v="0"/>
    <x v="1"/>
    <x v="11"/>
    <n v="497"/>
    <n v="422.45"/>
    <n v="20.617999999999999"/>
    <n v="19.38092"/>
    <n v="20.617999999999999"/>
    <n v="19.38092"/>
    <n v="0"/>
    <x v="0"/>
    <n v="0"/>
    <n v="17"/>
    <n v="10"/>
    <n v="64"/>
    <n v="38.14"/>
    <n v="90.67"/>
    <n v="133.97"/>
    <n v="47.10799658431754"/>
    <n v="121.64342985575733"/>
    <n v="114.76529888966962"/>
    <n v="16112.243"/>
    <n v="1757.2680164000001"/>
    <n v="2596.4618523999998"/>
    <n v="19900.773157044943"/>
    <n v="2357.5615825600444"/>
    <n v="2224.2570765567757"/>
  </r>
  <r>
    <s v="Regular"/>
    <x v="1"/>
    <x v="1"/>
    <x v="2"/>
    <x v="0"/>
    <x v="0"/>
    <x v="0"/>
    <x v="0"/>
    <x v="0"/>
    <n v="0"/>
    <n v="0"/>
    <n v="402.84899999999999"/>
    <n v="402.84899999999999"/>
    <n v="402.84899999999999"/>
    <n v="402.84899999999999"/>
    <n v="0"/>
    <x v="0"/>
    <n v="0"/>
    <n v="0"/>
    <n v="3"/>
    <n v="85"/>
    <n v="0"/>
    <n v="90.67"/>
    <n v="133.97"/>
    <m/>
    <n v="121.64342985575733"/>
    <n v="114.76529888966962"/>
    <n v="0"/>
    <n v="36526.318829999997"/>
    <n v="53969.680529999998"/>
    <n v="0"/>
    <n v="49003.934073961987"/>
    <n v="46233.085892404517"/>
  </r>
  <r>
    <s v="Regular"/>
    <x v="1"/>
    <x v="1"/>
    <x v="2"/>
    <x v="0"/>
    <x v="0"/>
    <x v="0"/>
    <x v="0"/>
    <x v="1"/>
    <n v="0"/>
    <n v="0"/>
    <n v="414.13499999999999"/>
    <n v="414.13499999999999"/>
    <n v="414.13499999999999"/>
    <n v="414.13499999999999"/>
    <n v="0"/>
    <x v="0"/>
    <n v="0"/>
    <n v="0"/>
    <n v="3"/>
    <n v="85"/>
    <n v="0"/>
    <n v="90.67"/>
    <n v="133.97"/>
    <m/>
    <n v="121.64342985575733"/>
    <n v="114.76529888966962"/>
    <n v="0"/>
    <n v="37549.620450000002"/>
    <n v="55481.665949999995"/>
    <n v="0"/>
    <n v="50376.801823314061"/>
    <n v="47528.327055673326"/>
  </r>
  <r>
    <s v="Regular"/>
    <x v="1"/>
    <x v="1"/>
    <x v="2"/>
    <x v="0"/>
    <x v="0"/>
    <x v="0"/>
    <x v="0"/>
    <x v="2"/>
    <n v="0"/>
    <n v="0"/>
    <n v="443.66300000000001"/>
    <n v="443.66300000000001"/>
    <n v="443.66300000000001"/>
    <n v="443.66300000000001"/>
    <n v="0"/>
    <x v="0"/>
    <n v="0"/>
    <n v="0"/>
    <n v="3"/>
    <n v="85"/>
    <n v="0"/>
    <n v="90.67"/>
    <n v="133.97"/>
    <m/>
    <n v="121.64342985575733"/>
    <n v="114.76529888966962"/>
    <n v="0"/>
    <n v="40226.924210000005"/>
    <n v="59437.53211"/>
    <n v="0"/>
    <n v="53968.689020094869"/>
    <n v="50917.116801287499"/>
  </r>
  <r>
    <s v="Regular"/>
    <x v="1"/>
    <x v="1"/>
    <x v="2"/>
    <x v="0"/>
    <x v="0"/>
    <x v="0"/>
    <x v="0"/>
    <x v="3"/>
    <n v="0"/>
    <n v="0"/>
    <n v="474.50400000000002"/>
    <n v="474.50400000000002"/>
    <n v="474.50400000000002"/>
    <n v="474.50400000000002"/>
    <n v="0"/>
    <x v="0"/>
    <n v="0"/>
    <n v="0"/>
    <n v="3"/>
    <n v="85"/>
    <n v="0"/>
    <n v="90.67"/>
    <n v="133.97"/>
    <m/>
    <n v="121.64342985575733"/>
    <n v="114.76529888966962"/>
    <n v="0"/>
    <n v="43023.277679999999"/>
    <n v="63569.300880000003"/>
    <n v="0"/>
    <n v="57720.294040276283"/>
    <n v="54456.593384343796"/>
  </r>
  <r>
    <s v="Regular"/>
    <x v="1"/>
    <x v="1"/>
    <x v="2"/>
    <x v="0"/>
    <x v="0"/>
    <x v="0"/>
    <x v="0"/>
    <x v="4"/>
    <n v="0"/>
    <n v="0"/>
    <n v="495.185"/>
    <n v="495.185"/>
    <n v="495.185"/>
    <n v="495.185"/>
    <n v="0"/>
    <x v="0"/>
    <n v="0"/>
    <n v="0"/>
    <n v="3"/>
    <n v="85"/>
    <n v="0"/>
    <n v="90.67"/>
    <n v="133.97"/>
    <m/>
    <n v="121.64342985575733"/>
    <n v="114.76529888966962"/>
    <n v="0"/>
    <n v="44898.423950000004"/>
    <n v="66339.934450000001"/>
    <n v="0"/>
    <n v="60236.001813123192"/>
    <n v="56830.054530681053"/>
  </r>
  <r>
    <s v="Regular"/>
    <x v="1"/>
    <x v="1"/>
    <x v="2"/>
    <x v="0"/>
    <x v="0"/>
    <x v="0"/>
    <x v="0"/>
    <x v="5"/>
    <n v="0"/>
    <n v="0"/>
    <n v="447.32499999999999"/>
    <n v="447.32499999999999"/>
    <n v="447.32499999999999"/>
    <n v="447.32499999999999"/>
    <n v="0"/>
    <x v="0"/>
    <n v="0"/>
    <n v="0"/>
    <n v="3"/>
    <n v="85"/>
    <n v="0"/>
    <n v="90.67"/>
    <n v="133.97"/>
    <m/>
    <n v="121.64342985575733"/>
    <n v="114.76529888966962"/>
    <n v="0"/>
    <n v="40558.957750000001"/>
    <n v="59928.130249999995"/>
    <n v="0"/>
    <n v="54414.147260226644"/>
    <n v="51337.387325821466"/>
  </r>
  <r>
    <s v="Regular"/>
    <x v="1"/>
    <x v="1"/>
    <x v="2"/>
    <x v="0"/>
    <x v="0"/>
    <x v="0"/>
    <x v="0"/>
    <x v="6"/>
    <n v="0"/>
    <n v="0"/>
    <n v="461.18900000000002"/>
    <n v="461.18900000000002"/>
    <n v="461.18900000000002"/>
    <n v="461.18900000000002"/>
    <n v="0"/>
    <x v="0"/>
    <n v="0"/>
    <n v="0"/>
    <n v="3"/>
    <n v="85"/>
    <n v="0"/>
    <n v="90.67"/>
    <n v="133.97"/>
    <m/>
    <n v="121.64342985575733"/>
    <n v="114.76529888966962"/>
    <n v="0"/>
    <n v="41816.006630000003"/>
    <n v="61785.490330000001"/>
    <n v="0"/>
    <n v="56100.611771746873"/>
    <n v="52928.493429627844"/>
  </r>
  <r>
    <s v="Regular"/>
    <x v="1"/>
    <x v="1"/>
    <x v="2"/>
    <x v="0"/>
    <x v="0"/>
    <x v="0"/>
    <x v="0"/>
    <x v="7"/>
    <n v="0"/>
    <n v="0"/>
    <n v="415.10899999999998"/>
    <n v="415.10899999999998"/>
    <n v="415.10899999999998"/>
    <n v="415.10899999999998"/>
    <n v="0"/>
    <x v="0"/>
    <n v="0"/>
    <n v="0"/>
    <n v="3"/>
    <n v="85"/>
    <n v="0"/>
    <n v="90.67"/>
    <n v="133.97"/>
    <m/>
    <n v="121.64342985575733"/>
    <n v="114.76529888966962"/>
    <n v="0"/>
    <n v="37637.93303"/>
    <n v="55612.152729999994"/>
    <n v="0"/>
    <n v="50495.28252399357"/>
    <n v="47640.108456791866"/>
  </r>
  <r>
    <s v="Regular"/>
    <x v="1"/>
    <x v="1"/>
    <x v="2"/>
    <x v="0"/>
    <x v="0"/>
    <x v="0"/>
    <x v="0"/>
    <x v="8"/>
    <n v="0"/>
    <n v="0"/>
    <n v="405.09"/>
    <n v="405.09"/>
    <n v="405.09"/>
    <n v="405.09"/>
    <n v="0"/>
    <x v="0"/>
    <n v="0"/>
    <n v="0"/>
    <n v="3"/>
    <n v="85"/>
    <n v="0"/>
    <n v="90.67"/>
    <n v="133.97"/>
    <m/>
    <n v="121.64342985575733"/>
    <n v="114.76529888966962"/>
    <n v="0"/>
    <n v="36729.510300000002"/>
    <n v="54269.907299999999"/>
    <n v="0"/>
    <n v="49276.537000268734"/>
    <n v="46490.274927216262"/>
  </r>
  <r>
    <s v="Regular"/>
    <x v="1"/>
    <x v="1"/>
    <x v="2"/>
    <x v="0"/>
    <x v="0"/>
    <x v="0"/>
    <x v="0"/>
    <x v="9"/>
    <n v="0"/>
    <n v="0"/>
    <n v="381.92899999999997"/>
    <n v="381.92899999999997"/>
    <n v="381.92899999999997"/>
    <n v="381.92899999999997"/>
    <n v="0"/>
    <x v="0"/>
    <n v="0"/>
    <n v="0"/>
    <n v="3"/>
    <n v="85"/>
    <n v="0"/>
    <n v="90.67"/>
    <n v="133.97"/>
    <m/>
    <n v="121.64342985575733"/>
    <n v="114.76529888966962"/>
    <n v="0"/>
    <n v="34629.50243"/>
    <n v="51167.028129999999"/>
    <n v="0"/>
    <n v="46459.153521379536"/>
    <n v="43832.19583963263"/>
  </r>
  <r>
    <s v="Regular"/>
    <x v="1"/>
    <x v="1"/>
    <x v="2"/>
    <x v="0"/>
    <x v="0"/>
    <x v="0"/>
    <x v="0"/>
    <x v="10"/>
    <n v="0"/>
    <n v="0"/>
    <n v="421.21100000000001"/>
    <n v="421.21100000000001"/>
    <n v="421.21100000000001"/>
    <n v="421.21100000000001"/>
    <n v="0"/>
    <x v="0"/>
    <n v="0"/>
    <n v="0"/>
    <n v="3"/>
    <n v="85"/>
    <n v="0"/>
    <n v="90.67"/>
    <n v="133.97"/>
    <m/>
    <n v="121.64342985575733"/>
    <n v="114.76529888966962"/>
    <n v="0"/>
    <n v="38191.201370000002"/>
    <n v="56429.637670000004"/>
    <n v="0"/>
    <n v="51237.550732973403"/>
    <n v="48340.406310616636"/>
  </r>
  <r>
    <s v="PROJETADO"/>
    <x v="1"/>
    <x v="1"/>
    <x v="2"/>
    <x v="0"/>
    <x v="0"/>
    <x v="0"/>
    <x v="0"/>
    <x v="11"/>
    <n v="0"/>
    <n v="0"/>
    <n v="421.21100000000001"/>
    <n v="421.21100000000001"/>
    <n v="421.21100000000001"/>
    <n v="421.21100000000001"/>
    <n v="0"/>
    <x v="0"/>
    <n v="0"/>
    <n v="0"/>
    <n v="3"/>
    <n v="85"/>
    <n v="0"/>
    <n v="90.67"/>
    <n v="133.97"/>
    <m/>
    <n v="121.64342985575733"/>
    <n v="114.76529888966962"/>
    <n v="0"/>
    <n v="38191.201370000002"/>
    <n v="56429.637670000004"/>
    <n v="0"/>
    <n v="51237.550732973403"/>
    <n v="48340.406310616636"/>
  </r>
  <r>
    <s v="Regular"/>
    <x v="1"/>
    <x v="1"/>
    <x v="2"/>
    <x v="0"/>
    <x v="0"/>
    <x v="0"/>
    <x v="2"/>
    <x v="0"/>
    <n v="1642"/>
    <n v="1642"/>
    <n v="0"/>
    <n v="0"/>
    <n v="0"/>
    <n v="0"/>
    <n v="17"/>
    <x v="0"/>
    <n v="0"/>
    <n v="28"/>
    <n v="0"/>
    <n v="0"/>
    <n v="14.45"/>
    <n v="0"/>
    <n v="0"/>
    <n v="18.372313529244348"/>
    <m/>
    <m/>
    <n v="23726.899999999998"/>
    <n v="0"/>
    <n v="0"/>
    <n v="30167.338815019219"/>
    <n v="0"/>
    <n v="0"/>
  </r>
  <r>
    <s v="Regular"/>
    <x v="1"/>
    <x v="1"/>
    <x v="2"/>
    <x v="0"/>
    <x v="0"/>
    <x v="0"/>
    <x v="2"/>
    <x v="1"/>
    <n v="1656"/>
    <n v="1656"/>
    <n v="0"/>
    <n v="0"/>
    <n v="0"/>
    <n v="0"/>
    <n v="17"/>
    <x v="0"/>
    <n v="0"/>
    <n v="28"/>
    <n v="0"/>
    <n v="0"/>
    <n v="14.45"/>
    <n v="0"/>
    <n v="0"/>
    <n v="18.372313529244348"/>
    <m/>
    <m/>
    <n v="23929.199999999997"/>
    <n v="0"/>
    <n v="0"/>
    <n v="30424.551204428641"/>
    <n v="0"/>
    <n v="0"/>
  </r>
  <r>
    <s v="Regular"/>
    <x v="1"/>
    <x v="1"/>
    <x v="2"/>
    <x v="0"/>
    <x v="0"/>
    <x v="0"/>
    <x v="2"/>
    <x v="2"/>
    <n v="1693"/>
    <n v="1693"/>
    <n v="0"/>
    <n v="0"/>
    <n v="0"/>
    <n v="0"/>
    <n v="17"/>
    <x v="0"/>
    <n v="0"/>
    <n v="28"/>
    <n v="0"/>
    <n v="0"/>
    <n v="14.45"/>
    <n v="0"/>
    <n v="0"/>
    <n v="18.372313529244348"/>
    <m/>
    <m/>
    <n v="24463.85"/>
    <n v="0"/>
    <n v="0"/>
    <n v="31104.326805010682"/>
    <n v="0"/>
    <n v="0"/>
  </r>
  <r>
    <s v="Regular"/>
    <x v="1"/>
    <x v="1"/>
    <x v="2"/>
    <x v="0"/>
    <x v="0"/>
    <x v="0"/>
    <x v="2"/>
    <x v="3"/>
    <n v="1741"/>
    <n v="1741"/>
    <n v="0"/>
    <n v="0"/>
    <n v="0"/>
    <n v="0"/>
    <n v="17"/>
    <x v="0"/>
    <n v="0"/>
    <n v="28"/>
    <n v="0"/>
    <n v="0"/>
    <n v="14.45"/>
    <n v="0"/>
    <n v="0"/>
    <n v="18.372313529244348"/>
    <m/>
    <m/>
    <n v="25157.449999999997"/>
    <n v="0"/>
    <n v="0"/>
    <n v="31986.197854414411"/>
    <n v="0"/>
    <n v="0"/>
  </r>
  <r>
    <s v="Regular"/>
    <x v="1"/>
    <x v="1"/>
    <x v="2"/>
    <x v="0"/>
    <x v="0"/>
    <x v="0"/>
    <x v="2"/>
    <x v="4"/>
    <n v="1778"/>
    <n v="1778"/>
    <n v="0"/>
    <n v="0"/>
    <n v="0"/>
    <n v="0"/>
    <n v="17"/>
    <x v="0"/>
    <n v="0"/>
    <n v="28"/>
    <n v="0"/>
    <n v="0"/>
    <n v="14.45"/>
    <n v="0"/>
    <n v="0"/>
    <n v="18.372313529244348"/>
    <m/>
    <m/>
    <n v="25692.1"/>
    <n v="0"/>
    <n v="0"/>
    <n v="32665.973454996452"/>
    <n v="0"/>
    <n v="0"/>
  </r>
  <r>
    <s v="Regular"/>
    <x v="1"/>
    <x v="1"/>
    <x v="2"/>
    <x v="0"/>
    <x v="0"/>
    <x v="0"/>
    <x v="2"/>
    <x v="5"/>
    <n v="1755"/>
    <n v="1755"/>
    <n v="0"/>
    <n v="0"/>
    <n v="0"/>
    <n v="0"/>
    <n v="17"/>
    <x v="0"/>
    <n v="0"/>
    <n v="28"/>
    <n v="0"/>
    <n v="0"/>
    <n v="14.45"/>
    <n v="0"/>
    <n v="0"/>
    <n v="18.372313529244348"/>
    <m/>
    <m/>
    <n v="25359.75"/>
    <n v="0"/>
    <n v="0"/>
    <n v="32243.41024382383"/>
    <n v="0"/>
    <n v="0"/>
  </r>
  <r>
    <s v="Regular"/>
    <x v="1"/>
    <x v="1"/>
    <x v="2"/>
    <x v="0"/>
    <x v="0"/>
    <x v="0"/>
    <x v="2"/>
    <x v="6"/>
    <n v="1724"/>
    <n v="1724"/>
    <n v="0"/>
    <n v="0"/>
    <n v="0"/>
    <n v="0"/>
    <n v="17"/>
    <x v="0"/>
    <n v="0"/>
    <n v="28"/>
    <n v="0"/>
    <n v="0"/>
    <n v="14.45"/>
    <n v="0"/>
    <n v="0"/>
    <n v="18.372313529244348"/>
    <m/>
    <m/>
    <n v="24911.8"/>
    <n v="0"/>
    <n v="0"/>
    <n v="31673.868524417256"/>
    <n v="0"/>
    <n v="0"/>
  </r>
  <r>
    <s v="Regular"/>
    <x v="1"/>
    <x v="1"/>
    <x v="2"/>
    <x v="0"/>
    <x v="0"/>
    <x v="0"/>
    <x v="2"/>
    <x v="7"/>
    <n v="1710"/>
    <n v="1710"/>
    <n v="0"/>
    <n v="0"/>
    <n v="0"/>
    <n v="0"/>
    <n v="17"/>
    <x v="0"/>
    <n v="0"/>
    <n v="28"/>
    <n v="0"/>
    <n v="0"/>
    <n v="14.45"/>
    <n v="0"/>
    <n v="0"/>
    <n v="18.372313529244348"/>
    <m/>
    <m/>
    <n v="24709.5"/>
    <n v="0"/>
    <n v="0"/>
    <n v="31416.656135007834"/>
    <n v="0"/>
    <n v="0"/>
  </r>
  <r>
    <s v="Regular"/>
    <x v="1"/>
    <x v="1"/>
    <x v="2"/>
    <x v="0"/>
    <x v="0"/>
    <x v="0"/>
    <x v="2"/>
    <x v="8"/>
    <n v="1636"/>
    <n v="1636"/>
    <n v="0"/>
    <n v="0"/>
    <n v="0"/>
    <n v="0"/>
    <n v="17"/>
    <x v="0"/>
    <n v="0"/>
    <n v="28"/>
    <n v="0"/>
    <n v="0"/>
    <n v="14.45"/>
    <n v="0"/>
    <n v="0"/>
    <n v="18.372313529244348"/>
    <m/>
    <m/>
    <n v="23640.199999999997"/>
    <n v="0"/>
    <n v="0"/>
    <n v="30057.104933843755"/>
    <n v="0"/>
    <n v="0"/>
  </r>
  <r>
    <s v="Regular"/>
    <x v="1"/>
    <x v="1"/>
    <x v="2"/>
    <x v="0"/>
    <x v="0"/>
    <x v="0"/>
    <x v="2"/>
    <x v="9"/>
    <n v="1647"/>
    <n v="1647"/>
    <n v="0"/>
    <n v="0"/>
    <n v="0"/>
    <n v="0"/>
    <n v="17"/>
    <x v="0"/>
    <n v="0"/>
    <n v="28"/>
    <n v="0"/>
    <n v="0"/>
    <n v="14.45"/>
    <n v="0"/>
    <n v="0"/>
    <n v="18.372313529244348"/>
    <m/>
    <m/>
    <n v="23799.149999999998"/>
    <n v="0"/>
    <n v="0"/>
    <n v="30259.20038266544"/>
    <n v="0"/>
    <n v="0"/>
  </r>
  <r>
    <s v="Regular"/>
    <x v="1"/>
    <x v="1"/>
    <x v="2"/>
    <x v="0"/>
    <x v="0"/>
    <x v="0"/>
    <x v="2"/>
    <x v="10"/>
    <n v="1684"/>
    <n v="1684"/>
    <n v="0"/>
    <n v="0"/>
    <n v="0"/>
    <n v="0"/>
    <n v="17"/>
    <x v="0"/>
    <n v="0"/>
    <n v="28"/>
    <n v="0"/>
    <n v="0"/>
    <n v="14.45"/>
    <n v="0"/>
    <n v="0"/>
    <n v="18.372313529244348"/>
    <m/>
    <m/>
    <n v="24333.8"/>
    <n v="0"/>
    <n v="0"/>
    <n v="30938.975983247481"/>
    <n v="0"/>
    <n v="0"/>
  </r>
  <r>
    <s v="PROJETADO"/>
    <x v="1"/>
    <x v="1"/>
    <x v="2"/>
    <x v="0"/>
    <x v="0"/>
    <x v="0"/>
    <x v="2"/>
    <x v="11"/>
    <n v="1684"/>
    <n v="1684"/>
    <n v="0"/>
    <n v="0"/>
    <n v="0"/>
    <n v="0"/>
    <n v="17"/>
    <x v="0"/>
    <n v="0"/>
    <n v="28"/>
    <n v="0"/>
    <n v="0"/>
    <n v="14.45"/>
    <n v="0"/>
    <n v="0"/>
    <n v="18.372313529244348"/>
    <m/>
    <m/>
    <n v="24333.8"/>
    <n v="0"/>
    <n v="0"/>
    <n v="30938.975983247481"/>
    <n v="0"/>
    <n v="0"/>
  </r>
  <r>
    <s v="Regular"/>
    <x v="1"/>
    <x v="1"/>
    <x v="2"/>
    <x v="0"/>
    <x v="0"/>
    <x v="0"/>
    <x v="1"/>
    <x v="0"/>
    <n v="0"/>
    <n v="0"/>
    <n v="34.100999999999999"/>
    <n v="34.100999999999999"/>
    <n v="34.100999999999999"/>
    <n v="34.100999999999999"/>
    <n v="0"/>
    <x v="0"/>
    <n v="0"/>
    <n v="0"/>
    <n v="18"/>
    <n v="64"/>
    <n v="0"/>
    <n v="1007.94"/>
    <n v="133.97"/>
    <m/>
    <n v="1254.594131793204"/>
    <n v="114.76529888966962"/>
    <n v="0"/>
    <n v="34371.761940000004"/>
    <n v="4568.5109700000003"/>
    <n v="0"/>
    <n v="42782.914488280046"/>
    <n v="3913.6114574366238"/>
  </r>
  <r>
    <s v="Regular"/>
    <x v="1"/>
    <x v="1"/>
    <x v="2"/>
    <x v="0"/>
    <x v="0"/>
    <x v="0"/>
    <x v="1"/>
    <x v="1"/>
    <n v="0"/>
    <n v="0"/>
    <n v="35.451000000000001"/>
    <n v="35.451000000000001"/>
    <n v="35.451000000000001"/>
    <n v="35.451000000000001"/>
    <n v="0"/>
    <x v="0"/>
    <n v="0"/>
    <n v="0"/>
    <n v="18"/>
    <n v="64"/>
    <n v="0"/>
    <n v="1007.94"/>
    <n v="133.97"/>
    <m/>
    <n v="1254.594131793204"/>
    <n v="114.76529888966962"/>
    <n v="0"/>
    <n v="35732.480940000001"/>
    <n v="4749.3704699999998"/>
    <n v="0"/>
    <n v="44476.616566200879"/>
    <n v="4068.544610937678"/>
  </r>
  <r>
    <s v="Regular"/>
    <x v="1"/>
    <x v="1"/>
    <x v="2"/>
    <x v="0"/>
    <x v="0"/>
    <x v="0"/>
    <x v="1"/>
    <x v="2"/>
    <n v="0"/>
    <n v="0"/>
    <n v="40.037999999999997"/>
    <n v="40.037999999999997"/>
    <n v="40.037999999999997"/>
    <n v="40.037999999999997"/>
    <n v="0"/>
    <x v="0"/>
    <n v="0"/>
    <n v="0"/>
    <n v="18"/>
    <n v="64"/>
    <n v="0"/>
    <n v="1007.94"/>
    <n v="133.97"/>
    <m/>
    <n v="1254.594131793204"/>
    <n v="114.76529888966962"/>
    <n v="0"/>
    <n v="40355.901720000002"/>
    <n v="5363.8908599999995"/>
    <n v="0"/>
    <n v="50231.4398487363"/>
    <n v="4594.9730369445924"/>
  </r>
  <r>
    <s v="Regular"/>
    <x v="1"/>
    <x v="1"/>
    <x v="2"/>
    <x v="0"/>
    <x v="0"/>
    <x v="0"/>
    <x v="1"/>
    <x v="3"/>
    <n v="0"/>
    <n v="0"/>
    <n v="43.884999999999998"/>
    <n v="43.884999999999998"/>
    <n v="43.884999999999998"/>
    <n v="43.884999999999998"/>
    <n v="0"/>
    <x v="0"/>
    <n v="0"/>
    <n v="0"/>
    <n v="18"/>
    <n v="64"/>
    <n v="0"/>
    <n v="1007.94"/>
    <n v="133.97"/>
    <m/>
    <n v="1254.594131793204"/>
    <n v="114.76529888966962"/>
    <n v="0"/>
    <n v="44233.446900000003"/>
    <n v="5879.2734499999997"/>
    <n v="0"/>
    <n v="55057.863473744757"/>
    <n v="5036.4751417731513"/>
  </r>
  <r>
    <s v="Regular"/>
    <x v="1"/>
    <x v="1"/>
    <x v="2"/>
    <x v="0"/>
    <x v="0"/>
    <x v="0"/>
    <x v="1"/>
    <x v="4"/>
    <n v="0"/>
    <n v="0"/>
    <n v="43.957999999999998"/>
    <n v="43.957999999999998"/>
    <n v="43.957999999999998"/>
    <n v="43.957999999999998"/>
    <n v="0"/>
    <x v="0"/>
    <n v="0"/>
    <n v="0"/>
    <n v="18"/>
    <n v="64"/>
    <n v="0"/>
    <n v="1007.94"/>
    <n v="133.97"/>
    <m/>
    <n v="1254.594131793204"/>
    <n v="114.76529888966962"/>
    <n v="0"/>
    <n v="44307.026519999999"/>
    <n v="5889.0532599999997"/>
    <n v="0"/>
    <n v="55149.44884536566"/>
    <n v="5044.8530085920975"/>
  </r>
  <r>
    <s v="Regular"/>
    <x v="1"/>
    <x v="1"/>
    <x v="2"/>
    <x v="0"/>
    <x v="0"/>
    <x v="0"/>
    <x v="1"/>
    <x v="5"/>
    <n v="0"/>
    <n v="0"/>
    <n v="40.201999999999998"/>
    <n v="40.201999999999998"/>
    <n v="40.201999999999998"/>
    <n v="40.201999999999998"/>
    <n v="0"/>
    <x v="0"/>
    <n v="0"/>
    <n v="0"/>
    <n v="18"/>
    <n v="64"/>
    <n v="0"/>
    <n v="1007.94"/>
    <n v="133.97"/>
    <m/>
    <n v="1254.594131793204"/>
    <n v="114.76529888966962"/>
    <n v="0"/>
    <n v="40521.203880000001"/>
    <n v="5385.8619399999998"/>
    <n v="0"/>
    <n v="50437.19328635039"/>
    <n v="4613.794545962498"/>
  </r>
  <r>
    <s v="Regular"/>
    <x v="1"/>
    <x v="1"/>
    <x v="2"/>
    <x v="0"/>
    <x v="0"/>
    <x v="0"/>
    <x v="1"/>
    <x v="6"/>
    <n v="0"/>
    <n v="0"/>
    <n v="40.914999999999999"/>
    <n v="40.914999999999999"/>
    <n v="40.914999999999999"/>
    <n v="40.914999999999999"/>
    <n v="0"/>
    <x v="0"/>
    <n v="0"/>
    <n v="0"/>
    <n v="18"/>
    <n v="64"/>
    <n v="0"/>
    <n v="1007.94"/>
    <n v="133.97"/>
    <m/>
    <n v="1254.594131793204"/>
    <n v="114.76529888966962"/>
    <n v="0"/>
    <n v="41239.865100000003"/>
    <n v="5481.3825500000003"/>
    <n v="0"/>
    <n v="51331.718902318942"/>
    <n v="4695.6222040708326"/>
  </r>
  <r>
    <s v="Regular"/>
    <x v="1"/>
    <x v="1"/>
    <x v="2"/>
    <x v="0"/>
    <x v="0"/>
    <x v="0"/>
    <x v="1"/>
    <x v="7"/>
    <n v="0"/>
    <n v="0"/>
    <n v="33.695"/>
    <n v="33.695"/>
    <n v="33.695"/>
    <n v="33.695"/>
    <n v="0"/>
    <x v="0"/>
    <n v="0"/>
    <n v="0"/>
    <n v="18"/>
    <n v="64"/>
    <n v="0"/>
    <n v="1007.94"/>
    <n v="133.97"/>
    <m/>
    <n v="1254.594131793204"/>
    <n v="114.76529888966962"/>
    <n v="0"/>
    <n v="33962.5383"/>
    <n v="4514.1191500000004"/>
    <n v="0"/>
    <n v="42273.549270772011"/>
    <n v="3867.0167460874181"/>
  </r>
  <r>
    <s v="Regular"/>
    <x v="1"/>
    <x v="1"/>
    <x v="2"/>
    <x v="0"/>
    <x v="0"/>
    <x v="0"/>
    <x v="1"/>
    <x v="8"/>
    <n v="0"/>
    <n v="0"/>
    <n v="35.722000000000001"/>
    <n v="35.722000000000001"/>
    <n v="35.722000000000001"/>
    <n v="35.722000000000001"/>
    <n v="0"/>
    <x v="0"/>
    <n v="0"/>
    <n v="0"/>
    <n v="18"/>
    <n v="64"/>
    <n v="0"/>
    <n v="1007.94"/>
    <n v="133.97"/>
    <m/>
    <n v="1254.594131793204"/>
    <n v="114.76529888966962"/>
    <n v="0"/>
    <n v="36005.632680000002"/>
    <n v="4785.67634"/>
    <n v="0"/>
    <n v="44816.611575916839"/>
    <n v="4099.6460069367786"/>
  </r>
  <r>
    <s v="Regular"/>
    <x v="1"/>
    <x v="1"/>
    <x v="2"/>
    <x v="0"/>
    <x v="0"/>
    <x v="0"/>
    <x v="1"/>
    <x v="9"/>
    <n v="0"/>
    <n v="0"/>
    <n v="34.24"/>
    <n v="34.24"/>
    <n v="34.24"/>
    <n v="34.24"/>
    <n v="0"/>
    <x v="0"/>
    <n v="0"/>
    <n v="0"/>
    <n v="18"/>
    <n v="64"/>
    <n v="0"/>
    <n v="1007.94"/>
    <n v="133.97"/>
    <m/>
    <n v="1254.594131793204"/>
    <n v="114.76529888966962"/>
    <n v="0"/>
    <n v="34511.865600000005"/>
    <n v="4587.1328000000003"/>
    <n v="0"/>
    <n v="42957.303072599309"/>
    <n v="3929.5638339822881"/>
  </r>
  <r>
    <s v="Regular"/>
    <x v="1"/>
    <x v="1"/>
    <x v="2"/>
    <x v="0"/>
    <x v="0"/>
    <x v="0"/>
    <x v="1"/>
    <x v="10"/>
    <n v="0"/>
    <n v="0"/>
    <n v="35.9"/>
    <n v="35.9"/>
    <n v="35.9"/>
    <n v="35.9"/>
    <n v="0"/>
    <x v="0"/>
    <n v="0"/>
    <n v="0"/>
    <n v="18"/>
    <n v="64"/>
    <n v="0"/>
    <n v="1007.94"/>
    <n v="133.97"/>
    <m/>
    <n v="1254.594131793204"/>
    <n v="114.76529888966962"/>
    <n v="0"/>
    <n v="36185.046000000002"/>
    <n v="4809.5230000000001"/>
    <n v="0"/>
    <n v="45039.929331376021"/>
    <n v="4120.0742301391392"/>
  </r>
  <r>
    <s v="PROJETADO"/>
    <x v="1"/>
    <x v="1"/>
    <x v="2"/>
    <x v="0"/>
    <x v="0"/>
    <x v="0"/>
    <x v="1"/>
    <x v="11"/>
    <n v="0"/>
    <n v="0"/>
    <n v="35.9"/>
    <n v="35.9"/>
    <n v="35.9"/>
    <n v="35.9"/>
    <n v="0"/>
    <x v="0"/>
    <n v="0"/>
    <n v="0"/>
    <n v="18"/>
    <n v="64"/>
    <n v="0"/>
    <n v="1007.94"/>
    <n v="133.97"/>
    <m/>
    <n v="1254.594131793204"/>
    <n v="114.76529888966962"/>
    <n v="0"/>
    <n v="36185.046000000002"/>
    <n v="4809.5230000000001"/>
    <n v="0"/>
    <n v="45039.929331376021"/>
    <n v="4120.0742301391392"/>
  </r>
  <r>
    <s v="Regular"/>
    <x v="1"/>
    <x v="1"/>
    <x v="3"/>
    <x v="0"/>
    <x v="0"/>
    <x v="0"/>
    <x v="0"/>
    <x v="0"/>
    <n v="0"/>
    <n v="0"/>
    <n v="11.663"/>
    <n v="11.663"/>
    <n v="11.663"/>
    <n v="11.663"/>
    <n v="0"/>
    <x v="0"/>
    <n v="0"/>
    <n v="0"/>
    <n v="3"/>
    <n v="85"/>
    <n v="0"/>
    <n v="90.67"/>
    <n v="133.97"/>
    <m/>
    <n v="121.64342985575733"/>
    <n v="114.76529888966962"/>
    <n v="0"/>
    <n v="1057.4842100000001"/>
    <n v="1562.4921099999999"/>
    <n v="0"/>
    <n v="1418.7273224076978"/>
    <n v="1338.5076809502168"/>
  </r>
  <r>
    <s v="Regular"/>
    <x v="1"/>
    <x v="1"/>
    <x v="3"/>
    <x v="0"/>
    <x v="0"/>
    <x v="0"/>
    <x v="0"/>
    <x v="1"/>
    <n v="0"/>
    <n v="0"/>
    <n v="12.083"/>
    <n v="12.083"/>
    <n v="12.083"/>
    <n v="12.083"/>
    <n v="0"/>
    <x v="0"/>
    <n v="0"/>
    <n v="0"/>
    <n v="3"/>
    <n v="85"/>
    <n v="0"/>
    <n v="90.67"/>
    <n v="133.97"/>
    <m/>
    <n v="121.64342985575733"/>
    <n v="114.76529888966962"/>
    <n v="0"/>
    <n v="1095.5656100000001"/>
    <n v="1618.7595100000001"/>
    <n v="0"/>
    <n v="1469.8175629471159"/>
    <n v="1386.709106483878"/>
  </r>
  <r>
    <s v="Regular"/>
    <x v="1"/>
    <x v="1"/>
    <x v="3"/>
    <x v="0"/>
    <x v="0"/>
    <x v="0"/>
    <x v="0"/>
    <x v="2"/>
    <n v="0"/>
    <n v="0"/>
    <n v="14.297000000000001"/>
    <n v="14.297000000000001"/>
    <n v="14.297000000000001"/>
    <n v="14.297000000000001"/>
    <n v="0"/>
    <x v="0"/>
    <n v="0"/>
    <n v="0"/>
    <n v="3"/>
    <n v="85"/>
    <n v="0"/>
    <n v="90.67"/>
    <n v="133.97"/>
    <m/>
    <n v="121.64342985575733"/>
    <n v="114.76529888966962"/>
    <n v="0"/>
    <n v="1296.30899"/>
    <n v="1915.3690900000001"/>
    <n v="0"/>
    <n v="1739.1361166477627"/>
    <n v="1640.7994782256067"/>
  </r>
  <r>
    <s v="Regular"/>
    <x v="1"/>
    <x v="1"/>
    <x v="3"/>
    <x v="0"/>
    <x v="0"/>
    <x v="0"/>
    <x v="0"/>
    <x v="3"/>
    <n v="0"/>
    <n v="0"/>
    <n v="15.787000000000001"/>
    <n v="15.787000000000001"/>
    <n v="15.787000000000001"/>
    <n v="15.787000000000001"/>
    <n v="0"/>
    <x v="0"/>
    <n v="0"/>
    <n v="0"/>
    <n v="3"/>
    <n v="85"/>
    <n v="0"/>
    <n v="90.67"/>
    <n v="133.97"/>
    <m/>
    <n v="121.64342985575733"/>
    <n v="114.76529888966962"/>
    <n v="0"/>
    <n v="1431.4072900000001"/>
    <n v="2114.9843900000001"/>
    <n v="0"/>
    <n v="1920.3848271328411"/>
    <n v="1811.7997735712145"/>
  </r>
  <r>
    <s v="Regular"/>
    <x v="1"/>
    <x v="1"/>
    <x v="3"/>
    <x v="0"/>
    <x v="0"/>
    <x v="0"/>
    <x v="0"/>
    <x v="4"/>
    <n v="0"/>
    <n v="0"/>
    <n v="19.510000000000002"/>
    <n v="19.510000000000002"/>
    <n v="19.510000000000002"/>
    <n v="19.510000000000002"/>
    <n v="0"/>
    <x v="0"/>
    <n v="0"/>
    <n v="0"/>
    <n v="3"/>
    <n v="85"/>
    <n v="0"/>
    <n v="90.67"/>
    <n v="133.97"/>
    <m/>
    <n v="121.64342985575733"/>
    <n v="114.76529888966962"/>
    <n v="0"/>
    <n v="1768.9717000000003"/>
    <n v="2613.7547000000004"/>
    <n v="0"/>
    <n v="2373.2633164858257"/>
    <n v="2239.0709813374547"/>
  </r>
  <r>
    <s v="Regular"/>
    <x v="1"/>
    <x v="1"/>
    <x v="3"/>
    <x v="0"/>
    <x v="0"/>
    <x v="0"/>
    <x v="0"/>
    <x v="5"/>
    <n v="0"/>
    <n v="0"/>
    <n v="15.8"/>
    <n v="15.8"/>
    <n v="15.8"/>
    <n v="15.8"/>
    <n v="0"/>
    <x v="0"/>
    <n v="0"/>
    <n v="0"/>
    <n v="3"/>
    <n v="85"/>
    <n v="0"/>
    <n v="90.67"/>
    <n v="133.97"/>
    <m/>
    <n v="121.64342985575733"/>
    <n v="114.76529888966962"/>
    <n v="0"/>
    <n v="1432.586"/>
    <n v="2116.7260000000001"/>
    <n v="0"/>
    <n v="1921.966191720966"/>
    <n v="1813.2917224567802"/>
  </r>
  <r>
    <s v="Regular"/>
    <x v="1"/>
    <x v="1"/>
    <x v="3"/>
    <x v="0"/>
    <x v="0"/>
    <x v="0"/>
    <x v="0"/>
    <x v="6"/>
    <n v="0"/>
    <n v="0"/>
    <n v="17.056999999999999"/>
    <n v="17.056999999999999"/>
    <n v="17.056999999999999"/>
    <n v="17.056999999999999"/>
    <n v="0"/>
    <x v="0"/>
    <n v="0"/>
    <n v="0"/>
    <n v="3"/>
    <n v="85"/>
    <n v="0"/>
    <n v="90.67"/>
    <n v="133.97"/>
    <m/>
    <n v="121.64342985575733"/>
    <n v="114.76529888966962"/>
    <n v="0"/>
    <n v="1546.55819"/>
    <n v="2285.1262899999997"/>
    <n v="0"/>
    <n v="2074.8719830496525"/>
    <n v="1957.5517031610946"/>
  </r>
  <r>
    <s v="Regular"/>
    <x v="1"/>
    <x v="1"/>
    <x v="3"/>
    <x v="0"/>
    <x v="0"/>
    <x v="0"/>
    <x v="0"/>
    <x v="7"/>
    <n v="0"/>
    <n v="0"/>
    <n v="12.231999999999999"/>
    <n v="12.231999999999999"/>
    <n v="12.231999999999999"/>
    <n v="12.231999999999999"/>
    <n v="0"/>
    <x v="0"/>
    <n v="0"/>
    <n v="0"/>
    <n v="3"/>
    <n v="85"/>
    <n v="0"/>
    <n v="90.67"/>
    <n v="133.97"/>
    <m/>
    <n v="121.64342985575733"/>
    <n v="114.76529888966962"/>
    <n v="0"/>
    <n v="1109.0754400000001"/>
    <n v="1638.7210399999999"/>
    <n v="0"/>
    <n v="1487.9424339956236"/>
    <n v="1403.8091360184387"/>
  </r>
  <r>
    <s v="Regular"/>
    <x v="1"/>
    <x v="1"/>
    <x v="3"/>
    <x v="0"/>
    <x v="0"/>
    <x v="0"/>
    <x v="0"/>
    <x v="8"/>
    <n v="0"/>
    <n v="0"/>
    <n v="11.667999999999999"/>
    <n v="11.667999999999999"/>
    <n v="11.667999999999999"/>
    <n v="11.667999999999999"/>
    <n v="0"/>
    <x v="0"/>
    <n v="0"/>
    <n v="0"/>
    <n v="3"/>
    <n v="85"/>
    <n v="0"/>
    <n v="90.67"/>
    <n v="133.97"/>
    <m/>
    <n v="121.64342985575733"/>
    <n v="114.76529888966962"/>
    <n v="0"/>
    <n v="1057.9375599999998"/>
    <n v="1563.1619599999999"/>
    <n v="0"/>
    <n v="1419.3355395569765"/>
    <n v="1339.081507444665"/>
  </r>
  <r>
    <s v="Regular"/>
    <x v="1"/>
    <x v="1"/>
    <x v="3"/>
    <x v="0"/>
    <x v="0"/>
    <x v="0"/>
    <x v="0"/>
    <x v="9"/>
    <n v="0"/>
    <n v="0"/>
    <n v="12.244"/>
    <n v="12.244"/>
    <n v="12.244"/>
    <n v="12.244"/>
    <n v="0"/>
    <x v="0"/>
    <n v="0"/>
    <n v="0"/>
    <n v="3"/>
    <n v="85"/>
    <n v="0"/>
    <n v="90.67"/>
    <n v="133.97"/>
    <m/>
    <n v="121.64342985575733"/>
    <n v="114.76529888966962"/>
    <n v="0"/>
    <n v="1110.1634799999999"/>
    <n v="1640.3286799999998"/>
    <n v="0"/>
    <n v="1489.4021551538929"/>
    <n v="1405.1863196051149"/>
  </r>
  <r>
    <s v="Regular"/>
    <x v="1"/>
    <x v="1"/>
    <x v="3"/>
    <x v="0"/>
    <x v="0"/>
    <x v="0"/>
    <x v="0"/>
    <x v="10"/>
    <n v="0"/>
    <n v="0"/>
    <n v="12.145"/>
    <n v="12.145"/>
    <n v="12.145"/>
    <n v="12.145"/>
    <n v="0"/>
    <x v="0"/>
    <n v="0"/>
    <n v="0"/>
    <n v="3"/>
    <n v="85"/>
    <n v="0"/>
    <n v="90.67"/>
    <n v="133.97"/>
    <m/>
    <n v="121.64342985575733"/>
    <n v="114.76529888966962"/>
    <n v="0"/>
    <n v="1101.18715"/>
    <n v="1627.06565"/>
    <n v="0"/>
    <n v="1477.3594555981726"/>
    <n v="1393.8245550150375"/>
  </r>
  <r>
    <s v="PROJETADO"/>
    <x v="1"/>
    <x v="1"/>
    <x v="3"/>
    <x v="0"/>
    <x v="0"/>
    <x v="0"/>
    <x v="0"/>
    <x v="11"/>
    <n v="0"/>
    <n v="0"/>
    <n v="12.145"/>
    <n v="12.145"/>
    <n v="12.145"/>
    <n v="12.145"/>
    <n v="0"/>
    <x v="0"/>
    <n v="0"/>
    <n v="0"/>
    <n v="3"/>
    <n v="85"/>
    <n v="0"/>
    <n v="90.67"/>
    <n v="133.97"/>
    <m/>
    <n v="121.64342985575733"/>
    <n v="114.76529888966962"/>
    <n v="0"/>
    <n v="1101.18715"/>
    <n v="1627.06565"/>
    <n v="0"/>
    <n v="1477.3594555981726"/>
    <n v="1393.8245550150375"/>
  </r>
  <r>
    <s v="Regular"/>
    <x v="1"/>
    <x v="1"/>
    <x v="3"/>
    <x v="0"/>
    <x v="0"/>
    <x v="0"/>
    <x v="2"/>
    <x v="0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1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2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3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4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5"/>
    <n v="97"/>
    <n v="97"/>
    <n v="0"/>
    <n v="0"/>
    <n v="0"/>
    <n v="0"/>
    <n v="1"/>
    <x v="0"/>
    <n v="0"/>
    <n v="28"/>
    <n v="0"/>
    <n v="0"/>
    <n v="14.45"/>
    <n v="0"/>
    <n v="0"/>
    <n v="18.372313529244348"/>
    <m/>
    <m/>
    <n v="1401.6499999999999"/>
    <n v="0"/>
    <n v="0"/>
    <n v="1782.1144123367017"/>
    <n v="0"/>
    <n v="0"/>
  </r>
  <r>
    <s v="Regular"/>
    <x v="1"/>
    <x v="1"/>
    <x v="3"/>
    <x v="0"/>
    <x v="0"/>
    <x v="0"/>
    <x v="2"/>
    <x v="6"/>
    <n v="96"/>
    <n v="96"/>
    <n v="0"/>
    <n v="0"/>
    <n v="0"/>
    <n v="0"/>
    <n v="1"/>
    <x v="0"/>
    <n v="0"/>
    <n v="28"/>
    <n v="0"/>
    <n v="0"/>
    <n v="14.45"/>
    <n v="0"/>
    <n v="0"/>
    <n v="18.372313529244348"/>
    <m/>
    <m/>
    <n v="1387.1999999999998"/>
    <n v="0"/>
    <n v="0"/>
    <n v="1763.7420988074573"/>
    <n v="0"/>
    <n v="0"/>
  </r>
  <r>
    <s v="Regular"/>
    <x v="1"/>
    <x v="1"/>
    <x v="3"/>
    <x v="0"/>
    <x v="0"/>
    <x v="0"/>
    <x v="2"/>
    <x v="7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8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9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2"/>
    <x v="10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PROJETADO"/>
    <x v="1"/>
    <x v="1"/>
    <x v="3"/>
    <x v="0"/>
    <x v="0"/>
    <x v="0"/>
    <x v="2"/>
    <x v="11"/>
    <n v="95"/>
    <n v="95"/>
    <n v="0"/>
    <n v="0"/>
    <n v="0"/>
    <n v="0"/>
    <n v="1"/>
    <x v="0"/>
    <n v="0"/>
    <n v="28"/>
    <n v="0"/>
    <n v="0"/>
    <n v="14.45"/>
    <n v="0"/>
    <n v="0"/>
    <n v="18.372313529244348"/>
    <m/>
    <m/>
    <n v="1372.75"/>
    <n v="0"/>
    <n v="0"/>
    <n v="1745.3697852782132"/>
    <n v="0"/>
    <n v="0"/>
  </r>
  <r>
    <s v="Regular"/>
    <x v="1"/>
    <x v="1"/>
    <x v="3"/>
    <x v="0"/>
    <x v="0"/>
    <x v="0"/>
    <x v="1"/>
    <x v="0"/>
    <n v="0"/>
    <n v="0"/>
    <n v="1.103"/>
    <n v="1.103"/>
    <n v="1.103"/>
    <n v="1.103"/>
    <n v="0"/>
    <x v="0"/>
    <n v="0"/>
    <n v="0"/>
    <n v="18"/>
    <n v="64"/>
    <n v="0"/>
    <n v="1007.94"/>
    <n v="133.97"/>
    <m/>
    <n v="1254.594131793204"/>
    <n v="114.76529888966962"/>
    <n v="0"/>
    <n v="1111.75782"/>
    <n v="147.76891000000001"/>
    <n v="0"/>
    <n v="1383.817327367904"/>
    <n v="126.5861246753056"/>
  </r>
  <r>
    <s v="Regular"/>
    <x v="1"/>
    <x v="1"/>
    <x v="3"/>
    <x v="0"/>
    <x v="0"/>
    <x v="0"/>
    <x v="1"/>
    <x v="1"/>
    <n v="0"/>
    <n v="0"/>
    <n v="1.0249999999999999"/>
    <n v="1.0249999999999999"/>
    <n v="1.0249999999999999"/>
    <n v="1.0249999999999999"/>
    <n v="0"/>
    <x v="0"/>
    <n v="0"/>
    <n v="0"/>
    <n v="18"/>
    <n v="64"/>
    <n v="0"/>
    <n v="1007.94"/>
    <n v="133.97"/>
    <m/>
    <n v="1254.594131793204"/>
    <n v="114.76529888966962"/>
    <n v="0"/>
    <n v="1033.1385"/>
    <n v="137.31924999999998"/>
    <n v="0"/>
    <n v="1285.9589850880341"/>
    <n v="117.63443136191135"/>
  </r>
  <r>
    <s v="Regular"/>
    <x v="1"/>
    <x v="1"/>
    <x v="3"/>
    <x v="0"/>
    <x v="0"/>
    <x v="0"/>
    <x v="1"/>
    <x v="2"/>
    <n v="0"/>
    <n v="0"/>
    <n v="1.085"/>
    <n v="1.085"/>
    <n v="1.085"/>
    <n v="1.085"/>
    <n v="0"/>
    <x v="0"/>
    <n v="0"/>
    <n v="0"/>
    <n v="18"/>
    <n v="64"/>
    <n v="0"/>
    <n v="1007.94"/>
    <n v="133.97"/>
    <m/>
    <n v="1254.594131793204"/>
    <n v="114.76529888966962"/>
    <n v="0"/>
    <n v="1093.6149"/>
    <n v="145.35745"/>
    <n v="0"/>
    <n v="1361.2346329956263"/>
    <n v="124.52034929529154"/>
  </r>
  <r>
    <s v="Regular"/>
    <x v="1"/>
    <x v="1"/>
    <x v="3"/>
    <x v="0"/>
    <x v="0"/>
    <x v="0"/>
    <x v="1"/>
    <x v="3"/>
    <n v="0"/>
    <n v="0"/>
    <n v="1.1830000000000001"/>
    <n v="1.1830000000000001"/>
    <n v="1.1830000000000001"/>
    <n v="1.1830000000000001"/>
    <n v="0"/>
    <x v="0"/>
    <n v="0"/>
    <n v="0"/>
    <n v="18"/>
    <n v="64"/>
    <n v="0"/>
    <n v="1007.94"/>
    <n v="133.97"/>
    <m/>
    <n v="1254.594131793204"/>
    <n v="114.76529888966962"/>
    <n v="0"/>
    <n v="1192.3930200000002"/>
    <n v="158.48651000000001"/>
    <n v="0"/>
    <n v="1484.1848579113605"/>
    <n v="135.76734858647916"/>
  </r>
  <r>
    <s v="Regular"/>
    <x v="1"/>
    <x v="1"/>
    <x v="3"/>
    <x v="0"/>
    <x v="0"/>
    <x v="0"/>
    <x v="1"/>
    <x v="4"/>
    <n v="0"/>
    <n v="0"/>
    <n v="1.1850000000000001"/>
    <n v="1.1850000000000001"/>
    <n v="1.1850000000000001"/>
    <n v="1.1850000000000001"/>
    <n v="0"/>
    <x v="0"/>
    <n v="0"/>
    <n v="0"/>
    <n v="18"/>
    <n v="64"/>
    <n v="0"/>
    <n v="1007.94"/>
    <n v="133.97"/>
    <m/>
    <n v="1254.594131793204"/>
    <n v="114.76529888966962"/>
    <n v="0"/>
    <n v="1194.4089000000001"/>
    <n v="158.75445000000002"/>
    <n v="0"/>
    <n v="1486.6940461749468"/>
    <n v="135.99687918425852"/>
  </r>
  <r>
    <s v="Regular"/>
    <x v="1"/>
    <x v="1"/>
    <x v="3"/>
    <x v="0"/>
    <x v="0"/>
    <x v="0"/>
    <x v="1"/>
    <x v="5"/>
    <n v="0"/>
    <n v="0"/>
    <n v="1.1040000000000001"/>
    <n v="1.1040000000000001"/>
    <n v="1.1040000000000001"/>
    <n v="1.1040000000000001"/>
    <n v="0"/>
    <x v="0"/>
    <n v="0"/>
    <n v="0"/>
    <n v="18"/>
    <n v="64"/>
    <n v="0"/>
    <n v="1007.94"/>
    <n v="133.97"/>
    <m/>
    <n v="1254.594131793204"/>
    <n v="114.76529888966962"/>
    <n v="0"/>
    <n v="1112.7657600000002"/>
    <n v="147.90288000000001"/>
    <n v="0"/>
    <n v="1385.0719214996973"/>
    <n v="126.70088997419528"/>
  </r>
  <r>
    <s v="Regular"/>
    <x v="1"/>
    <x v="1"/>
    <x v="3"/>
    <x v="0"/>
    <x v="0"/>
    <x v="0"/>
    <x v="1"/>
    <x v="6"/>
    <n v="0"/>
    <n v="0"/>
    <n v="1.284"/>
    <n v="1.284"/>
    <n v="1.284"/>
    <n v="1.284"/>
    <n v="0"/>
    <x v="0"/>
    <n v="0"/>
    <n v="0"/>
    <n v="18"/>
    <n v="64"/>
    <n v="0"/>
    <n v="1007.94"/>
    <n v="133.97"/>
    <m/>
    <n v="1254.594131793204"/>
    <n v="114.76529888966962"/>
    <n v="0"/>
    <n v="1294.19496"/>
    <n v="172.01748000000001"/>
    <n v="0"/>
    <n v="1610.8988652224741"/>
    <n v="147.3586437743358"/>
  </r>
  <r>
    <s v="Regular"/>
    <x v="1"/>
    <x v="1"/>
    <x v="3"/>
    <x v="0"/>
    <x v="0"/>
    <x v="0"/>
    <x v="1"/>
    <x v="7"/>
    <n v="0"/>
    <n v="0"/>
    <n v="1.0269999999999999"/>
    <n v="1.0269999999999999"/>
    <n v="1.0269999999999999"/>
    <n v="1.0269999999999999"/>
    <n v="0"/>
    <x v="0"/>
    <n v="0"/>
    <n v="0"/>
    <n v="18"/>
    <n v="64"/>
    <n v="0"/>
    <n v="1007.94"/>
    <n v="133.97"/>
    <m/>
    <n v="1254.594131793204"/>
    <n v="114.76529888966962"/>
    <n v="0"/>
    <n v="1035.1543799999999"/>
    <n v="137.58718999999999"/>
    <n v="0"/>
    <n v="1288.4681733516204"/>
    <n v="117.8639619596907"/>
  </r>
  <r>
    <s v="Regular"/>
    <x v="1"/>
    <x v="1"/>
    <x v="3"/>
    <x v="0"/>
    <x v="0"/>
    <x v="0"/>
    <x v="1"/>
    <x v="8"/>
    <n v="0"/>
    <n v="0"/>
    <n v="1.0860000000000001"/>
    <n v="1.0860000000000001"/>
    <n v="1.0860000000000001"/>
    <n v="1.0860000000000001"/>
    <n v="0"/>
    <x v="0"/>
    <n v="0"/>
    <n v="0"/>
    <n v="18"/>
    <n v="64"/>
    <n v="0"/>
    <n v="1007.94"/>
    <n v="133.97"/>
    <m/>
    <n v="1254.594131793204"/>
    <n v="114.76529888966962"/>
    <n v="0"/>
    <n v="1094.6228400000002"/>
    <n v="145.49142000000001"/>
    <n v="0"/>
    <n v="1362.4892271274198"/>
    <n v="124.63511459418122"/>
  </r>
  <r>
    <s v="Regular"/>
    <x v="1"/>
    <x v="1"/>
    <x v="3"/>
    <x v="0"/>
    <x v="0"/>
    <x v="0"/>
    <x v="1"/>
    <x v="9"/>
    <n v="0"/>
    <n v="0"/>
    <n v="1.014"/>
    <n v="1.014"/>
    <n v="1.014"/>
    <n v="1.014"/>
    <n v="0"/>
    <x v="0"/>
    <n v="0"/>
    <n v="0"/>
    <n v="18"/>
    <n v="64"/>
    <n v="0"/>
    <n v="1007.94"/>
    <n v="133.97"/>
    <m/>
    <n v="1254.594131793204"/>
    <n v="114.76529888966962"/>
    <n v="0"/>
    <n v="1022.0511600000001"/>
    <n v="135.84558000000001"/>
    <n v="0"/>
    <n v="1272.1584496383089"/>
    <n v="116.37201307412499"/>
  </r>
  <r>
    <s v="Regular"/>
    <x v="1"/>
    <x v="1"/>
    <x v="3"/>
    <x v="0"/>
    <x v="0"/>
    <x v="0"/>
    <x v="1"/>
    <x v="10"/>
    <n v="0"/>
    <n v="0"/>
    <n v="1.0349999999999999"/>
    <n v="1.0349999999999999"/>
    <n v="1.0349999999999999"/>
    <n v="1.0349999999999999"/>
    <n v="0"/>
    <x v="0"/>
    <n v="0"/>
    <n v="0"/>
    <n v="18"/>
    <n v="64"/>
    <n v="0"/>
    <n v="1007.94"/>
    <n v="133.97"/>
    <m/>
    <n v="1254.594131793204"/>
    <n v="114.76529888966962"/>
    <n v="0"/>
    <n v="1043.2178999999999"/>
    <n v="138.65894999999998"/>
    <n v="0"/>
    <n v="1298.504926405966"/>
    <n v="118.78208435080805"/>
  </r>
  <r>
    <s v="PROJETADO"/>
    <x v="1"/>
    <x v="1"/>
    <x v="3"/>
    <x v="0"/>
    <x v="0"/>
    <x v="0"/>
    <x v="1"/>
    <x v="11"/>
    <n v="0"/>
    <n v="0"/>
    <n v="1.0349999999999999"/>
    <n v="1.0349999999999999"/>
    <n v="1.0349999999999999"/>
    <n v="1.0349999999999999"/>
    <n v="0"/>
    <x v="0"/>
    <n v="0"/>
    <n v="0"/>
    <n v="18"/>
    <n v="64"/>
    <n v="0"/>
    <n v="1007.94"/>
    <n v="133.97"/>
    <m/>
    <n v="1254.594131793204"/>
    <n v="114.76529888966962"/>
    <n v="0"/>
    <n v="1043.2178999999999"/>
    <n v="138.65894999999998"/>
    <n v="0"/>
    <n v="1298.504926405966"/>
    <n v="118.78208435080805"/>
  </r>
  <r>
    <s v="Regular"/>
    <x v="1"/>
    <x v="1"/>
    <x v="0"/>
    <x v="0"/>
    <x v="0"/>
    <x v="0"/>
    <x v="0"/>
    <x v="0"/>
    <n v="0"/>
    <n v="0"/>
    <n v="12866.733"/>
    <n v="12866.733"/>
    <n v="12866.733"/>
    <n v="12866.733"/>
    <n v="0"/>
    <x v="0"/>
    <n v="0"/>
    <n v="0"/>
    <n v="3"/>
    <n v="85"/>
    <n v="0"/>
    <n v="90.67"/>
    <n v="133.97"/>
    <m/>
    <n v="121.64342985575733"/>
    <n v="114.76529888966962"/>
    <n v="0"/>
    <n v="1166626.68111"/>
    <n v="1723756.22001"/>
    <n v="0"/>
    <n v="1565153.5331582581"/>
    <n v="1476654.4584785756"/>
  </r>
  <r>
    <s v="Regular"/>
    <x v="1"/>
    <x v="1"/>
    <x v="0"/>
    <x v="0"/>
    <x v="0"/>
    <x v="0"/>
    <x v="0"/>
    <x v="1"/>
    <n v="0"/>
    <n v="0"/>
    <n v="13220.275"/>
    <n v="13220.275"/>
    <n v="13220.275"/>
    <n v="13220.275"/>
    <n v="0"/>
    <x v="0"/>
    <n v="0"/>
    <n v="0"/>
    <n v="3"/>
    <n v="85"/>
    <n v="0"/>
    <n v="90.67"/>
    <n v="133.97"/>
    <m/>
    <n v="121.64342985575733"/>
    <n v="114.76529888966962"/>
    <n v="0"/>
    <n v="1198682.3342500001"/>
    <n v="1771120.24175"/>
    <n v="0"/>
    <n v="1608159.5946363222"/>
    <n v="1517228.8117786271"/>
  </r>
  <r>
    <s v="Regular"/>
    <x v="1"/>
    <x v="1"/>
    <x v="0"/>
    <x v="0"/>
    <x v="0"/>
    <x v="0"/>
    <x v="0"/>
    <x v="2"/>
    <n v="0"/>
    <n v="0"/>
    <n v="13251.582"/>
    <n v="13251.582"/>
    <n v="13251.582"/>
    <n v="13251.582"/>
    <n v="0"/>
    <x v="0"/>
    <n v="0"/>
    <n v="0"/>
    <n v="3"/>
    <n v="85"/>
    <n v="0"/>
    <n v="90.67"/>
    <n v="133.97"/>
    <m/>
    <n v="121.64342985575733"/>
    <n v="114.76529888966962"/>
    <n v="0"/>
    <n v="1201520.93994"/>
    <n v="1775314.4405400001"/>
    <n v="0"/>
    <n v="1611967.8854948166"/>
    <n v="1520821.768990966"/>
  </r>
  <r>
    <s v="Regular"/>
    <x v="1"/>
    <x v="1"/>
    <x v="0"/>
    <x v="0"/>
    <x v="0"/>
    <x v="0"/>
    <x v="0"/>
    <x v="3"/>
    <n v="0"/>
    <n v="0"/>
    <n v="12253.656000000001"/>
    <n v="12253.656000000001"/>
    <n v="12253.656000000001"/>
    <n v="12253.656000000001"/>
    <n v="0"/>
    <x v="0"/>
    <n v="0"/>
    <n v="0"/>
    <n v="3"/>
    <n v="85"/>
    <n v="0"/>
    <n v="90.67"/>
    <n v="133.97"/>
    <m/>
    <n v="121.64342985575733"/>
    <n v="114.76529888966962"/>
    <n v="0"/>
    <n v="1111038.9895200001"/>
    <n v="1641622.2943200001"/>
    <n v="0"/>
    <n v="1490576.7441125801"/>
    <n v="1406294.4933311937"/>
  </r>
  <r>
    <s v="Regular"/>
    <x v="1"/>
    <x v="1"/>
    <x v="0"/>
    <x v="0"/>
    <x v="0"/>
    <x v="0"/>
    <x v="0"/>
    <x v="4"/>
    <n v="0"/>
    <n v="0"/>
    <n v="12307.626"/>
    <n v="12307.626"/>
    <n v="12307.626"/>
    <n v="12307.626"/>
    <n v="0"/>
    <x v="0"/>
    <n v="0"/>
    <n v="0"/>
    <n v="3"/>
    <n v="85"/>
    <n v="0"/>
    <n v="90.67"/>
    <n v="133.97"/>
    <m/>
    <n v="121.64342985575733"/>
    <n v="114.76529888966962"/>
    <n v="0"/>
    <n v="1115932.44942"/>
    <n v="1648852.6552200001"/>
    <n v="0"/>
    <n v="1497141.8400218952"/>
    <n v="1412488.376512269"/>
  </r>
  <r>
    <s v="Regular"/>
    <x v="1"/>
    <x v="1"/>
    <x v="0"/>
    <x v="0"/>
    <x v="0"/>
    <x v="0"/>
    <x v="0"/>
    <x v="5"/>
    <n v="0"/>
    <n v="0"/>
    <n v="12617.851000000001"/>
    <n v="12617.851000000001"/>
    <n v="12617.851000000001"/>
    <n v="12617.851000000001"/>
    <n v="0"/>
    <x v="0"/>
    <n v="0"/>
    <n v="0"/>
    <n v="3"/>
    <n v="85"/>
    <n v="0"/>
    <n v="90.67"/>
    <n v="133.97"/>
    <m/>
    <n v="121.64342985575733"/>
    <n v="114.76529888966962"/>
    <n v="0"/>
    <n v="1144060.5501700002"/>
    <n v="1690413.49847"/>
    <n v="0"/>
    <n v="1534878.6730488976"/>
    <n v="1448091.4413603167"/>
  </r>
  <r>
    <s v="Regular"/>
    <x v="1"/>
    <x v="1"/>
    <x v="0"/>
    <x v="0"/>
    <x v="0"/>
    <x v="0"/>
    <x v="0"/>
    <x v="6"/>
    <n v="0"/>
    <n v="0"/>
    <n v="14615.763000000001"/>
    <n v="14615.763000000001"/>
    <n v="14615.763000000001"/>
    <n v="14615.763000000001"/>
    <n v="0"/>
    <x v="0"/>
    <n v="0"/>
    <n v="0"/>
    <n v="3"/>
    <n v="85"/>
    <n v="0"/>
    <n v="90.67"/>
    <n v="133.97"/>
    <m/>
    <n v="121.64342985575733"/>
    <n v="114.76529888966962"/>
    <n v="0"/>
    <n v="1325211.2312100001"/>
    <n v="1958073.76911"/>
    <n v="0"/>
    <n v="1777911.5412788736"/>
    <n v="1677382.4091955745"/>
  </r>
  <r>
    <s v="Regular"/>
    <x v="1"/>
    <x v="1"/>
    <x v="0"/>
    <x v="0"/>
    <x v="0"/>
    <x v="0"/>
    <x v="0"/>
    <x v="7"/>
    <n v="0"/>
    <n v="0"/>
    <n v="13316.296"/>
    <n v="13316.296"/>
    <n v="13316.296"/>
    <n v="13316.296"/>
    <n v="0"/>
    <x v="0"/>
    <n v="0"/>
    <n v="0"/>
    <n v="3"/>
    <n v="85"/>
    <n v="0"/>
    <n v="90.67"/>
    <n v="133.97"/>
    <m/>
    <n v="121.64342985575733"/>
    <n v="114.76529888966962"/>
    <n v="0"/>
    <n v="1207388.5583200001"/>
    <n v="1783984.17512"/>
    <n v="0"/>
    <n v="1619839.9184145019"/>
    <n v="1528248.6905433121"/>
  </r>
  <r>
    <s v="Regular"/>
    <x v="1"/>
    <x v="1"/>
    <x v="0"/>
    <x v="0"/>
    <x v="0"/>
    <x v="0"/>
    <x v="0"/>
    <x v="8"/>
    <n v="0"/>
    <n v="0"/>
    <n v="13825.42"/>
    <n v="13825.42"/>
    <n v="13825.42"/>
    <n v="13825.42"/>
    <n v="0"/>
    <x v="0"/>
    <n v="0"/>
    <n v="0"/>
    <n v="3"/>
    <n v="85"/>
    <n v="0"/>
    <n v="90.67"/>
    <n v="133.97"/>
    <m/>
    <n v="121.64342985575733"/>
    <n v="114.76529888966962"/>
    <n v="0"/>
    <n v="1253550.8314"/>
    <n v="1852191.5174"/>
    <n v="0"/>
    <n v="1681771.5079963845"/>
    <n v="1586678.4585752161"/>
  </r>
  <r>
    <s v="Regular"/>
    <x v="1"/>
    <x v="1"/>
    <x v="0"/>
    <x v="0"/>
    <x v="0"/>
    <x v="0"/>
    <x v="0"/>
    <x v="9"/>
    <n v="0"/>
    <n v="0"/>
    <n v="12988.965"/>
    <n v="12988.965"/>
    <n v="12988.965"/>
    <n v="12988.965"/>
    <n v="0"/>
    <x v="0"/>
    <n v="0"/>
    <n v="0"/>
    <n v="3"/>
    <n v="85"/>
    <n v="0"/>
    <n v="90.67"/>
    <n v="133.97"/>
    <m/>
    <n v="121.64342985575733"/>
    <n v="114.76529888966962"/>
    <n v="0"/>
    <n v="1177709.45655"/>
    <n v="1740131.64105"/>
    <n v="0"/>
    <n v="1580022.252876387"/>
    <n v="1490682.4504924577"/>
  </r>
  <r>
    <s v="Regular"/>
    <x v="1"/>
    <x v="1"/>
    <x v="0"/>
    <x v="0"/>
    <x v="0"/>
    <x v="0"/>
    <x v="0"/>
    <x v="10"/>
    <n v="0"/>
    <n v="0"/>
    <n v="12817.423000000001"/>
    <n v="12817.423000000001"/>
    <n v="12817.423000000001"/>
    <n v="12817.423000000001"/>
    <n v="0"/>
    <x v="0"/>
    <n v="0"/>
    <n v="0"/>
    <n v="3"/>
    <n v="85"/>
    <n v="0"/>
    <n v="90.67"/>
    <n v="133.97"/>
    <m/>
    <n v="121.64342985575733"/>
    <n v="114.76529888966962"/>
    <n v="0"/>
    <n v="1162155.7434100001"/>
    <n v="1717150.15931"/>
    <n v="0"/>
    <n v="1559155.2956320709"/>
    <n v="1470995.3815903259"/>
  </r>
  <r>
    <s v="PROJETADO"/>
    <x v="1"/>
    <x v="1"/>
    <x v="0"/>
    <x v="0"/>
    <x v="0"/>
    <x v="0"/>
    <x v="0"/>
    <x v="11"/>
    <n v="0"/>
    <n v="0"/>
    <n v="12817.423000000001"/>
    <n v="12817.423000000001"/>
    <n v="12817.423000000001"/>
    <n v="12817.423000000001"/>
    <n v="0"/>
    <x v="0"/>
    <n v="0"/>
    <n v="0"/>
    <n v="3"/>
    <n v="85"/>
    <n v="0"/>
    <n v="90.67"/>
    <n v="133.97"/>
    <m/>
    <n v="121.64342985575733"/>
    <n v="114.76529888966962"/>
    <n v="0"/>
    <n v="1162155.7434100001"/>
    <n v="1717150.15931"/>
    <n v="0"/>
    <n v="1559155.2956320709"/>
    <n v="1470995.3815903259"/>
  </r>
  <r>
    <s v="Regular"/>
    <x v="1"/>
    <x v="1"/>
    <x v="0"/>
    <x v="0"/>
    <x v="0"/>
    <x v="0"/>
    <x v="2"/>
    <x v="0"/>
    <n v="49987"/>
    <n v="49987"/>
    <n v="0"/>
    <n v="0"/>
    <n v="0"/>
    <n v="0"/>
    <n v="97"/>
    <x v="0"/>
    <n v="0"/>
    <n v="28"/>
    <n v="0"/>
    <n v="0"/>
    <n v="14.45"/>
    <n v="0"/>
    <n v="0"/>
    <n v="18.372313529244348"/>
    <m/>
    <m/>
    <n v="722312.14999999991"/>
    <n v="0"/>
    <n v="0"/>
    <n v="918376.83638633718"/>
    <n v="0"/>
    <n v="0"/>
  </r>
  <r>
    <s v="Regular"/>
    <x v="1"/>
    <x v="1"/>
    <x v="0"/>
    <x v="0"/>
    <x v="0"/>
    <x v="0"/>
    <x v="2"/>
    <x v="1"/>
    <n v="50387"/>
    <n v="50387"/>
    <n v="0"/>
    <n v="0"/>
    <n v="0"/>
    <n v="0"/>
    <n v="98"/>
    <x v="0"/>
    <n v="0"/>
    <n v="28"/>
    <n v="0"/>
    <n v="0"/>
    <n v="14.45"/>
    <n v="0"/>
    <n v="0"/>
    <n v="18.372313529244348"/>
    <m/>
    <m/>
    <n v="728092.14999999991"/>
    <n v="0"/>
    <n v="0"/>
    <n v="925725.761798035"/>
    <n v="0"/>
    <n v="0"/>
  </r>
  <r>
    <s v="Regular"/>
    <x v="1"/>
    <x v="1"/>
    <x v="0"/>
    <x v="0"/>
    <x v="0"/>
    <x v="0"/>
    <x v="2"/>
    <x v="2"/>
    <n v="49779"/>
    <n v="49779"/>
    <n v="0"/>
    <n v="0"/>
    <n v="0"/>
    <n v="0"/>
    <n v="98"/>
    <x v="0"/>
    <n v="0"/>
    <n v="28"/>
    <n v="0"/>
    <n v="0"/>
    <n v="14.45"/>
    <n v="0"/>
    <n v="0"/>
    <n v="18.372313529244348"/>
    <m/>
    <m/>
    <n v="719306.54999999993"/>
    <n v="0"/>
    <n v="0"/>
    <n v="914555.39517225442"/>
    <n v="0"/>
    <n v="0"/>
  </r>
  <r>
    <s v="Regular"/>
    <x v="1"/>
    <x v="1"/>
    <x v="0"/>
    <x v="0"/>
    <x v="0"/>
    <x v="0"/>
    <x v="2"/>
    <x v="3"/>
    <n v="49875"/>
    <n v="49875"/>
    <n v="0"/>
    <n v="0"/>
    <n v="0"/>
    <n v="0"/>
    <n v="99"/>
    <x v="0"/>
    <n v="0"/>
    <n v="28"/>
    <n v="0"/>
    <n v="0"/>
    <n v="14.45"/>
    <n v="0"/>
    <n v="0"/>
    <n v="18.372313529244348"/>
    <m/>
    <m/>
    <n v="720693.75"/>
    <n v="0"/>
    <n v="0"/>
    <n v="916319.13727106189"/>
    <n v="0"/>
    <n v="0"/>
  </r>
  <r>
    <s v="Regular"/>
    <x v="1"/>
    <x v="1"/>
    <x v="0"/>
    <x v="0"/>
    <x v="0"/>
    <x v="0"/>
    <x v="2"/>
    <x v="4"/>
    <n v="49908"/>
    <n v="49908"/>
    <n v="0"/>
    <n v="0"/>
    <n v="0"/>
    <n v="0"/>
    <n v="98"/>
    <x v="0"/>
    <n v="0"/>
    <n v="28"/>
    <n v="0"/>
    <n v="0"/>
    <n v="14.45"/>
    <n v="0"/>
    <n v="0"/>
    <n v="18.372313529244348"/>
    <m/>
    <m/>
    <n v="721170.6"/>
    <n v="0"/>
    <n v="0"/>
    <n v="916925.42361752689"/>
    <n v="0"/>
    <n v="0"/>
  </r>
  <r>
    <s v="Regular"/>
    <x v="1"/>
    <x v="1"/>
    <x v="0"/>
    <x v="0"/>
    <x v="0"/>
    <x v="0"/>
    <x v="2"/>
    <x v="5"/>
    <n v="50952"/>
    <n v="50952"/>
    <n v="0"/>
    <n v="0"/>
    <n v="0"/>
    <n v="0"/>
    <n v="98"/>
    <x v="0"/>
    <n v="0"/>
    <n v="28"/>
    <n v="0"/>
    <n v="0"/>
    <n v="14.45"/>
    <n v="0"/>
    <n v="0"/>
    <n v="18.372313529244348"/>
    <m/>
    <m/>
    <n v="736256.39999999991"/>
    <n v="0"/>
    <n v="0"/>
    <n v="936106.11894205806"/>
    <n v="0"/>
    <n v="0"/>
  </r>
  <r>
    <s v="Regular"/>
    <x v="1"/>
    <x v="1"/>
    <x v="0"/>
    <x v="0"/>
    <x v="0"/>
    <x v="0"/>
    <x v="2"/>
    <x v="6"/>
    <n v="51344"/>
    <n v="51344"/>
    <n v="0"/>
    <n v="0"/>
    <n v="0"/>
    <n v="0"/>
    <n v="98"/>
    <x v="0"/>
    <n v="0"/>
    <n v="28"/>
    <n v="0"/>
    <n v="0"/>
    <n v="14.45"/>
    <n v="0"/>
    <n v="0"/>
    <n v="18.372313529244348"/>
    <m/>
    <m/>
    <n v="741920.79999999993"/>
    <n v="0"/>
    <n v="0"/>
    <n v="943308.06584552175"/>
    <n v="0"/>
    <n v="0"/>
  </r>
  <r>
    <s v="Regular"/>
    <x v="1"/>
    <x v="1"/>
    <x v="0"/>
    <x v="0"/>
    <x v="0"/>
    <x v="0"/>
    <x v="2"/>
    <x v="7"/>
    <n v="51137"/>
    <n v="51137"/>
    <n v="0"/>
    <n v="0"/>
    <n v="0"/>
    <n v="0"/>
    <n v="98"/>
    <x v="0"/>
    <n v="0"/>
    <n v="28"/>
    <n v="0"/>
    <n v="0"/>
    <n v="14.45"/>
    <n v="0"/>
    <n v="0"/>
    <n v="18.372313529244348"/>
    <m/>
    <m/>
    <n v="738929.64999999991"/>
    <n v="0"/>
    <n v="0"/>
    <n v="939504.99694496824"/>
    <n v="0"/>
    <n v="0"/>
  </r>
  <r>
    <s v="Regular"/>
    <x v="1"/>
    <x v="1"/>
    <x v="0"/>
    <x v="0"/>
    <x v="0"/>
    <x v="0"/>
    <x v="2"/>
    <x v="8"/>
    <n v="50938"/>
    <n v="50938"/>
    <n v="0"/>
    <n v="0"/>
    <n v="0"/>
    <n v="0"/>
    <n v="96"/>
    <x v="0"/>
    <n v="0"/>
    <n v="28"/>
    <n v="0"/>
    <n v="0"/>
    <n v="14.45"/>
    <n v="0"/>
    <n v="0"/>
    <n v="18.372313529244348"/>
    <m/>
    <m/>
    <n v="736054.1"/>
    <n v="0"/>
    <n v="0"/>
    <n v="935848.90655264864"/>
    <n v="0"/>
    <n v="0"/>
  </r>
  <r>
    <s v="Regular"/>
    <x v="1"/>
    <x v="1"/>
    <x v="0"/>
    <x v="0"/>
    <x v="0"/>
    <x v="0"/>
    <x v="2"/>
    <x v="9"/>
    <n v="50300"/>
    <n v="50300"/>
    <n v="0"/>
    <n v="0"/>
    <n v="0"/>
    <n v="0"/>
    <n v="97"/>
    <x v="0"/>
    <n v="0"/>
    <n v="28"/>
    <n v="0"/>
    <n v="0"/>
    <n v="14.45"/>
    <n v="0"/>
    <n v="0"/>
    <n v="18.372313529244348"/>
    <m/>
    <m/>
    <n v="726835"/>
    <n v="0"/>
    <n v="0"/>
    <n v="924127.37052099069"/>
    <n v="0"/>
    <n v="0"/>
  </r>
  <r>
    <s v="Regular"/>
    <x v="1"/>
    <x v="1"/>
    <x v="0"/>
    <x v="0"/>
    <x v="0"/>
    <x v="0"/>
    <x v="2"/>
    <x v="10"/>
    <n v="50687"/>
    <n v="50687"/>
    <n v="0"/>
    <n v="0"/>
    <n v="0"/>
    <n v="0"/>
    <n v="97"/>
    <x v="0"/>
    <n v="0"/>
    <n v="28"/>
    <n v="0"/>
    <n v="0"/>
    <n v="14.45"/>
    <n v="0"/>
    <n v="0"/>
    <n v="18.372313529244348"/>
    <m/>
    <m/>
    <n v="732427.14999999991"/>
    <n v="0"/>
    <n v="0"/>
    <n v="931237.45585680823"/>
    <n v="0"/>
    <n v="0"/>
  </r>
  <r>
    <s v="PROJETADO"/>
    <x v="1"/>
    <x v="1"/>
    <x v="0"/>
    <x v="0"/>
    <x v="0"/>
    <x v="0"/>
    <x v="2"/>
    <x v="11"/>
    <n v="50687"/>
    <n v="50687"/>
    <n v="0"/>
    <n v="0"/>
    <n v="0"/>
    <n v="0"/>
    <n v="97"/>
    <x v="0"/>
    <n v="0"/>
    <n v="28"/>
    <n v="0"/>
    <n v="0"/>
    <n v="14.45"/>
    <n v="0"/>
    <n v="0"/>
    <n v="18.372313529244348"/>
    <m/>
    <m/>
    <n v="732427.14999999991"/>
    <n v="0"/>
    <n v="0"/>
    <n v="931237.45585680823"/>
    <n v="0"/>
    <n v="0"/>
  </r>
  <r>
    <s v="Regular"/>
    <x v="1"/>
    <x v="1"/>
    <x v="0"/>
    <x v="0"/>
    <x v="0"/>
    <x v="0"/>
    <x v="1"/>
    <x v="0"/>
    <n v="0"/>
    <n v="0"/>
    <n v="811.77"/>
    <n v="811.77"/>
    <n v="811.77"/>
    <n v="811.77"/>
    <n v="0"/>
    <x v="0"/>
    <n v="0"/>
    <n v="0"/>
    <n v="18"/>
    <n v="64"/>
    <n v="0"/>
    <n v="1007.94"/>
    <n v="133.97"/>
    <m/>
    <n v="1254.594131793204"/>
    <n v="114.76529888966962"/>
    <n v="0"/>
    <n v="818215.45380000002"/>
    <n v="108752.8269"/>
    <n v="0"/>
    <n v="1018441.8783657692"/>
    <n v="93163.026679667106"/>
  </r>
  <r>
    <s v="Regular"/>
    <x v="1"/>
    <x v="1"/>
    <x v="0"/>
    <x v="0"/>
    <x v="0"/>
    <x v="0"/>
    <x v="1"/>
    <x v="1"/>
    <n v="0"/>
    <n v="0"/>
    <n v="789.99699999999996"/>
    <n v="789.99699999999996"/>
    <n v="789.99699999999996"/>
    <n v="789.99699999999996"/>
    <n v="0"/>
    <x v="0"/>
    <n v="0"/>
    <n v="0"/>
    <n v="18"/>
    <n v="64"/>
    <n v="0"/>
    <n v="1007.94"/>
    <n v="133.97"/>
    <m/>
    <n v="1254.594131793204"/>
    <n v="114.76529888966962"/>
    <n v="0"/>
    <n v="796269.57617999997"/>
    <n v="105835.89808999999"/>
    <n v="0"/>
    <n v="991125.60033423582"/>
    <n v="90664.241826942321"/>
  </r>
  <r>
    <s v="Regular"/>
    <x v="1"/>
    <x v="1"/>
    <x v="0"/>
    <x v="0"/>
    <x v="0"/>
    <x v="0"/>
    <x v="1"/>
    <x v="2"/>
    <n v="0"/>
    <n v="0"/>
    <n v="805.73800000000006"/>
    <n v="805.73800000000006"/>
    <n v="805.73800000000006"/>
    <n v="805.73800000000006"/>
    <n v="0"/>
    <x v="0"/>
    <n v="0"/>
    <n v="0"/>
    <n v="18"/>
    <n v="64"/>
    <n v="0"/>
    <n v="1007.94"/>
    <n v="133.97"/>
    <m/>
    <n v="1254.594131793204"/>
    <n v="114.76529888966962"/>
    <n v="0"/>
    <n v="812135.55972000014"/>
    <n v="107944.71986000001"/>
    <n v="0"/>
    <n v="1010874.1665627927"/>
    <n v="92470.762396764636"/>
  </r>
  <r>
    <s v="Regular"/>
    <x v="1"/>
    <x v="1"/>
    <x v="0"/>
    <x v="0"/>
    <x v="0"/>
    <x v="0"/>
    <x v="1"/>
    <x v="3"/>
    <n v="0"/>
    <n v="0"/>
    <n v="823.31500000000005"/>
    <n v="823.31500000000005"/>
    <n v="823.31500000000005"/>
    <n v="823.31500000000005"/>
    <n v="0"/>
    <x v="0"/>
    <n v="0"/>
    <n v="0"/>
    <n v="18"/>
    <n v="64"/>
    <n v="0"/>
    <n v="1007.94"/>
    <n v="133.97"/>
    <m/>
    <n v="1254.594131793204"/>
    <n v="114.76529888966962"/>
    <n v="0"/>
    <n v="829852.12110000011"/>
    <n v="110299.51055000001"/>
    <n v="0"/>
    <n v="1032926.1676173218"/>
    <n v="94487.992055348353"/>
  </r>
  <r>
    <s v="Regular"/>
    <x v="1"/>
    <x v="1"/>
    <x v="0"/>
    <x v="0"/>
    <x v="0"/>
    <x v="0"/>
    <x v="1"/>
    <x v="4"/>
    <n v="0"/>
    <n v="0"/>
    <n v="778.56700000000001"/>
    <n v="778.56700000000001"/>
    <n v="778.56700000000001"/>
    <n v="778.56700000000001"/>
    <n v="0"/>
    <x v="0"/>
    <n v="0"/>
    <n v="0"/>
    <n v="18"/>
    <n v="64"/>
    <n v="0"/>
    <n v="1007.94"/>
    <n v="133.97"/>
    <m/>
    <n v="1254.594131793204"/>
    <n v="114.76529888966962"/>
    <n v="0"/>
    <n v="784748.82198000001"/>
    <n v="104304.62099"/>
    <n v="0"/>
    <n v="976785.58940783946"/>
    <n v="89352.474460633413"/>
  </r>
  <r>
    <s v="Regular"/>
    <x v="1"/>
    <x v="1"/>
    <x v="0"/>
    <x v="0"/>
    <x v="0"/>
    <x v="0"/>
    <x v="1"/>
    <x v="5"/>
    <n v="0"/>
    <n v="0"/>
    <n v="778.85"/>
    <n v="778.85"/>
    <n v="778.85"/>
    <n v="778.85"/>
    <n v="0"/>
    <x v="0"/>
    <n v="0"/>
    <n v="0"/>
    <n v="18"/>
    <n v="64"/>
    <n v="0"/>
    <n v="1007.94"/>
    <n v="133.97"/>
    <m/>
    <n v="1254.594131793204"/>
    <n v="114.76529888966962"/>
    <n v="0"/>
    <n v="785034.06900000002"/>
    <n v="104342.53450000001"/>
    <n v="0"/>
    <n v="977140.63954713696"/>
    <n v="89384.953040219189"/>
  </r>
  <r>
    <s v="Regular"/>
    <x v="1"/>
    <x v="1"/>
    <x v="0"/>
    <x v="0"/>
    <x v="0"/>
    <x v="0"/>
    <x v="1"/>
    <x v="6"/>
    <n v="0"/>
    <n v="0"/>
    <n v="860.54499999999996"/>
    <n v="860.54499999999996"/>
    <n v="860.54499999999996"/>
    <n v="860.54499999999996"/>
    <n v="0"/>
    <x v="0"/>
    <n v="0"/>
    <n v="0"/>
    <n v="18"/>
    <n v="64"/>
    <n v="0"/>
    <n v="1007.94"/>
    <n v="133.97"/>
    <m/>
    <n v="1254.594131793204"/>
    <n v="114.76529888966962"/>
    <n v="0"/>
    <n v="867377.72730000003"/>
    <n v="115287.21364999999"/>
    <n v="0"/>
    <n v="1079634.7071439826"/>
    <n v="98760.704133010746"/>
  </r>
  <r>
    <s v="Regular"/>
    <x v="1"/>
    <x v="1"/>
    <x v="0"/>
    <x v="0"/>
    <x v="0"/>
    <x v="0"/>
    <x v="1"/>
    <x v="7"/>
    <n v="0"/>
    <n v="0"/>
    <n v="770.42499999999995"/>
    <n v="770.42499999999995"/>
    <n v="770.42499999999995"/>
    <n v="770.42499999999995"/>
    <n v="0"/>
    <x v="0"/>
    <n v="0"/>
    <n v="0"/>
    <n v="18"/>
    <n v="64"/>
    <n v="0"/>
    <n v="1007.94"/>
    <n v="133.97"/>
    <m/>
    <n v="1254.594131793204"/>
    <n v="114.76529888966962"/>
    <n v="0"/>
    <n v="776542.17449999996"/>
    <n v="103213.83725"/>
    <n v="0"/>
    <n v="966570.68398677919"/>
    <n v="88418.055397073709"/>
  </r>
  <r>
    <s v="Regular"/>
    <x v="1"/>
    <x v="1"/>
    <x v="0"/>
    <x v="0"/>
    <x v="0"/>
    <x v="0"/>
    <x v="1"/>
    <x v="8"/>
    <n v="0"/>
    <n v="0"/>
    <n v="887.73900000000003"/>
    <n v="887.73900000000003"/>
    <n v="887.73900000000003"/>
    <n v="887.73900000000003"/>
    <n v="0"/>
    <x v="0"/>
    <n v="0"/>
    <n v="0"/>
    <n v="18"/>
    <n v="64"/>
    <n v="0"/>
    <n v="1007.94"/>
    <n v="133.97"/>
    <m/>
    <n v="1254.594131793204"/>
    <n v="114.76529888966962"/>
    <n v="0"/>
    <n v="894787.64766000013"/>
    <n v="118930.39383"/>
    <n v="0"/>
    <n v="1113752.1399639673"/>
    <n v="101881.63167101642"/>
  </r>
  <r>
    <s v="Regular"/>
    <x v="1"/>
    <x v="1"/>
    <x v="0"/>
    <x v="0"/>
    <x v="0"/>
    <x v="0"/>
    <x v="1"/>
    <x v="9"/>
    <n v="0"/>
    <n v="0"/>
    <n v="867.57"/>
    <n v="867.57"/>
    <n v="867.57"/>
    <n v="867.57"/>
    <n v="0"/>
    <x v="0"/>
    <n v="0"/>
    <n v="0"/>
    <n v="18"/>
    <n v="64"/>
    <n v="0"/>
    <n v="1007.94"/>
    <n v="133.97"/>
    <m/>
    <n v="1254.594131793204"/>
    <n v="114.76529888966962"/>
    <n v="0"/>
    <n v="874458.50580000004"/>
    <n v="116228.35290000001"/>
    <n v="0"/>
    <n v="1088448.23091983"/>
    <n v="99566.930357710677"/>
  </r>
  <r>
    <s v="Regular"/>
    <x v="1"/>
    <x v="1"/>
    <x v="0"/>
    <x v="0"/>
    <x v="0"/>
    <x v="0"/>
    <x v="1"/>
    <x v="10"/>
    <n v="0"/>
    <n v="0"/>
    <n v="893.82100000000003"/>
    <n v="893.82100000000003"/>
    <n v="893.82100000000003"/>
    <n v="893.82100000000003"/>
    <n v="0"/>
    <x v="0"/>
    <n v="0"/>
    <n v="0"/>
    <n v="18"/>
    <n v="64"/>
    <n v="0"/>
    <n v="1007.94"/>
    <n v="133.97"/>
    <m/>
    <n v="1254.594131793204"/>
    <n v="114.76529888966962"/>
    <n v="0"/>
    <n v="900917.93874000013"/>
    <n v="119745.19937"/>
    <n v="0"/>
    <n v="1121382.5814735335"/>
    <n v="102579.6342188634"/>
  </r>
  <r>
    <s v="PROJETADO"/>
    <x v="1"/>
    <x v="1"/>
    <x v="0"/>
    <x v="0"/>
    <x v="0"/>
    <x v="0"/>
    <x v="1"/>
    <x v="11"/>
    <n v="0"/>
    <n v="0"/>
    <n v="893.82100000000003"/>
    <n v="893.82100000000003"/>
    <n v="893.82100000000003"/>
    <n v="893.82100000000003"/>
    <n v="0"/>
    <x v="0"/>
    <n v="0"/>
    <n v="0"/>
    <n v="18"/>
    <n v="64"/>
    <n v="0"/>
    <n v="1007.94"/>
    <n v="133.97"/>
    <m/>
    <n v="1254.594131793204"/>
    <n v="114.76529888966962"/>
    <n v="0"/>
    <n v="900917.93874000013"/>
    <n v="119745.19937"/>
    <n v="0"/>
    <n v="1121382.5814735335"/>
    <n v="102579.6342188634"/>
  </r>
  <r>
    <s v="Regular"/>
    <x v="1"/>
    <x v="1"/>
    <x v="4"/>
    <x v="0"/>
    <x v="0"/>
    <x v="0"/>
    <x v="0"/>
    <x v="0"/>
    <n v="0"/>
    <n v="0"/>
    <n v="20.654"/>
    <n v="20.654"/>
    <n v="20.654"/>
    <n v="20.654"/>
    <n v="0"/>
    <x v="0"/>
    <n v="0"/>
    <n v="0"/>
    <n v="3"/>
    <n v="85"/>
    <n v="0"/>
    <n v="90.67"/>
    <n v="133.97"/>
    <m/>
    <n v="121.64342985575733"/>
    <n v="114.76529888966962"/>
    <n v="0"/>
    <n v="1872.6981800000001"/>
    <n v="2767.01638"/>
    <n v="0"/>
    <n v="2512.423400240812"/>
    <n v="2370.3624832672363"/>
  </r>
  <r>
    <s v="Regular"/>
    <x v="1"/>
    <x v="1"/>
    <x v="4"/>
    <x v="0"/>
    <x v="0"/>
    <x v="0"/>
    <x v="0"/>
    <x v="1"/>
    <n v="0"/>
    <n v="0"/>
    <n v="21.516999999999999"/>
    <n v="21.516999999999999"/>
    <n v="21.516999999999999"/>
    <n v="21.516999999999999"/>
    <n v="0"/>
    <x v="0"/>
    <n v="0"/>
    <n v="0"/>
    <n v="3"/>
    <n v="85"/>
    <n v="0"/>
    <n v="90.67"/>
    <n v="133.97"/>
    <m/>
    <n v="121.64342985575733"/>
    <n v="114.76529888966962"/>
    <n v="0"/>
    <n v="1950.9463900000001"/>
    <n v="2882.63249"/>
    <n v="0"/>
    <n v="2617.4016802063306"/>
    <n v="2469.4049362090213"/>
  </r>
  <r>
    <s v="Regular"/>
    <x v="1"/>
    <x v="1"/>
    <x v="4"/>
    <x v="0"/>
    <x v="0"/>
    <x v="0"/>
    <x v="0"/>
    <x v="2"/>
    <n v="0"/>
    <n v="0"/>
    <n v="22.597000000000001"/>
    <n v="22.597000000000001"/>
    <n v="22.597000000000001"/>
    <n v="22.597000000000001"/>
    <n v="0"/>
    <x v="0"/>
    <n v="0"/>
    <n v="0"/>
    <n v="3"/>
    <n v="85"/>
    <n v="0"/>
    <n v="90.67"/>
    <n v="133.97"/>
    <m/>
    <n v="121.64342985575733"/>
    <n v="114.76529888966962"/>
    <n v="0"/>
    <n v="2048.8699900000001"/>
    <n v="3027.3200900000002"/>
    <n v="0"/>
    <n v="2748.7765844505484"/>
    <n v="2593.3514590098648"/>
  </r>
  <r>
    <s v="Regular"/>
    <x v="1"/>
    <x v="1"/>
    <x v="4"/>
    <x v="0"/>
    <x v="0"/>
    <x v="0"/>
    <x v="0"/>
    <x v="3"/>
    <n v="0"/>
    <n v="0"/>
    <n v="20.936"/>
    <n v="20.936"/>
    <n v="20.936"/>
    <n v="20.936"/>
    <n v="0"/>
    <x v="0"/>
    <n v="0"/>
    <n v="0"/>
    <n v="3"/>
    <n v="85"/>
    <n v="0"/>
    <n v="90.67"/>
    <n v="133.97"/>
    <m/>
    <n v="121.64342985575733"/>
    <n v="114.76529888966962"/>
    <n v="0"/>
    <n v="1898.26712"/>
    <n v="2804.79592"/>
    <n v="0"/>
    <n v="2546.7268474601356"/>
    <n v="2402.726297554123"/>
  </r>
  <r>
    <s v="Regular"/>
    <x v="1"/>
    <x v="1"/>
    <x v="4"/>
    <x v="0"/>
    <x v="0"/>
    <x v="0"/>
    <x v="0"/>
    <x v="4"/>
    <n v="0"/>
    <n v="0"/>
    <n v="25.707000000000001"/>
    <n v="25.707000000000001"/>
    <n v="25.707000000000001"/>
    <n v="25.707000000000001"/>
    <n v="0"/>
    <x v="0"/>
    <n v="0"/>
    <n v="0"/>
    <n v="3"/>
    <n v="85"/>
    <n v="0"/>
    <n v="90.67"/>
    <n v="133.97"/>
    <m/>
    <n v="121.64342985575733"/>
    <n v="114.76529888966962"/>
    <n v="0"/>
    <n v="2330.8536899999999"/>
    <n v="3443.9667899999999"/>
    <n v="0"/>
    <n v="3127.0876513019539"/>
    <n v="2950.2715385567371"/>
  </r>
  <r>
    <s v="Regular"/>
    <x v="1"/>
    <x v="1"/>
    <x v="4"/>
    <x v="0"/>
    <x v="0"/>
    <x v="0"/>
    <x v="0"/>
    <x v="5"/>
    <n v="0"/>
    <n v="0"/>
    <n v="28.829000000000001"/>
    <n v="28.829000000000001"/>
    <n v="28.829000000000001"/>
    <n v="28.829000000000001"/>
    <n v="0"/>
    <x v="0"/>
    <n v="0"/>
    <n v="0"/>
    <n v="3"/>
    <n v="85"/>
    <n v="0"/>
    <n v="90.67"/>
    <n v="133.97"/>
    <m/>
    <n v="121.64342985575733"/>
    <n v="114.76529888966962"/>
    <n v="0"/>
    <n v="2613.9254300000002"/>
    <n v="3862.2211299999999"/>
    <n v="0"/>
    <n v="3506.8584393116284"/>
    <n v="3308.5688016902855"/>
  </r>
  <r>
    <s v="Regular"/>
    <x v="1"/>
    <x v="1"/>
    <x v="4"/>
    <x v="0"/>
    <x v="0"/>
    <x v="0"/>
    <x v="0"/>
    <x v="6"/>
    <n v="0"/>
    <n v="0"/>
    <n v="28.777000000000001"/>
    <n v="28.777000000000001"/>
    <n v="28.777000000000001"/>
    <n v="28.777000000000001"/>
    <n v="0"/>
    <x v="0"/>
    <n v="0"/>
    <n v="0"/>
    <n v="3"/>
    <n v="85"/>
    <n v="0"/>
    <n v="90.67"/>
    <n v="133.97"/>
    <m/>
    <n v="121.64342985575733"/>
    <n v="114.76529888966962"/>
    <n v="0"/>
    <n v="2609.2105900000001"/>
    <n v="3855.2546900000002"/>
    <n v="0"/>
    <n v="3500.532980959129"/>
    <n v="3302.6010061480229"/>
  </r>
  <r>
    <s v="Regular"/>
    <x v="1"/>
    <x v="1"/>
    <x v="4"/>
    <x v="0"/>
    <x v="0"/>
    <x v="0"/>
    <x v="0"/>
    <x v="7"/>
    <n v="0"/>
    <n v="0"/>
    <n v="22.367000000000001"/>
    <n v="22.367000000000001"/>
    <n v="22.367000000000001"/>
    <n v="22.367000000000001"/>
    <n v="0"/>
    <x v="0"/>
    <n v="0"/>
    <n v="0"/>
    <n v="3"/>
    <n v="85"/>
    <n v="0"/>
    <n v="90.67"/>
    <n v="133.97"/>
    <m/>
    <n v="121.64342985575733"/>
    <n v="114.76529888966962"/>
    <n v="0"/>
    <n v="2028.0158900000001"/>
    <n v="2996.5069900000003"/>
    <n v="0"/>
    <n v="2720.7985955837244"/>
    <n v="2566.9554402652407"/>
  </r>
  <r>
    <s v="Regular"/>
    <x v="1"/>
    <x v="1"/>
    <x v="4"/>
    <x v="0"/>
    <x v="0"/>
    <x v="0"/>
    <x v="0"/>
    <x v="8"/>
    <n v="0"/>
    <n v="0"/>
    <n v="20.501999999999999"/>
    <n v="20.501999999999999"/>
    <n v="20.501999999999999"/>
    <n v="20.501999999999999"/>
    <n v="0"/>
    <x v="0"/>
    <n v="0"/>
    <n v="0"/>
    <n v="3"/>
    <n v="85"/>
    <n v="0"/>
    <n v="90.67"/>
    <n v="133.97"/>
    <m/>
    <n v="121.64342985575733"/>
    <n v="114.76529888966962"/>
    <n v="0"/>
    <n v="1858.91634"/>
    <n v="2746.6529399999999"/>
    <n v="0"/>
    <n v="2493.9335989027368"/>
    <n v="2352.9181578360067"/>
  </r>
  <r>
    <s v="Regular"/>
    <x v="1"/>
    <x v="1"/>
    <x v="4"/>
    <x v="0"/>
    <x v="0"/>
    <x v="0"/>
    <x v="0"/>
    <x v="9"/>
    <n v="0"/>
    <n v="0"/>
    <n v="21.259"/>
    <n v="21.259"/>
    <n v="21.259"/>
    <n v="21.259"/>
    <n v="0"/>
    <x v="0"/>
    <n v="0"/>
    <n v="0"/>
    <n v="3"/>
    <n v="85"/>
    <n v="0"/>
    <n v="90.67"/>
    <n v="133.97"/>
    <m/>
    <n v="121.64342985575733"/>
    <n v="114.76529888966962"/>
    <n v="0"/>
    <n v="1927.5535300000001"/>
    <n v="2848.0682299999999"/>
    <n v="0"/>
    <n v="2586.0176753035453"/>
    <n v="2439.7954890954866"/>
  </r>
  <r>
    <s v="Regular"/>
    <x v="1"/>
    <x v="1"/>
    <x v="4"/>
    <x v="0"/>
    <x v="0"/>
    <x v="0"/>
    <x v="0"/>
    <x v="10"/>
    <n v="0"/>
    <n v="0"/>
    <n v="20.71"/>
    <n v="20.71"/>
    <n v="20.71"/>
    <n v="20.71"/>
    <n v="0"/>
    <x v="0"/>
    <n v="0"/>
    <n v="0"/>
    <n v="3"/>
    <n v="85"/>
    <n v="0"/>
    <n v="90.67"/>
    <n v="133.97"/>
    <m/>
    <n v="121.64342985575733"/>
    <n v="114.76529888966962"/>
    <n v="0"/>
    <n v="1877.7757000000001"/>
    <n v="2774.5187000000001"/>
    <n v="0"/>
    <n v="2519.2354323127342"/>
    <n v="2376.789340005058"/>
  </r>
  <r>
    <s v="PROJETADO"/>
    <x v="1"/>
    <x v="1"/>
    <x v="4"/>
    <x v="0"/>
    <x v="0"/>
    <x v="0"/>
    <x v="0"/>
    <x v="11"/>
    <n v="0"/>
    <n v="0"/>
    <n v="20.71"/>
    <n v="20.71"/>
    <n v="20.71"/>
    <n v="20.71"/>
    <n v="0"/>
    <x v="0"/>
    <n v="0"/>
    <n v="0"/>
    <n v="3"/>
    <n v="85"/>
    <n v="0"/>
    <n v="90.67"/>
    <n v="133.97"/>
    <m/>
    <n v="121.64342985575733"/>
    <n v="114.76529888966962"/>
    <n v="0"/>
    <n v="1877.7757000000001"/>
    <n v="2774.5187000000001"/>
    <n v="0"/>
    <n v="2519.2354323127342"/>
    <n v="2376.789340005058"/>
  </r>
  <r>
    <s v="Regular"/>
    <x v="1"/>
    <x v="1"/>
    <x v="4"/>
    <x v="0"/>
    <x v="0"/>
    <x v="0"/>
    <x v="2"/>
    <x v="0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1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2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3"/>
    <n v="351"/>
    <n v="351"/>
    <n v="0"/>
    <n v="0"/>
    <n v="0"/>
    <n v="0"/>
    <n v="3"/>
    <x v="0"/>
    <n v="0"/>
    <n v="28"/>
    <n v="0"/>
    <n v="0"/>
    <n v="14.45"/>
    <n v="0"/>
    <n v="0"/>
    <n v="18.372313529244348"/>
    <m/>
    <m/>
    <n v="5071.95"/>
    <n v="0"/>
    <n v="0"/>
    <n v="6448.6820487647665"/>
    <n v="0"/>
    <n v="0"/>
  </r>
  <r>
    <s v="Regular"/>
    <x v="1"/>
    <x v="1"/>
    <x v="4"/>
    <x v="0"/>
    <x v="0"/>
    <x v="0"/>
    <x v="2"/>
    <x v="4"/>
    <n v="347"/>
    <n v="347"/>
    <n v="0"/>
    <n v="0"/>
    <n v="0"/>
    <n v="0"/>
    <n v="3"/>
    <x v="0"/>
    <n v="0"/>
    <n v="28"/>
    <n v="0"/>
    <n v="0"/>
    <n v="14.45"/>
    <n v="0"/>
    <n v="0"/>
    <n v="18.372313529244348"/>
    <m/>
    <m/>
    <n v="5014.1499999999996"/>
    <n v="0"/>
    <n v="0"/>
    <n v="6375.192794647789"/>
    <n v="0"/>
    <n v="0"/>
  </r>
  <r>
    <s v="Regular"/>
    <x v="1"/>
    <x v="1"/>
    <x v="4"/>
    <x v="0"/>
    <x v="0"/>
    <x v="0"/>
    <x v="2"/>
    <x v="5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6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7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8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9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2"/>
    <x v="10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PROJETADO"/>
    <x v="1"/>
    <x v="1"/>
    <x v="4"/>
    <x v="0"/>
    <x v="0"/>
    <x v="0"/>
    <x v="2"/>
    <x v="11"/>
    <n v="320"/>
    <n v="320"/>
    <n v="0"/>
    <n v="0"/>
    <n v="0"/>
    <n v="0"/>
    <n v="3"/>
    <x v="0"/>
    <n v="0"/>
    <n v="28"/>
    <n v="0"/>
    <n v="0"/>
    <n v="14.45"/>
    <n v="0"/>
    <n v="0"/>
    <n v="18.372313529244348"/>
    <m/>
    <m/>
    <n v="4624"/>
    <n v="0"/>
    <n v="0"/>
    <n v="5879.1403293581916"/>
    <n v="0"/>
    <n v="0"/>
  </r>
  <r>
    <s v="Regular"/>
    <x v="1"/>
    <x v="1"/>
    <x v="4"/>
    <x v="0"/>
    <x v="0"/>
    <x v="0"/>
    <x v="1"/>
    <x v="0"/>
    <n v="0"/>
    <n v="0"/>
    <n v="1.9390000000000001"/>
    <n v="1.9390000000000001"/>
    <n v="1.9390000000000001"/>
    <n v="1.9390000000000001"/>
    <n v="0"/>
    <x v="0"/>
    <n v="0"/>
    <n v="0"/>
    <n v="18"/>
    <n v="64"/>
    <n v="0"/>
    <n v="1007.94"/>
    <n v="133.97"/>
    <m/>
    <n v="1254.594131793204"/>
    <n v="114.76529888966962"/>
    <n v="0"/>
    <n v="1954.3956600000001"/>
    <n v="259.76783"/>
    <n v="0"/>
    <n v="2432.6580215470226"/>
    <n v="222.52991454706941"/>
  </r>
  <r>
    <s v="Regular"/>
    <x v="1"/>
    <x v="1"/>
    <x v="4"/>
    <x v="0"/>
    <x v="0"/>
    <x v="0"/>
    <x v="1"/>
    <x v="1"/>
    <n v="0"/>
    <n v="0"/>
    <n v="1.923"/>
    <n v="1.923"/>
    <n v="1.923"/>
    <n v="1.923"/>
    <n v="0"/>
    <x v="0"/>
    <n v="0"/>
    <n v="0"/>
    <n v="18"/>
    <n v="64"/>
    <n v="0"/>
    <n v="1007.94"/>
    <n v="133.97"/>
    <m/>
    <n v="1254.594131793204"/>
    <n v="114.76529888966962"/>
    <n v="0"/>
    <n v="1938.2686200000001"/>
    <n v="257.62430999999998"/>
    <n v="0"/>
    <n v="2412.5845154383314"/>
    <n v="220.69366976483468"/>
  </r>
  <r>
    <s v="Regular"/>
    <x v="1"/>
    <x v="1"/>
    <x v="4"/>
    <x v="0"/>
    <x v="0"/>
    <x v="0"/>
    <x v="1"/>
    <x v="2"/>
    <n v="0"/>
    <n v="0"/>
    <n v="2.0019999999999998"/>
    <n v="2.0019999999999998"/>
    <n v="2.0019999999999998"/>
    <n v="2.0019999999999998"/>
    <n v="0"/>
    <x v="0"/>
    <n v="0"/>
    <n v="0"/>
    <n v="18"/>
    <n v="64"/>
    <n v="0"/>
    <n v="1007.94"/>
    <n v="133.97"/>
    <m/>
    <n v="1254.594131793204"/>
    <n v="114.76529888966962"/>
    <n v="0"/>
    <n v="2017.8958799999998"/>
    <n v="268.20793999999995"/>
    <n v="0"/>
    <n v="2511.6974518499942"/>
    <n v="229.76012837711855"/>
  </r>
  <r>
    <s v="Regular"/>
    <x v="1"/>
    <x v="1"/>
    <x v="4"/>
    <x v="0"/>
    <x v="0"/>
    <x v="0"/>
    <x v="1"/>
    <x v="3"/>
    <n v="0"/>
    <n v="0"/>
    <n v="2.165"/>
    <n v="2.165"/>
    <n v="2.165"/>
    <n v="2.165"/>
    <n v="0"/>
    <x v="0"/>
    <n v="0"/>
    <n v="0"/>
    <n v="18"/>
    <n v="64"/>
    <n v="0"/>
    <n v="1007.94"/>
    <n v="133.97"/>
    <m/>
    <n v="1254.594131793204"/>
    <n v="114.76529888966962"/>
    <n v="0"/>
    <n v="2182.1901000000003"/>
    <n v="290.04505"/>
    <n v="0"/>
    <n v="2716.1962953322868"/>
    <n v="248.46687209613475"/>
  </r>
  <r>
    <s v="Regular"/>
    <x v="1"/>
    <x v="1"/>
    <x v="4"/>
    <x v="0"/>
    <x v="0"/>
    <x v="0"/>
    <x v="1"/>
    <x v="4"/>
    <n v="0"/>
    <n v="0"/>
    <n v="2.2440000000000002"/>
    <n v="2.2440000000000002"/>
    <n v="2.2440000000000002"/>
    <n v="2.2440000000000002"/>
    <n v="0"/>
    <x v="0"/>
    <n v="0"/>
    <n v="0"/>
    <n v="18"/>
    <n v="64"/>
    <n v="0"/>
    <n v="1007.94"/>
    <n v="133.97"/>
    <m/>
    <n v="1254.594131793204"/>
    <n v="114.76529888966962"/>
    <n v="0"/>
    <n v="2261.8173600000005"/>
    <n v="300.62868000000003"/>
    <n v="0"/>
    <n v="2815.30923174395"/>
    <n v="257.53333070841865"/>
  </r>
  <r>
    <s v="Regular"/>
    <x v="1"/>
    <x v="1"/>
    <x v="4"/>
    <x v="0"/>
    <x v="0"/>
    <x v="0"/>
    <x v="1"/>
    <x v="5"/>
    <n v="0"/>
    <n v="0"/>
    <n v="2.0870000000000002"/>
    <n v="2.0870000000000002"/>
    <n v="2.0870000000000002"/>
    <n v="2.0870000000000002"/>
    <n v="0"/>
    <x v="0"/>
    <n v="0"/>
    <n v="0"/>
    <n v="18"/>
    <n v="64"/>
    <n v="0"/>
    <n v="1007.94"/>
    <n v="133.97"/>
    <m/>
    <n v="1254.594131793204"/>
    <n v="114.76529888966962"/>
    <n v="0"/>
    <n v="2103.5707800000005"/>
    <n v="279.59539000000001"/>
    <n v="0"/>
    <n v="2618.3379530524171"/>
    <n v="239.51517878274052"/>
  </r>
  <r>
    <s v="Regular"/>
    <x v="1"/>
    <x v="1"/>
    <x v="4"/>
    <x v="0"/>
    <x v="0"/>
    <x v="0"/>
    <x v="1"/>
    <x v="6"/>
    <n v="0"/>
    <n v="0"/>
    <n v="2.1339999999999999"/>
    <n v="2.1339999999999999"/>
    <n v="2.1339999999999999"/>
    <n v="2.1339999999999999"/>
    <n v="0"/>
    <x v="0"/>
    <n v="0"/>
    <n v="0"/>
    <n v="18"/>
    <n v="64"/>
    <n v="0"/>
    <n v="1007.94"/>
    <n v="133.97"/>
    <m/>
    <n v="1254.594131793204"/>
    <n v="114.76529888966962"/>
    <n v="0"/>
    <n v="2150.9439600000001"/>
    <n v="285.89197999999999"/>
    <n v="0"/>
    <n v="2677.3038772466971"/>
    <n v="244.90914783055496"/>
  </r>
  <r>
    <s v="Regular"/>
    <x v="1"/>
    <x v="1"/>
    <x v="4"/>
    <x v="0"/>
    <x v="0"/>
    <x v="0"/>
    <x v="1"/>
    <x v="7"/>
    <n v="0"/>
    <n v="0"/>
    <n v="1.74"/>
    <n v="1.74"/>
    <n v="1.74"/>
    <n v="1.74"/>
    <n v="0"/>
    <x v="0"/>
    <n v="0"/>
    <n v="0"/>
    <n v="18"/>
    <n v="64"/>
    <n v="0"/>
    <n v="1007.94"/>
    <n v="133.97"/>
    <m/>
    <n v="1254.594131793204"/>
    <n v="114.76529888966962"/>
    <n v="0"/>
    <n v="1753.8156000000001"/>
    <n v="233.1078"/>
    <n v="0"/>
    <n v="2182.993789320175"/>
    <n v="199.69162006802514"/>
  </r>
  <r>
    <s v="Regular"/>
    <x v="1"/>
    <x v="1"/>
    <x v="4"/>
    <x v="0"/>
    <x v="0"/>
    <x v="0"/>
    <x v="1"/>
    <x v="8"/>
    <n v="0"/>
    <n v="0"/>
    <n v="1.958"/>
    <n v="1.958"/>
    <n v="1.958"/>
    <n v="1.958"/>
    <n v="0"/>
    <x v="0"/>
    <n v="0"/>
    <n v="0"/>
    <n v="18"/>
    <n v="64"/>
    <n v="0"/>
    <n v="1007.94"/>
    <n v="133.97"/>
    <m/>
    <n v="1254.594131793204"/>
    <n v="114.76529888966962"/>
    <n v="0"/>
    <n v="1973.5465200000001"/>
    <n v="262.31326000000001"/>
    <n v="0"/>
    <n v="2456.4953100510934"/>
    <n v="224.71045522597311"/>
  </r>
  <r>
    <s v="Regular"/>
    <x v="1"/>
    <x v="1"/>
    <x v="4"/>
    <x v="0"/>
    <x v="0"/>
    <x v="0"/>
    <x v="1"/>
    <x v="9"/>
    <n v="0"/>
    <n v="0"/>
    <n v="2.0720000000000001"/>
    <n v="2.0720000000000001"/>
    <n v="2.0720000000000001"/>
    <n v="2.0720000000000001"/>
    <n v="0"/>
    <x v="0"/>
    <n v="0"/>
    <n v="0"/>
    <n v="18"/>
    <n v="64"/>
    <n v="0"/>
    <n v="1007.94"/>
    <n v="133.97"/>
    <m/>
    <n v="1254.594131793204"/>
    <n v="114.76529888966962"/>
    <n v="0"/>
    <n v="2088.4516800000001"/>
    <n v="277.58584000000002"/>
    <n v="0"/>
    <n v="2599.519041075519"/>
    <n v="237.79369929939546"/>
  </r>
  <r>
    <s v="Regular"/>
    <x v="1"/>
    <x v="1"/>
    <x v="4"/>
    <x v="0"/>
    <x v="0"/>
    <x v="0"/>
    <x v="1"/>
    <x v="10"/>
    <n v="0"/>
    <n v="0"/>
    <n v="1.8120000000000001"/>
    <n v="1.8120000000000001"/>
    <n v="1.8120000000000001"/>
    <n v="1.8120000000000001"/>
    <n v="0"/>
    <x v="0"/>
    <n v="0"/>
    <n v="0"/>
    <n v="18"/>
    <n v="64"/>
    <n v="0"/>
    <n v="1007.94"/>
    <n v="133.97"/>
    <m/>
    <n v="1254.594131793204"/>
    <n v="114.76529888966962"/>
    <n v="0"/>
    <n v="1826.3872800000001"/>
    <n v="242.75364000000002"/>
    <n v="0"/>
    <n v="2273.3245668092859"/>
    <n v="207.95472158808136"/>
  </r>
  <r>
    <s v="PROJETADO"/>
    <x v="1"/>
    <x v="1"/>
    <x v="4"/>
    <x v="0"/>
    <x v="0"/>
    <x v="0"/>
    <x v="1"/>
    <x v="11"/>
    <n v="0"/>
    <n v="0"/>
    <n v="1.8120000000000001"/>
    <n v="1.8120000000000001"/>
    <n v="1.8120000000000001"/>
    <n v="1.8120000000000001"/>
    <n v="0"/>
    <x v="0"/>
    <n v="0"/>
    <n v="0"/>
    <n v="18"/>
    <n v="64"/>
    <n v="0"/>
    <n v="1007.94"/>
    <n v="133.97"/>
    <m/>
    <n v="1254.594131793204"/>
    <n v="114.76529888966962"/>
    <n v="0"/>
    <n v="1826.3872800000001"/>
    <n v="242.75364000000002"/>
    <n v="0"/>
    <n v="2273.3245668092859"/>
    <n v="207.95472158808136"/>
  </r>
  <r>
    <s v="Regular"/>
    <x v="2"/>
    <x v="2"/>
    <x v="5"/>
    <x v="2"/>
    <x v="0"/>
    <x v="0"/>
    <x v="0"/>
    <x v="8"/>
    <n v="0"/>
    <n v="0"/>
    <n v="0.113"/>
    <n v="0.113"/>
    <n v="0.113"/>
    <n v="0.113"/>
    <n v="0"/>
    <x v="0"/>
    <n v="0"/>
    <n v="0"/>
    <n v="13"/>
    <n v="73"/>
    <n v="0"/>
    <n v="196.38"/>
    <n v="133.97"/>
    <m/>
    <n v="254.10059842285958"/>
    <n v="114.76529888966962"/>
    <n v="0"/>
    <n v="22.190940000000001"/>
    <n v="15.13861"/>
    <n v="0"/>
    <n v="28.713367621783132"/>
    <n v="12.968478774532668"/>
  </r>
  <r>
    <s v="Regular"/>
    <x v="2"/>
    <x v="2"/>
    <x v="5"/>
    <x v="2"/>
    <x v="0"/>
    <x v="0"/>
    <x v="0"/>
    <x v="9"/>
    <n v="0"/>
    <n v="0"/>
    <n v="0.35199999999999998"/>
    <n v="0.35199999999999998"/>
    <n v="0.35199999999999998"/>
    <n v="0.35199999999999998"/>
    <n v="0"/>
    <x v="0"/>
    <n v="0"/>
    <n v="0"/>
    <n v="13"/>
    <n v="73"/>
    <n v="0"/>
    <n v="196.38"/>
    <n v="133.97"/>
    <m/>
    <n v="254.10059842285958"/>
    <n v="114.76529888966962"/>
    <n v="0"/>
    <n v="69.12576"/>
    <n v="47.157439999999994"/>
    <n v="0"/>
    <n v="89.443410644846566"/>
    <n v="40.397385209163708"/>
  </r>
  <r>
    <s v="Regular"/>
    <x v="2"/>
    <x v="2"/>
    <x v="5"/>
    <x v="2"/>
    <x v="0"/>
    <x v="0"/>
    <x v="0"/>
    <x v="10"/>
    <n v="0"/>
    <n v="0"/>
    <n v="0.24299999999999999"/>
    <n v="0.24299999999999999"/>
    <n v="0.24299999999999999"/>
    <n v="0.24299999999999999"/>
    <n v="0"/>
    <x v="0"/>
    <n v="0"/>
    <n v="0"/>
    <n v="13"/>
    <n v="73"/>
    <n v="0"/>
    <n v="196.38"/>
    <n v="133.97"/>
    <m/>
    <n v="254.10059842285958"/>
    <n v="114.76529888966962"/>
    <n v="0"/>
    <n v="47.72034"/>
    <n v="32.55471"/>
    <n v="0"/>
    <n v="61.746445416754874"/>
    <n v="27.887967630189717"/>
  </r>
  <r>
    <s v="PROJETADO"/>
    <x v="2"/>
    <x v="2"/>
    <x v="5"/>
    <x v="2"/>
    <x v="0"/>
    <x v="0"/>
    <x v="0"/>
    <x v="11"/>
    <n v="0"/>
    <n v="0"/>
    <n v="0.24299999999999999"/>
    <n v="0.24299999999999999"/>
    <n v="0.24299999999999999"/>
    <n v="0.24299999999999999"/>
    <n v="0"/>
    <x v="0"/>
    <n v="0"/>
    <n v="0"/>
    <n v="13"/>
    <n v="73"/>
    <n v="0"/>
    <n v="196.38"/>
    <n v="133.97"/>
    <m/>
    <n v="254.10059842285958"/>
    <n v="114.76529888966962"/>
    <n v="0"/>
    <n v="47.72034"/>
    <n v="32.55471"/>
    <n v="0"/>
    <n v="61.746445416754874"/>
    <n v="27.887967630189717"/>
  </r>
  <r>
    <s v="Regular"/>
    <x v="2"/>
    <x v="2"/>
    <x v="5"/>
    <x v="2"/>
    <x v="0"/>
    <x v="0"/>
    <x v="3"/>
    <x v="8"/>
    <n v="0"/>
    <n v="0"/>
    <n v="6.0000000000000001E-3"/>
    <n v="6.0000000000000001E-3"/>
    <n v="6.0000000000000001E-3"/>
    <n v="6.0000000000000001E-3"/>
    <n v="0"/>
    <x v="0"/>
    <n v="0"/>
    <n v="0"/>
    <n v="23"/>
    <n v="63"/>
    <n v="0"/>
    <n v="367.01"/>
    <n v="133.97"/>
    <m/>
    <n v="464.73407500025519"/>
    <n v="114.76529888966962"/>
    <n v="0"/>
    <n v="2.2020599999999999"/>
    <n v="0.80381999999999998"/>
    <n v="0"/>
    <n v="2.788404450001531"/>
    <n v="0.68859179333801779"/>
  </r>
  <r>
    <s v="Regular"/>
    <x v="2"/>
    <x v="2"/>
    <x v="5"/>
    <x v="2"/>
    <x v="0"/>
    <x v="0"/>
    <x v="3"/>
    <x v="9"/>
    <n v="0"/>
    <n v="0"/>
    <n v="3.2000000000000001E-2"/>
    <n v="3.2000000000000001E-2"/>
    <n v="3.2000000000000001E-2"/>
    <n v="3.2000000000000001E-2"/>
    <n v="0"/>
    <x v="0"/>
    <n v="0"/>
    <n v="0"/>
    <n v="23"/>
    <n v="63"/>
    <n v="0"/>
    <n v="367.01"/>
    <n v="133.97"/>
    <m/>
    <n v="464.73407500025519"/>
    <n v="114.76529888966962"/>
    <n v="0"/>
    <n v="11.74432"/>
    <n v="4.2870400000000002"/>
    <n v="0"/>
    <n v="14.871490400008167"/>
    <n v="3.6724895644694282"/>
  </r>
  <r>
    <s v="Regular"/>
    <x v="2"/>
    <x v="2"/>
    <x v="5"/>
    <x v="2"/>
    <x v="0"/>
    <x v="0"/>
    <x v="3"/>
    <x v="10"/>
    <n v="0"/>
    <n v="0"/>
    <n v="2.4E-2"/>
    <n v="2.4E-2"/>
    <n v="2.4E-2"/>
    <n v="2.4E-2"/>
    <n v="0"/>
    <x v="0"/>
    <n v="0"/>
    <n v="0"/>
    <n v="23"/>
    <n v="63"/>
    <n v="0"/>
    <n v="367.01"/>
    <n v="133.97"/>
    <m/>
    <n v="464.73407500025519"/>
    <n v="114.76529888966962"/>
    <n v="0"/>
    <n v="8.8082399999999996"/>
    <n v="3.2152799999999999"/>
    <n v="0"/>
    <n v="11.153617800006124"/>
    <n v="2.7543671733520712"/>
  </r>
  <r>
    <s v="PROJETADO"/>
    <x v="2"/>
    <x v="2"/>
    <x v="5"/>
    <x v="2"/>
    <x v="0"/>
    <x v="0"/>
    <x v="3"/>
    <x v="11"/>
    <n v="0"/>
    <n v="0"/>
    <n v="2.4E-2"/>
    <n v="2.4E-2"/>
    <n v="2.4E-2"/>
    <n v="2.4E-2"/>
    <n v="0"/>
    <x v="0"/>
    <n v="0"/>
    <n v="0"/>
    <n v="23"/>
    <n v="63"/>
    <n v="0"/>
    <n v="367.01"/>
    <n v="133.97"/>
    <m/>
    <n v="464.73407500025519"/>
    <n v="114.76529888966962"/>
    <n v="0"/>
    <n v="8.8082399999999996"/>
    <n v="3.2152799999999999"/>
    <n v="0"/>
    <n v="11.153617800006124"/>
    <n v="2.7543671733520712"/>
  </r>
  <r>
    <s v="Regular"/>
    <x v="2"/>
    <x v="2"/>
    <x v="5"/>
    <x v="2"/>
    <x v="0"/>
    <x v="0"/>
    <x v="1"/>
    <x v="8"/>
    <n v="0"/>
    <n v="0"/>
    <n v="0.02"/>
    <n v="0.02"/>
    <n v="0.02"/>
    <n v="0.02"/>
    <n v="0"/>
    <x v="0"/>
    <n v="0"/>
    <n v="0"/>
    <n v="2"/>
    <n v="62"/>
    <n v="0"/>
    <n v="537.63"/>
    <n v="133.97"/>
    <m/>
    <n v="675.36753793172886"/>
    <n v="114.76529888966962"/>
    <n v="0"/>
    <n v="10.752599999999999"/>
    <n v="2.6794000000000002"/>
    <n v="0"/>
    <n v="13.507350758634578"/>
    <n v="2.2953059777933924"/>
  </r>
  <r>
    <s v="Regular"/>
    <x v="2"/>
    <x v="2"/>
    <x v="5"/>
    <x v="2"/>
    <x v="0"/>
    <x v="0"/>
    <x v="1"/>
    <x v="9"/>
    <n v="0"/>
    <n v="0"/>
    <n v="4.5999999999999999E-2"/>
    <n v="4.5999999999999999E-2"/>
    <n v="4.5999999999999999E-2"/>
    <n v="4.5999999999999999E-2"/>
    <n v="0"/>
    <x v="0"/>
    <n v="0"/>
    <n v="0"/>
    <n v="2"/>
    <n v="62"/>
    <n v="0"/>
    <n v="537.63"/>
    <n v="133.97"/>
    <m/>
    <n v="675.36753793172886"/>
    <n v="114.76529888966962"/>
    <n v="0"/>
    <n v="24.730979999999999"/>
    <n v="6.1626199999999995"/>
    <n v="0"/>
    <n v="31.066906744859526"/>
    <n v="5.2792037489248029"/>
  </r>
  <r>
    <s v="Regular"/>
    <x v="2"/>
    <x v="2"/>
    <x v="5"/>
    <x v="2"/>
    <x v="0"/>
    <x v="0"/>
    <x v="1"/>
    <x v="10"/>
    <n v="0"/>
    <n v="0"/>
    <n v="4.3999999999999997E-2"/>
    <n v="4.3999999999999997E-2"/>
    <n v="4.3999999999999997E-2"/>
    <n v="4.3999999999999997E-2"/>
    <n v="0"/>
    <x v="0"/>
    <n v="0"/>
    <n v="0"/>
    <n v="2"/>
    <n v="62"/>
    <n v="0"/>
    <n v="537.63"/>
    <n v="133.97"/>
    <m/>
    <n v="675.36753793172886"/>
    <n v="114.76529888966962"/>
    <n v="0"/>
    <n v="23.655719999999999"/>
    <n v="5.8946799999999993"/>
    <n v="0"/>
    <n v="29.716171668996068"/>
    <n v="5.0496731511454636"/>
  </r>
  <r>
    <s v="PROJETADO"/>
    <x v="2"/>
    <x v="2"/>
    <x v="5"/>
    <x v="2"/>
    <x v="0"/>
    <x v="0"/>
    <x v="1"/>
    <x v="11"/>
    <n v="0"/>
    <n v="0"/>
    <n v="4.3999999999999997E-2"/>
    <n v="4.3999999999999997E-2"/>
    <n v="4.3999999999999997E-2"/>
    <n v="4.3999999999999997E-2"/>
    <n v="0"/>
    <x v="0"/>
    <n v="0"/>
    <n v="0"/>
    <n v="2"/>
    <n v="62"/>
    <n v="0"/>
    <n v="537.63"/>
    <n v="133.97"/>
    <m/>
    <n v="675.36753793172886"/>
    <n v="114.76529888966962"/>
    <n v="0"/>
    <n v="23.655719999999999"/>
    <n v="5.8946799999999993"/>
    <n v="0"/>
    <n v="29.716171668996068"/>
    <n v="5.0496731511454636"/>
  </r>
  <r>
    <s v="Regular"/>
    <x v="2"/>
    <x v="3"/>
    <x v="5"/>
    <x v="2"/>
    <x v="0"/>
    <x v="0"/>
    <x v="2"/>
    <x v="0"/>
    <n v="0"/>
    <n v="0"/>
    <n v="4595.1440000000002"/>
    <n v="4595.1440000000002"/>
    <n v="4595.1440000000002"/>
    <n v="4595.1440000000002"/>
    <n v="20586"/>
    <x v="0"/>
    <n v="0"/>
    <n v="0"/>
    <n v="11"/>
    <n v="88"/>
    <n v="0"/>
    <n v="269.06"/>
    <n v="133.97"/>
    <m/>
    <n v="343.81469354767324"/>
    <n v="114.76529888966962"/>
    <n v="0"/>
    <n v="1236369.4446400001"/>
    <n v="615611.44168000005"/>
    <n v="0"/>
    <n v="1579878.0261674295"/>
    <n v="527363.074601072"/>
  </r>
  <r>
    <s v="Refaturamento - Regular"/>
    <x v="2"/>
    <x v="3"/>
    <x v="5"/>
    <x v="2"/>
    <x v="0"/>
    <x v="0"/>
    <x v="2"/>
    <x v="0"/>
    <n v="0"/>
    <n v="0"/>
    <n v="-2.5339999999999998"/>
    <n v="-2.5339999999999998"/>
    <n v="-2.5339999999999998"/>
    <n v="-2.5339999999999998"/>
    <n v="0"/>
    <x v="0"/>
    <n v="0"/>
    <n v="0"/>
    <n v="11"/>
    <n v="88"/>
    <n v="0"/>
    <n v="269.06"/>
    <n v="133.97"/>
    <m/>
    <n v="343.81469354767324"/>
    <n v="114.76529888966962"/>
    <n v="0"/>
    <n v="-681.7980399999999"/>
    <n v="-339.47997999999995"/>
    <n v="0"/>
    <n v="-871.22643344980395"/>
    <n v="-290.81526738642282"/>
  </r>
  <r>
    <s v="Sistema de Compensação"/>
    <x v="2"/>
    <x v="3"/>
    <x v="5"/>
    <x v="2"/>
    <x v="0"/>
    <x v="0"/>
    <x v="2"/>
    <x v="0"/>
    <n v="0"/>
    <n v="0"/>
    <n v="20.265999999999998"/>
    <n v="20.265999999999998"/>
    <n v="20.265999999999998"/>
    <n v="20.265999999999998"/>
    <n v="41"/>
    <x v="0"/>
    <n v="0"/>
    <n v="0"/>
    <n v="11"/>
    <n v="88"/>
    <n v="0"/>
    <n v="269.06"/>
    <n v="133.97"/>
    <m/>
    <n v="343.81469354767324"/>
    <n v="114.76529888966962"/>
    <n v="0"/>
    <n v="5452.7699599999996"/>
    <n v="2715.0360199999996"/>
    <n v="0"/>
    <n v="6967.7485794371451"/>
    <n v="2325.8335472980443"/>
  </r>
  <r>
    <s v="Regular"/>
    <x v="2"/>
    <x v="3"/>
    <x v="5"/>
    <x v="2"/>
    <x v="0"/>
    <x v="0"/>
    <x v="2"/>
    <x v="1"/>
    <n v="0"/>
    <n v="0"/>
    <n v="4514.1490000000003"/>
    <n v="4514.1490000000003"/>
    <n v="4514.1490000000003"/>
    <n v="4514.1490000000003"/>
    <n v="20609"/>
    <x v="0"/>
    <n v="0"/>
    <n v="0"/>
    <n v="11"/>
    <n v="88"/>
    <n v="0"/>
    <n v="269.06"/>
    <n v="133.97"/>
    <m/>
    <n v="343.81469354767324"/>
    <n v="114.76529888966962"/>
    <n v="0"/>
    <n v="1214576.9299400002"/>
    <n v="604760.54153000005"/>
    <n v="0"/>
    <n v="1552030.7550635356"/>
    <n v="518067.65921750327"/>
  </r>
  <r>
    <s v="Refaturamento - Regular"/>
    <x v="2"/>
    <x v="3"/>
    <x v="5"/>
    <x v="2"/>
    <x v="0"/>
    <x v="0"/>
    <x v="2"/>
    <x v="1"/>
    <n v="0"/>
    <n v="0"/>
    <n v="-7.7119999999999997"/>
    <n v="-7.7119999999999997"/>
    <n v="-7.7119999999999997"/>
    <n v="-7.7119999999999997"/>
    <n v="0"/>
    <x v="0"/>
    <n v="0"/>
    <n v="0"/>
    <n v="11"/>
    <n v="88"/>
    <n v="0"/>
    <n v="269.06"/>
    <n v="133.97"/>
    <m/>
    <n v="343.81469354767324"/>
    <n v="114.76529888966962"/>
    <n v="0"/>
    <n v="-2074.9907199999998"/>
    <n v="-1033.1766399999999"/>
    <n v="0"/>
    <n v="-2651.4989166396558"/>
    <n v="-885.06998503713214"/>
  </r>
  <r>
    <s v="Sistema de Compensação"/>
    <x v="2"/>
    <x v="3"/>
    <x v="5"/>
    <x v="2"/>
    <x v="0"/>
    <x v="0"/>
    <x v="2"/>
    <x v="1"/>
    <n v="0"/>
    <n v="0"/>
    <n v="18.855"/>
    <n v="18.855"/>
    <n v="18.855"/>
    <n v="18.855"/>
    <n v="43"/>
    <x v="0"/>
    <n v="0"/>
    <n v="0"/>
    <n v="11"/>
    <n v="88"/>
    <n v="0"/>
    <n v="269.06"/>
    <n v="133.97"/>
    <m/>
    <n v="343.81469354767324"/>
    <n v="114.76529888966962"/>
    <n v="0"/>
    <n v="5073.1262999999999"/>
    <n v="2526.0043500000002"/>
    <n v="0"/>
    <n v="6482.6260468413793"/>
    <n v="2163.8997105647209"/>
  </r>
  <r>
    <s v="Regular"/>
    <x v="2"/>
    <x v="3"/>
    <x v="5"/>
    <x v="2"/>
    <x v="0"/>
    <x v="0"/>
    <x v="2"/>
    <x v="2"/>
    <n v="0"/>
    <n v="0"/>
    <n v="4383.5619999999999"/>
    <n v="4383.5619999999999"/>
    <n v="4383.5619999999999"/>
    <n v="4383.5619999999999"/>
    <n v="20643"/>
    <x v="0"/>
    <n v="0"/>
    <n v="0"/>
    <n v="11"/>
    <n v="88"/>
    <n v="0"/>
    <n v="269.06"/>
    <n v="133.97"/>
    <m/>
    <n v="343.81469354767324"/>
    <n v="114.76529888966962"/>
    <n v="0"/>
    <n v="1179441.19172"/>
    <n v="587265.80114"/>
    <n v="0"/>
    <n v="1507133.0256772256"/>
    <n v="503080.80313139793"/>
  </r>
  <r>
    <s v="Refaturamento - Regular"/>
    <x v="2"/>
    <x v="3"/>
    <x v="5"/>
    <x v="2"/>
    <x v="0"/>
    <x v="0"/>
    <x v="2"/>
    <x v="2"/>
    <n v="0"/>
    <n v="0"/>
    <n v="-2.2719999999999998"/>
    <n v="-2.2719999999999998"/>
    <n v="-2.2719999999999998"/>
    <n v="-2.2719999999999998"/>
    <n v="0"/>
    <x v="0"/>
    <n v="0"/>
    <n v="0"/>
    <n v="11"/>
    <n v="88"/>
    <n v="0"/>
    <n v="269.06"/>
    <n v="133.97"/>
    <m/>
    <n v="343.81469354767324"/>
    <n v="114.76529888966962"/>
    <n v="0"/>
    <n v="-611.30431999999996"/>
    <n v="-304.37983999999994"/>
    <n v="0"/>
    <n v="-781.14698374031354"/>
    <n v="-260.74675907732939"/>
  </r>
  <r>
    <s v="Sistema de Compensação"/>
    <x v="2"/>
    <x v="3"/>
    <x v="5"/>
    <x v="2"/>
    <x v="0"/>
    <x v="0"/>
    <x v="2"/>
    <x v="2"/>
    <n v="0"/>
    <n v="0"/>
    <n v="12.273999999999999"/>
    <n v="12.273999999999999"/>
    <n v="12.273999999999999"/>
    <n v="12.273999999999999"/>
    <n v="44"/>
    <x v="0"/>
    <n v="0"/>
    <n v="0"/>
    <n v="11"/>
    <n v="88"/>
    <n v="0"/>
    <n v="269.06"/>
    <n v="133.97"/>
    <m/>
    <n v="343.81469354767324"/>
    <n v="114.76529888966962"/>
    <n v="0"/>
    <n v="3302.4424399999998"/>
    <n v="1644.3477799999998"/>
    <n v="0"/>
    <n v="4219.9815486041407"/>
    <n v="1408.6292785718049"/>
  </r>
  <r>
    <s v="Regular"/>
    <x v="2"/>
    <x v="3"/>
    <x v="5"/>
    <x v="2"/>
    <x v="0"/>
    <x v="0"/>
    <x v="2"/>
    <x v="3"/>
    <n v="0"/>
    <n v="0"/>
    <n v="4585.6549999999997"/>
    <n v="4585.6549999999997"/>
    <n v="4585.6549999999997"/>
    <n v="4585.6549999999997"/>
    <n v="20673"/>
    <x v="0"/>
    <n v="0"/>
    <n v="0"/>
    <n v="11"/>
    <n v="88"/>
    <n v="0"/>
    <n v="269.06"/>
    <n v="133.97"/>
    <m/>
    <n v="343.81469354767324"/>
    <n v="114.76529888966962"/>
    <n v="0"/>
    <n v="1233816.3343"/>
    <n v="614340.20034999994"/>
    <n v="0"/>
    <n v="1576615.5685403554"/>
    <n v="526274.06667990796"/>
  </r>
  <r>
    <s v="Refaturamento - Regular"/>
    <x v="2"/>
    <x v="3"/>
    <x v="5"/>
    <x v="2"/>
    <x v="0"/>
    <x v="0"/>
    <x v="2"/>
    <x v="3"/>
    <n v="0"/>
    <n v="0"/>
    <n v="-0.81899999999999995"/>
    <n v="-0.81899999999999995"/>
    <n v="-0.81899999999999995"/>
    <n v="-0.81899999999999995"/>
    <n v="0"/>
    <x v="0"/>
    <n v="0"/>
    <n v="0"/>
    <n v="11"/>
    <n v="88"/>
    <n v="0"/>
    <n v="269.06"/>
    <n v="133.97"/>
    <m/>
    <n v="343.81469354767324"/>
    <n v="114.76529888966962"/>
    <n v="0"/>
    <n v="-220.36014"/>
    <n v="-109.72143"/>
    <n v="0"/>
    <n v="-281.58423401554438"/>
    <n v="-93.992779790639418"/>
  </r>
  <r>
    <s v="Sistema de Compensação"/>
    <x v="2"/>
    <x v="3"/>
    <x v="5"/>
    <x v="2"/>
    <x v="0"/>
    <x v="0"/>
    <x v="2"/>
    <x v="3"/>
    <n v="0"/>
    <n v="0"/>
    <n v="10.584"/>
    <n v="10.584"/>
    <n v="10.584"/>
    <n v="10.584"/>
    <n v="44"/>
    <x v="0"/>
    <n v="0"/>
    <n v="0"/>
    <n v="11"/>
    <n v="88"/>
    <n v="0"/>
    <n v="269.06"/>
    <n v="133.97"/>
    <m/>
    <n v="343.81469354767324"/>
    <n v="114.76529888966962"/>
    <n v="0"/>
    <n v="2847.7310400000001"/>
    <n v="1417.93848"/>
    <n v="0"/>
    <n v="3638.9347165085733"/>
    <n v="1214.6759234482633"/>
  </r>
  <r>
    <s v="Regular"/>
    <x v="2"/>
    <x v="3"/>
    <x v="5"/>
    <x v="2"/>
    <x v="0"/>
    <x v="0"/>
    <x v="2"/>
    <x v="4"/>
    <n v="0"/>
    <n v="0"/>
    <n v="5813.1220000000003"/>
    <n v="5813.1220000000003"/>
    <n v="5813.1220000000003"/>
    <n v="5813.1220000000003"/>
    <n v="20729"/>
    <x v="0"/>
    <n v="0"/>
    <n v="0"/>
    <n v="11"/>
    <n v="88"/>
    <n v="0"/>
    <n v="269.06"/>
    <n v="133.97"/>
    <m/>
    <n v="343.81469354767324"/>
    <n v="114.76529888966962"/>
    <n v="0"/>
    <n v="1564078.6053200001"/>
    <n v="778783.95434000005"/>
    <n v="0"/>
    <n v="1998636.7589852375"/>
    <n v="667144.68381211406"/>
  </r>
  <r>
    <s v="Refaturamento - Regular"/>
    <x v="2"/>
    <x v="3"/>
    <x v="5"/>
    <x v="2"/>
    <x v="0"/>
    <x v="0"/>
    <x v="2"/>
    <x v="4"/>
    <n v="0"/>
    <n v="0"/>
    <n v="-20.109000000000002"/>
    <n v="-20.109000000000002"/>
    <n v="-20.109000000000002"/>
    <n v="-20.109000000000002"/>
    <n v="0"/>
    <x v="0"/>
    <n v="0"/>
    <n v="0"/>
    <n v="11"/>
    <n v="88"/>
    <n v="0"/>
    <n v="269.06"/>
    <n v="133.97"/>
    <m/>
    <n v="343.81469354767324"/>
    <n v="114.76529888966962"/>
    <n v="0"/>
    <n v="-5410.527540000001"/>
    <n v="-2694.0027300000002"/>
    <n v="0"/>
    <n v="-6913.7696725501619"/>
    <n v="-2307.8153953723668"/>
  </r>
  <r>
    <s v="Sistema de Compensação"/>
    <x v="2"/>
    <x v="3"/>
    <x v="5"/>
    <x v="2"/>
    <x v="0"/>
    <x v="0"/>
    <x v="2"/>
    <x v="4"/>
    <n v="0"/>
    <n v="0"/>
    <n v="12.129"/>
    <n v="12.129"/>
    <n v="12.129"/>
    <n v="12.129"/>
    <n v="51"/>
    <x v="0"/>
    <n v="0"/>
    <n v="0"/>
    <n v="11"/>
    <n v="88"/>
    <n v="0"/>
    <n v="269.06"/>
    <n v="133.97"/>
    <m/>
    <n v="343.81469354767324"/>
    <n v="114.76529888966962"/>
    <n v="0"/>
    <n v="3263.4287399999998"/>
    <n v="1624.9221299999999"/>
    <n v="0"/>
    <n v="4170.1284180397288"/>
    <n v="1391.9883102328029"/>
  </r>
  <r>
    <s v="Regular"/>
    <x v="2"/>
    <x v="3"/>
    <x v="5"/>
    <x v="2"/>
    <x v="0"/>
    <x v="0"/>
    <x v="2"/>
    <x v="5"/>
    <n v="0"/>
    <n v="0"/>
    <n v="6093.8940000000002"/>
    <n v="6093.8940000000002"/>
    <n v="6093.8940000000002"/>
    <n v="6093.8940000000002"/>
    <n v="20708"/>
    <x v="0"/>
    <n v="0"/>
    <n v="0"/>
    <n v="11"/>
    <n v="88"/>
    <n v="0"/>
    <n v="269.06"/>
    <n v="133.97"/>
    <m/>
    <n v="343.81469354767324"/>
    <n v="114.76529888966962"/>
    <n v="0"/>
    <n v="1639623.1196400002"/>
    <n v="816398.97918000002"/>
    <n v="0"/>
    <n v="2095170.2981220048"/>
    <n v="699367.56631196442"/>
  </r>
  <r>
    <s v="Refaturamento - Regular"/>
    <x v="2"/>
    <x v="3"/>
    <x v="5"/>
    <x v="2"/>
    <x v="0"/>
    <x v="0"/>
    <x v="2"/>
    <x v="5"/>
    <n v="0"/>
    <n v="0"/>
    <n v="-14.095000000000001"/>
    <n v="-14.095000000000001"/>
    <n v="-14.095000000000001"/>
    <n v="-14.095000000000001"/>
    <n v="0"/>
    <x v="0"/>
    <n v="0"/>
    <n v="0"/>
    <n v="11"/>
    <n v="88"/>
    <n v="0"/>
    <n v="269.06"/>
    <n v="133.97"/>
    <m/>
    <n v="343.81469354767324"/>
    <n v="114.76529888966962"/>
    <n v="0"/>
    <n v="-3792.4007000000001"/>
    <n v="-1888.3071500000001"/>
    <n v="0"/>
    <n v="-4846.0681055544546"/>
    <n v="-1617.6168878498934"/>
  </r>
  <r>
    <s v="Sistema de Compensação"/>
    <x v="2"/>
    <x v="3"/>
    <x v="5"/>
    <x v="2"/>
    <x v="0"/>
    <x v="0"/>
    <x v="2"/>
    <x v="5"/>
    <n v="0"/>
    <n v="0"/>
    <n v="14.016"/>
    <n v="14.016"/>
    <n v="14.016"/>
    <n v="14.016"/>
    <n v="55"/>
    <x v="0"/>
    <n v="0"/>
    <n v="0"/>
    <n v="11"/>
    <n v="88"/>
    <n v="0"/>
    <n v="269.06"/>
    <n v="133.97"/>
    <m/>
    <n v="343.81469354767324"/>
    <n v="114.76529888966962"/>
    <n v="0"/>
    <n v="3771.1449600000001"/>
    <n v="1877.72352"/>
    <n v="0"/>
    <n v="4818.9067447641883"/>
    <n v="1608.5504292376095"/>
  </r>
  <r>
    <s v="Regular"/>
    <x v="2"/>
    <x v="3"/>
    <x v="5"/>
    <x v="2"/>
    <x v="0"/>
    <x v="0"/>
    <x v="2"/>
    <x v="6"/>
    <n v="0"/>
    <n v="0"/>
    <n v="5625.98"/>
    <n v="5625.98"/>
    <n v="5625.98"/>
    <n v="5625.98"/>
    <n v="20619"/>
    <x v="0"/>
    <n v="0"/>
    <n v="0"/>
    <n v="11"/>
    <n v="88"/>
    <n v="0"/>
    <n v="269.06"/>
    <n v="133.97"/>
    <m/>
    <n v="343.81469354767324"/>
    <n v="114.76529888966962"/>
    <n v="0"/>
    <n v="1513726.1787999999"/>
    <n v="753712.54059999995"/>
    <n v="0"/>
    <n v="1934294.5896053386"/>
    <n v="645667.27624730347"/>
  </r>
  <r>
    <s v="Refaturamento - Regular"/>
    <x v="2"/>
    <x v="3"/>
    <x v="5"/>
    <x v="2"/>
    <x v="0"/>
    <x v="0"/>
    <x v="2"/>
    <x v="6"/>
    <n v="0"/>
    <n v="0"/>
    <n v="-2.2839999999999998"/>
    <n v="-2.2839999999999998"/>
    <n v="-2.2839999999999998"/>
    <n v="-2.2839999999999998"/>
    <n v="0"/>
    <x v="0"/>
    <n v="0"/>
    <n v="0"/>
    <n v="11"/>
    <n v="88"/>
    <n v="0"/>
    <n v="269.06"/>
    <n v="133.97"/>
    <m/>
    <n v="343.81469354767324"/>
    <n v="114.76529888966962"/>
    <n v="0"/>
    <n v="-614.53303999999991"/>
    <n v="-305.98747999999995"/>
    <n v="0"/>
    <n v="-785.2727600628856"/>
    <n v="-262.12394266400537"/>
  </r>
  <r>
    <s v="Sistema de Compensação"/>
    <x v="2"/>
    <x v="3"/>
    <x v="5"/>
    <x v="2"/>
    <x v="0"/>
    <x v="0"/>
    <x v="2"/>
    <x v="6"/>
    <n v="0"/>
    <n v="0"/>
    <n v="18.248999999999999"/>
    <n v="18.248999999999999"/>
    <n v="18.248999999999999"/>
    <n v="18.248999999999999"/>
    <n v="59"/>
    <x v="0"/>
    <n v="0"/>
    <n v="0"/>
    <n v="11"/>
    <n v="88"/>
    <n v="0"/>
    <n v="269.06"/>
    <n v="133.97"/>
    <m/>
    <n v="343.81469354767324"/>
    <n v="114.76529888966962"/>
    <n v="0"/>
    <n v="4910.0759399999997"/>
    <n v="2444.81853"/>
    <n v="0"/>
    <n v="6274.2743425514882"/>
    <n v="2094.3519394375808"/>
  </r>
  <r>
    <s v="Sistema de Compensação"/>
    <x v="2"/>
    <x v="3"/>
    <x v="5"/>
    <x v="2"/>
    <x v="0"/>
    <x v="0"/>
    <x v="2"/>
    <x v="6"/>
    <n v="0"/>
    <n v="0"/>
    <n v="-9.1999999999999998E-2"/>
    <n v="-9.1999999999999998E-2"/>
    <n v="-9.1999999999999998E-2"/>
    <n v="-9.1999999999999998E-2"/>
    <n v="2"/>
    <x v="0"/>
    <n v="0"/>
    <n v="0"/>
    <n v="11"/>
    <n v="88"/>
    <n v="0"/>
    <n v="269.06"/>
    <n v="133.97"/>
    <m/>
    <n v="343.81469354767324"/>
    <n v="114.76529888966962"/>
    <n v="0"/>
    <n v="-24.753519999999998"/>
    <n v="-12.325239999999999"/>
    <n v="0"/>
    <n v="-31.630951806385937"/>
    <n v="-10.558407497849606"/>
  </r>
  <r>
    <s v="Regular"/>
    <x v="2"/>
    <x v="3"/>
    <x v="5"/>
    <x v="2"/>
    <x v="0"/>
    <x v="0"/>
    <x v="2"/>
    <x v="7"/>
    <n v="0"/>
    <n v="0"/>
    <n v="4741.5280000000002"/>
    <n v="4741.5280000000002"/>
    <n v="4741.5280000000002"/>
    <n v="4741.5280000000002"/>
    <n v="20577"/>
    <x v="0"/>
    <n v="0"/>
    <n v="0"/>
    <n v="11"/>
    <n v="88"/>
    <n v="0"/>
    <n v="269.06"/>
    <n v="133.97"/>
    <m/>
    <n v="343.81469354767324"/>
    <n v="114.76529888966962"/>
    <n v="0"/>
    <n v="1275755.5236800001"/>
    <n v="635222.50615999999"/>
    <n v="0"/>
    <n v="1630206.9962677122"/>
    <n v="544162.87811373745"/>
  </r>
  <r>
    <s v="Refaturamento - Regular"/>
    <x v="2"/>
    <x v="3"/>
    <x v="5"/>
    <x v="2"/>
    <x v="0"/>
    <x v="0"/>
    <x v="2"/>
    <x v="7"/>
    <n v="0"/>
    <n v="0"/>
    <n v="-0.46400000000000002"/>
    <n v="-0.46400000000000002"/>
    <n v="-0.46400000000000002"/>
    <n v="-0.46400000000000002"/>
    <n v="0"/>
    <x v="0"/>
    <n v="0"/>
    <n v="0"/>
    <n v="11"/>
    <n v="88"/>
    <n v="0"/>
    <n v="269.06"/>
    <n v="133.97"/>
    <m/>
    <n v="343.81469354767324"/>
    <n v="114.76529888966962"/>
    <n v="0"/>
    <n v="-124.84384000000001"/>
    <n v="-62.162080000000003"/>
    <n v="0"/>
    <n v="-159.53001780612038"/>
    <n v="-53.251098684806706"/>
  </r>
  <r>
    <s v="Sistema de Compensação"/>
    <x v="2"/>
    <x v="3"/>
    <x v="5"/>
    <x v="2"/>
    <x v="0"/>
    <x v="0"/>
    <x v="2"/>
    <x v="7"/>
    <n v="0"/>
    <n v="0"/>
    <n v="19.015000000000001"/>
    <n v="19.015000000000001"/>
    <n v="19.015000000000001"/>
    <n v="19.015000000000001"/>
    <n v="63"/>
    <x v="0"/>
    <n v="0"/>
    <n v="0"/>
    <n v="11"/>
    <n v="88"/>
    <n v="0"/>
    <n v="269.06"/>
    <n v="133.97"/>
    <m/>
    <n v="343.81469354767324"/>
    <n v="114.76529888966962"/>
    <n v="0"/>
    <n v="5116.1759000000002"/>
    <n v="2547.4395500000001"/>
    <n v="0"/>
    <n v="6537.6363978090067"/>
    <n v="2182.2621583870678"/>
  </r>
  <r>
    <s v="Regular"/>
    <x v="2"/>
    <x v="3"/>
    <x v="5"/>
    <x v="2"/>
    <x v="0"/>
    <x v="0"/>
    <x v="2"/>
    <x v="8"/>
    <n v="0"/>
    <n v="0"/>
    <n v="4246.25"/>
    <n v="4246.25"/>
    <n v="4246.25"/>
    <n v="4246.25"/>
    <n v="20565"/>
    <x v="0"/>
    <n v="0"/>
    <n v="0"/>
    <n v="11"/>
    <n v="88"/>
    <n v="0"/>
    <n v="269.06"/>
    <n v="133.97"/>
    <m/>
    <n v="343.81469354767324"/>
    <n v="114.76529888966962"/>
    <n v="0"/>
    <n v="1142496.0249999999"/>
    <n v="568870.11250000005"/>
    <n v="0"/>
    <n v="1459923.1424768076"/>
    <n v="487322.15041025961"/>
  </r>
  <r>
    <s v="Refaturamento - Regular"/>
    <x v="2"/>
    <x v="3"/>
    <x v="5"/>
    <x v="2"/>
    <x v="0"/>
    <x v="0"/>
    <x v="2"/>
    <x v="8"/>
    <n v="0"/>
    <n v="0"/>
    <n v="-0.11799999999999999"/>
    <n v="-0.11799999999999999"/>
    <n v="-0.11799999999999999"/>
    <n v="-0.11799999999999999"/>
    <n v="0"/>
    <x v="0"/>
    <n v="0"/>
    <n v="0"/>
    <n v="11"/>
    <n v="88"/>
    <n v="0"/>
    <n v="269.06"/>
    <n v="133.97"/>
    <m/>
    <n v="343.81469354767324"/>
    <n v="114.76529888966962"/>
    <n v="0"/>
    <n v="-31.749079999999999"/>
    <n v="-15.808459999999998"/>
    <n v="0"/>
    <n v="-40.570133838625438"/>
    <n v="-13.542305268981014"/>
  </r>
  <r>
    <s v="Sistema de Compensação"/>
    <x v="2"/>
    <x v="3"/>
    <x v="5"/>
    <x v="2"/>
    <x v="0"/>
    <x v="0"/>
    <x v="2"/>
    <x v="8"/>
    <n v="0"/>
    <n v="0"/>
    <n v="24.463000000000001"/>
    <n v="24.463000000000001"/>
    <n v="24.463000000000001"/>
    <n v="24.463000000000001"/>
    <n v="71"/>
    <x v="0"/>
    <n v="0"/>
    <n v="0"/>
    <n v="11"/>
    <n v="88"/>
    <n v="0"/>
    <n v="269.06"/>
    <n v="133.97"/>
    <m/>
    <n v="343.81469354767324"/>
    <n v="114.76529888966962"/>
    <n v="0"/>
    <n v="6582.0147800000004"/>
    <n v="3277.3081099999999"/>
    <n v="0"/>
    <n v="8410.7388482567312"/>
    <n v="2807.5035067379881"/>
  </r>
  <r>
    <s v="Regular"/>
    <x v="2"/>
    <x v="3"/>
    <x v="5"/>
    <x v="2"/>
    <x v="0"/>
    <x v="0"/>
    <x v="2"/>
    <x v="9"/>
    <n v="0"/>
    <n v="0"/>
    <n v="4518.8620000000001"/>
    <n v="4518.8620000000001"/>
    <n v="4518.8620000000001"/>
    <n v="4518.8620000000001"/>
    <n v="20592"/>
    <x v="0"/>
    <n v="0"/>
    <n v="0"/>
    <n v="11"/>
    <n v="88"/>
    <n v="0"/>
    <n v="269.06"/>
    <n v="133.97"/>
    <m/>
    <n v="343.81469354767324"/>
    <n v="114.76529888966962"/>
    <n v="0"/>
    <n v="1215845.00972"/>
    <n v="605391.94214000006"/>
    <n v="0"/>
    <n v="1553651.1537142259"/>
    <n v="518608.54807117028"/>
  </r>
  <r>
    <s v="Sistema de Compensação"/>
    <x v="2"/>
    <x v="3"/>
    <x v="5"/>
    <x v="2"/>
    <x v="0"/>
    <x v="0"/>
    <x v="2"/>
    <x v="9"/>
    <n v="0"/>
    <n v="0"/>
    <n v="39.527000000000001"/>
    <n v="39.527000000000001"/>
    <n v="39.527000000000001"/>
    <n v="39.527000000000001"/>
    <n v="82"/>
    <x v="0"/>
    <n v="0"/>
    <n v="0"/>
    <n v="11"/>
    <n v="88"/>
    <n v="0"/>
    <n v="269.06"/>
    <n v="133.97"/>
    <m/>
    <n v="343.81469354767324"/>
    <n v="114.76529888966962"/>
    <n v="0"/>
    <n v="10635.134620000001"/>
    <n v="5295.4321900000004"/>
    <n v="0"/>
    <n v="13589.963391858881"/>
    <n v="4536.3279692119713"/>
  </r>
  <r>
    <s v="Regular"/>
    <x v="2"/>
    <x v="3"/>
    <x v="5"/>
    <x v="2"/>
    <x v="0"/>
    <x v="0"/>
    <x v="2"/>
    <x v="10"/>
    <n v="0"/>
    <n v="0"/>
    <n v="4603.3459999999995"/>
    <n v="4603.3459999999995"/>
    <n v="4603.3459999999995"/>
    <n v="4603.3459999999995"/>
    <n v="20670"/>
    <x v="0"/>
    <n v="0"/>
    <n v="0"/>
    <n v="11"/>
    <n v="88"/>
    <n v="0"/>
    <n v="269.06"/>
    <n v="133.97"/>
    <m/>
    <n v="343.81469354767324"/>
    <n v="114.76529888966962"/>
    <n v="0"/>
    <n v="1238576.2747599999"/>
    <n v="616710.26361999998"/>
    <n v="0"/>
    <n v="1582697.9942839073"/>
    <n v="528304.37958256504"/>
  </r>
  <r>
    <s v="Refaturamento - Regular"/>
    <x v="2"/>
    <x v="3"/>
    <x v="5"/>
    <x v="2"/>
    <x v="0"/>
    <x v="0"/>
    <x v="2"/>
    <x v="10"/>
    <n v="0"/>
    <n v="0"/>
    <n v="-0.36699999999999999"/>
    <n v="-0.36699999999999999"/>
    <n v="-0.36699999999999999"/>
    <n v="-0.36699999999999999"/>
    <n v="0"/>
    <x v="0"/>
    <n v="0"/>
    <n v="0"/>
    <n v="11"/>
    <n v="88"/>
    <n v="0"/>
    <n v="269.06"/>
    <n v="133.97"/>
    <m/>
    <n v="343.81469354767324"/>
    <n v="114.76529888966962"/>
    <n v="0"/>
    <n v="-98.745019999999997"/>
    <n v="-49.166989999999998"/>
    <n v="0"/>
    <n v="-126.17999253199608"/>
    <n v="-42.118864692508751"/>
  </r>
  <r>
    <s v="Sistema de Compensação"/>
    <x v="2"/>
    <x v="3"/>
    <x v="5"/>
    <x v="2"/>
    <x v="0"/>
    <x v="0"/>
    <x v="2"/>
    <x v="10"/>
    <n v="0"/>
    <n v="0"/>
    <n v="39.75"/>
    <n v="39.75"/>
    <n v="39.75"/>
    <n v="39.75"/>
    <n v="92"/>
    <x v="0"/>
    <n v="0"/>
    <n v="0"/>
    <n v="11"/>
    <n v="88"/>
    <n v="0"/>
    <n v="269.06"/>
    <n v="133.97"/>
    <m/>
    <n v="343.81469354767324"/>
    <n v="114.76529888966962"/>
    <n v="0"/>
    <n v="10695.135"/>
    <n v="5325.3074999999999"/>
    <n v="0"/>
    <n v="13666.634068520012"/>
    <n v="4561.9206308643679"/>
  </r>
  <r>
    <s v="PROJETADO"/>
    <x v="2"/>
    <x v="3"/>
    <x v="5"/>
    <x v="2"/>
    <x v="0"/>
    <x v="0"/>
    <x v="2"/>
    <x v="11"/>
    <n v="0"/>
    <n v="0"/>
    <n v="4603.3459999999995"/>
    <n v="4603.3459999999995"/>
    <n v="4603.3459999999995"/>
    <n v="4603.3459999999995"/>
    <n v="20670"/>
    <x v="0"/>
    <n v="0"/>
    <n v="0"/>
    <n v="11"/>
    <n v="88"/>
    <n v="0"/>
    <n v="269.06"/>
    <n v="133.97"/>
    <m/>
    <n v="343.81469354767324"/>
    <n v="114.76529888966962"/>
    <n v="0"/>
    <n v="1238576.2747599999"/>
    <n v="616710.26361999998"/>
    <n v="0"/>
    <n v="1582697.9942839073"/>
    <n v="528304.37958256504"/>
  </r>
  <r>
    <s v="PROJETADO"/>
    <x v="2"/>
    <x v="3"/>
    <x v="5"/>
    <x v="2"/>
    <x v="0"/>
    <x v="0"/>
    <x v="2"/>
    <x v="11"/>
    <n v="0"/>
    <n v="0"/>
    <n v="-0.36699999999999999"/>
    <n v="-0.36699999999999999"/>
    <n v="-0.36699999999999999"/>
    <n v="-0.36699999999999999"/>
    <n v="0"/>
    <x v="0"/>
    <n v="0"/>
    <n v="0"/>
    <n v="11"/>
    <n v="88"/>
    <n v="0"/>
    <n v="269.06"/>
    <n v="133.97"/>
    <m/>
    <n v="343.81469354767324"/>
    <n v="114.76529888966962"/>
    <n v="0"/>
    <n v="-98.745019999999997"/>
    <n v="-49.166989999999998"/>
    <n v="0"/>
    <n v="-126.17999253199608"/>
    <n v="-42.118864692508751"/>
  </r>
  <r>
    <s v="PROJETADO"/>
    <x v="2"/>
    <x v="3"/>
    <x v="5"/>
    <x v="2"/>
    <x v="0"/>
    <x v="0"/>
    <x v="2"/>
    <x v="11"/>
    <n v="0"/>
    <n v="0"/>
    <n v="39.75"/>
    <n v="39.75"/>
    <n v="39.75"/>
    <n v="39.75"/>
    <n v="92"/>
    <x v="0"/>
    <n v="0"/>
    <n v="0"/>
    <n v="11"/>
    <n v="88"/>
    <n v="0"/>
    <n v="269.06"/>
    <n v="133.97"/>
    <m/>
    <n v="343.81469354767324"/>
    <n v="114.76529888966962"/>
    <n v="0"/>
    <n v="10695.135"/>
    <n v="5325.3074999999999"/>
    <n v="0"/>
    <n v="13666.634068520012"/>
    <n v="4561.9206308643679"/>
  </r>
  <r>
    <s v="Regular"/>
    <x v="2"/>
    <x v="3"/>
    <x v="5"/>
    <x v="3"/>
    <x v="0"/>
    <x v="0"/>
    <x v="2"/>
    <x v="0"/>
    <n v="0"/>
    <n v="0"/>
    <n v="12.63"/>
    <n v="12.63"/>
    <n v="12.63"/>
    <n v="12.63"/>
    <n v="10"/>
    <x v="0"/>
    <n v="0"/>
    <n v="0"/>
    <n v="6"/>
    <n v="67"/>
    <n v="0"/>
    <n v="60.53"/>
    <n v="46.89"/>
    <m/>
    <n v="72.700315363205746"/>
    <n v="40.167854611384364"/>
    <n v="0"/>
    <n v="764.49390000000005"/>
    <n v="592.22070000000008"/>
    <n v="0"/>
    <n v="918.20498303728868"/>
    <n v="507.32000374178455"/>
  </r>
  <r>
    <s v="Regular"/>
    <x v="2"/>
    <x v="3"/>
    <x v="5"/>
    <x v="3"/>
    <x v="0"/>
    <x v="0"/>
    <x v="2"/>
    <x v="1"/>
    <n v="0"/>
    <n v="0"/>
    <n v="12.9"/>
    <n v="12.9"/>
    <n v="12.9"/>
    <n v="12.9"/>
    <n v="9"/>
    <x v="0"/>
    <n v="0"/>
    <n v="0"/>
    <n v="6"/>
    <n v="67"/>
    <n v="0"/>
    <n v="60.53"/>
    <n v="46.89"/>
    <m/>
    <n v="72.700315363205746"/>
    <n v="40.167854611384364"/>
    <n v="0"/>
    <n v="780.83699999999999"/>
    <n v="604.88099999999997"/>
    <n v="0"/>
    <n v="937.83406818535411"/>
    <n v="518.16532448685825"/>
  </r>
  <r>
    <s v="Regular"/>
    <x v="2"/>
    <x v="3"/>
    <x v="5"/>
    <x v="3"/>
    <x v="0"/>
    <x v="0"/>
    <x v="2"/>
    <x v="2"/>
    <n v="0"/>
    <n v="0"/>
    <n v="13.145"/>
    <n v="13.145"/>
    <n v="13.145"/>
    <n v="13.145"/>
    <n v="10"/>
    <x v="0"/>
    <n v="0"/>
    <n v="0"/>
    <n v="6"/>
    <n v="67"/>
    <n v="0"/>
    <n v="60.53"/>
    <n v="46.89"/>
    <m/>
    <n v="72.700315363205746"/>
    <n v="40.167854611384364"/>
    <n v="0"/>
    <n v="795.66684999999995"/>
    <n v="616.36905000000002"/>
    <n v="0"/>
    <n v="955.64564544933955"/>
    <n v="528.00644886664747"/>
  </r>
  <r>
    <s v="Regular"/>
    <x v="2"/>
    <x v="3"/>
    <x v="5"/>
    <x v="3"/>
    <x v="0"/>
    <x v="0"/>
    <x v="2"/>
    <x v="3"/>
    <n v="0"/>
    <n v="0"/>
    <n v="13.44"/>
    <n v="13.44"/>
    <n v="13.44"/>
    <n v="13.44"/>
    <n v="13"/>
    <x v="0"/>
    <n v="0"/>
    <n v="0"/>
    <n v="6"/>
    <n v="67"/>
    <n v="0"/>
    <n v="60.53"/>
    <n v="46.89"/>
    <m/>
    <n v="72.700315363205746"/>
    <n v="40.167854611384364"/>
    <n v="0"/>
    <n v="813.52319999999997"/>
    <n v="630.20159999999998"/>
    <n v="0"/>
    <n v="977.0922384814852"/>
    <n v="539.85596597700578"/>
  </r>
  <r>
    <s v="Regular"/>
    <x v="2"/>
    <x v="3"/>
    <x v="5"/>
    <x v="3"/>
    <x v="0"/>
    <x v="0"/>
    <x v="2"/>
    <x v="4"/>
    <n v="0"/>
    <n v="0"/>
    <n v="13.53"/>
    <n v="13.53"/>
    <n v="13.53"/>
    <n v="13.53"/>
    <n v="7"/>
    <x v="0"/>
    <n v="0"/>
    <n v="0"/>
    <n v="6"/>
    <n v="67"/>
    <n v="0"/>
    <n v="60.53"/>
    <n v="46.89"/>
    <m/>
    <n v="72.700315363205746"/>
    <n v="40.167854611384364"/>
    <n v="0"/>
    <n v="818.97090000000003"/>
    <n v="634.42169999999999"/>
    <n v="0"/>
    <n v="983.63526686417367"/>
    <n v="543.47107289203041"/>
  </r>
  <r>
    <s v="Regular"/>
    <x v="2"/>
    <x v="3"/>
    <x v="5"/>
    <x v="3"/>
    <x v="0"/>
    <x v="0"/>
    <x v="2"/>
    <x v="5"/>
    <n v="0"/>
    <n v="0"/>
    <n v="14.97"/>
    <n v="14.97"/>
    <n v="14.97"/>
    <n v="14.97"/>
    <n v="9"/>
    <x v="0"/>
    <n v="0"/>
    <n v="0"/>
    <n v="6"/>
    <n v="67"/>
    <n v="0"/>
    <n v="60.53"/>
    <n v="46.89"/>
    <m/>
    <n v="72.700315363205746"/>
    <n v="40.167854611384364"/>
    <n v="0"/>
    <n v="906.1341000000001"/>
    <n v="701.94330000000002"/>
    <n v="0"/>
    <n v="1088.32372098719"/>
    <n v="601.31278353242396"/>
  </r>
  <r>
    <s v="Regular"/>
    <x v="2"/>
    <x v="3"/>
    <x v="5"/>
    <x v="3"/>
    <x v="0"/>
    <x v="0"/>
    <x v="2"/>
    <x v="6"/>
    <n v="0"/>
    <n v="0"/>
    <n v="19.440000000000001"/>
    <n v="19.440000000000001"/>
    <n v="19.440000000000001"/>
    <n v="19.440000000000001"/>
    <n v="12"/>
    <x v="0"/>
    <n v="0"/>
    <n v="0"/>
    <n v="6"/>
    <n v="67"/>
    <n v="0"/>
    <n v="60.53"/>
    <n v="46.89"/>
    <m/>
    <n v="72.700315363205746"/>
    <n v="40.167854611384364"/>
    <n v="0"/>
    <n v="1176.7032000000002"/>
    <n v="911.54160000000002"/>
    <n v="0"/>
    <n v="1413.2941306607197"/>
    <n v="780.86309364531212"/>
  </r>
  <r>
    <s v="Regular"/>
    <x v="2"/>
    <x v="3"/>
    <x v="5"/>
    <x v="3"/>
    <x v="0"/>
    <x v="0"/>
    <x v="2"/>
    <x v="7"/>
    <n v="0"/>
    <n v="0"/>
    <n v="21.99"/>
    <n v="21.99"/>
    <n v="21.99"/>
    <n v="21.99"/>
    <n v="17"/>
    <x v="0"/>
    <n v="0"/>
    <n v="0"/>
    <n v="6"/>
    <n v="67"/>
    <n v="0"/>
    <n v="60.53"/>
    <n v="46.89"/>
    <m/>
    <n v="72.700315363205746"/>
    <n v="40.167854611384364"/>
    <n v="0"/>
    <n v="1331.0546999999999"/>
    <n v="1031.1110999999999"/>
    <n v="0"/>
    <n v="1598.6799348368943"/>
    <n v="883.29112290434205"/>
  </r>
  <r>
    <s v="Regular"/>
    <x v="2"/>
    <x v="3"/>
    <x v="5"/>
    <x v="3"/>
    <x v="0"/>
    <x v="0"/>
    <x v="2"/>
    <x v="8"/>
    <n v="0"/>
    <n v="0"/>
    <n v="22.77"/>
    <n v="22.77"/>
    <n v="22.77"/>
    <n v="22.77"/>
    <n v="26"/>
    <x v="0"/>
    <n v="0"/>
    <n v="0"/>
    <n v="6"/>
    <n v="67"/>
    <n v="0"/>
    <n v="60.53"/>
    <n v="46.89"/>
    <m/>
    <n v="72.700315363205746"/>
    <n v="40.167854611384364"/>
    <n v="0"/>
    <n v="1378.2681"/>
    <n v="1067.6853000000001"/>
    <n v="0"/>
    <n v="1655.3861808201948"/>
    <n v="914.62204950122191"/>
  </r>
  <r>
    <s v="Regular"/>
    <x v="2"/>
    <x v="3"/>
    <x v="5"/>
    <x v="3"/>
    <x v="0"/>
    <x v="0"/>
    <x v="2"/>
    <x v="9"/>
    <n v="0"/>
    <n v="0"/>
    <n v="22.44"/>
    <n v="22.44"/>
    <n v="22.44"/>
    <n v="22.44"/>
    <n v="23"/>
    <x v="0"/>
    <n v="0"/>
    <n v="0"/>
    <n v="6"/>
    <n v="67"/>
    <n v="0"/>
    <n v="60.53"/>
    <n v="46.89"/>
    <m/>
    <n v="72.700315363205746"/>
    <n v="40.167854611384364"/>
    <n v="0"/>
    <n v="1358.2932000000001"/>
    <n v="1052.2116000000001"/>
    <n v="0"/>
    <n v="1631.395076750337"/>
    <n v="901.36665747946518"/>
  </r>
  <r>
    <s v="Regular"/>
    <x v="2"/>
    <x v="3"/>
    <x v="5"/>
    <x v="3"/>
    <x v="0"/>
    <x v="0"/>
    <x v="2"/>
    <x v="10"/>
    <n v="0"/>
    <n v="0"/>
    <n v="21.09"/>
    <n v="21.09"/>
    <n v="21.09"/>
    <n v="21.09"/>
    <n v="21"/>
    <x v="0"/>
    <n v="0"/>
    <n v="0"/>
    <n v="6"/>
    <n v="67"/>
    <n v="0"/>
    <n v="60.53"/>
    <n v="46.89"/>
    <m/>
    <n v="72.700315363205746"/>
    <n v="40.167854611384364"/>
    <n v="0"/>
    <n v="1276.5777"/>
    <n v="988.91010000000006"/>
    <n v="0"/>
    <n v="1533.2496510100091"/>
    <n v="847.14005375409624"/>
  </r>
  <r>
    <s v="PROJETADO"/>
    <x v="2"/>
    <x v="3"/>
    <x v="5"/>
    <x v="3"/>
    <x v="0"/>
    <x v="0"/>
    <x v="2"/>
    <x v="11"/>
    <n v="0"/>
    <n v="0"/>
    <n v="21.09"/>
    <n v="21.09"/>
    <n v="21.09"/>
    <n v="21.09"/>
    <n v="21"/>
    <x v="0"/>
    <n v="0"/>
    <n v="0"/>
    <n v="6"/>
    <n v="67"/>
    <n v="0"/>
    <n v="60.53"/>
    <n v="46.89"/>
    <m/>
    <n v="72.700315363205746"/>
    <n v="40.167854611384364"/>
    <n v="0"/>
    <n v="1276.5777"/>
    <n v="988.91010000000006"/>
    <n v="0"/>
    <n v="1533.2496510100091"/>
    <n v="847.14005375409624"/>
  </r>
  <r>
    <s v="Regular"/>
    <x v="2"/>
    <x v="3"/>
    <x v="5"/>
    <x v="4"/>
    <x v="0"/>
    <x v="0"/>
    <x v="2"/>
    <x v="0"/>
    <n v="0"/>
    <n v="0"/>
    <n v="27.273"/>
    <n v="27.273"/>
    <n v="27.273"/>
    <n v="27.273"/>
    <n v="56"/>
    <x v="0"/>
    <n v="0"/>
    <n v="0"/>
    <n v="24"/>
    <n v="50"/>
    <n v="0"/>
    <n v="103.76"/>
    <n v="80.38"/>
    <m/>
    <n v="124.62911205120986"/>
    <n v="68.859179333801777"/>
    <n v="0"/>
    <n v="2829.8464800000002"/>
    <n v="2192.2037399999999"/>
    <n v="0"/>
    <n v="3399.0097729726463"/>
    <n v="1877.9963979707759"/>
  </r>
  <r>
    <s v="Regular"/>
    <x v="2"/>
    <x v="3"/>
    <x v="5"/>
    <x v="4"/>
    <x v="0"/>
    <x v="0"/>
    <x v="2"/>
    <x v="1"/>
    <n v="0"/>
    <n v="0"/>
    <n v="27.638999999999999"/>
    <n v="27.638999999999999"/>
    <n v="27.638999999999999"/>
    <n v="27.638999999999999"/>
    <n v="63"/>
    <x v="0"/>
    <n v="0"/>
    <n v="0"/>
    <n v="24"/>
    <n v="50"/>
    <n v="0"/>
    <n v="103.76"/>
    <n v="80.38"/>
    <m/>
    <n v="124.62911205120986"/>
    <n v="68.859179333801777"/>
    <n v="0"/>
    <n v="2867.8226399999999"/>
    <n v="2221.62282"/>
    <n v="0"/>
    <n v="3444.6240279833892"/>
    <n v="1903.1988576069473"/>
  </r>
  <r>
    <s v="Regular"/>
    <x v="2"/>
    <x v="3"/>
    <x v="5"/>
    <x v="4"/>
    <x v="0"/>
    <x v="0"/>
    <x v="2"/>
    <x v="2"/>
    <n v="0"/>
    <n v="0"/>
    <n v="28.382000000000001"/>
    <n v="28.382000000000001"/>
    <n v="28.382000000000001"/>
    <n v="28.382000000000001"/>
    <n v="60"/>
    <x v="0"/>
    <n v="0"/>
    <n v="0"/>
    <n v="24"/>
    <n v="50"/>
    <n v="0"/>
    <n v="103.76"/>
    <n v="80.38"/>
    <m/>
    <n v="124.62911205120986"/>
    <n v="68.859179333801777"/>
    <n v="0"/>
    <n v="2944.9163200000003"/>
    <n v="2281.3451599999999"/>
    <n v="0"/>
    <n v="3537.2234582374385"/>
    <n v="1954.3612278519622"/>
  </r>
  <r>
    <s v="Regular"/>
    <x v="2"/>
    <x v="3"/>
    <x v="5"/>
    <x v="4"/>
    <x v="0"/>
    <x v="0"/>
    <x v="2"/>
    <x v="3"/>
    <n v="0"/>
    <n v="0"/>
    <n v="28.824999999999999"/>
    <n v="28.824999999999999"/>
    <n v="28.824999999999999"/>
    <n v="28.824999999999999"/>
    <n v="59"/>
    <x v="0"/>
    <n v="0"/>
    <n v="0"/>
    <n v="24"/>
    <n v="50"/>
    <n v="0"/>
    <n v="103.76"/>
    <n v="80.38"/>
    <m/>
    <n v="124.62911205120986"/>
    <n v="68.859179333801777"/>
    <n v="0"/>
    <n v="2990.8820000000001"/>
    <n v="2316.9534999999996"/>
    <n v="0"/>
    <n v="3592.434154876124"/>
    <n v="1984.8658442968363"/>
  </r>
  <r>
    <s v="Regular"/>
    <x v="2"/>
    <x v="3"/>
    <x v="5"/>
    <x v="4"/>
    <x v="0"/>
    <x v="0"/>
    <x v="2"/>
    <x v="4"/>
    <n v="0"/>
    <n v="0"/>
    <n v="29.748000000000001"/>
    <n v="29.748000000000001"/>
    <n v="29.748000000000001"/>
    <n v="29.748000000000001"/>
    <n v="45"/>
    <x v="0"/>
    <n v="0"/>
    <n v="0"/>
    <n v="24"/>
    <n v="50"/>
    <n v="0"/>
    <n v="103.76"/>
    <n v="80.38"/>
    <m/>
    <n v="124.62911205120986"/>
    <n v="68.859179333801777"/>
    <n v="0"/>
    <n v="3086.6524800000002"/>
    <n v="2391.1442400000001"/>
    <n v="0"/>
    <n v="3707.4668252993911"/>
    <n v="2048.4228668219353"/>
  </r>
  <r>
    <s v="Regular"/>
    <x v="2"/>
    <x v="3"/>
    <x v="5"/>
    <x v="4"/>
    <x v="0"/>
    <x v="0"/>
    <x v="2"/>
    <x v="5"/>
    <n v="0"/>
    <n v="0"/>
    <n v="33.079000000000001"/>
    <n v="33.079000000000001"/>
    <n v="33.079000000000001"/>
    <n v="33.079000000000001"/>
    <n v="54"/>
    <x v="0"/>
    <n v="0"/>
    <n v="0"/>
    <n v="24"/>
    <n v="50"/>
    <n v="0"/>
    <n v="103.76"/>
    <n v="80.38"/>
    <m/>
    <n v="124.62911205120986"/>
    <n v="68.859179333801777"/>
    <n v="0"/>
    <n v="3432.2770400000004"/>
    <n v="2658.8900199999998"/>
    <n v="0"/>
    <n v="4122.6063975419711"/>
    <n v="2277.792793182829"/>
  </r>
  <r>
    <s v="Regular"/>
    <x v="2"/>
    <x v="3"/>
    <x v="5"/>
    <x v="4"/>
    <x v="0"/>
    <x v="0"/>
    <x v="2"/>
    <x v="6"/>
    <n v="0"/>
    <n v="0"/>
    <n v="42.780999999999999"/>
    <n v="42.780999999999999"/>
    <n v="42.780999999999999"/>
    <n v="42.780999999999999"/>
    <n v="66"/>
    <x v="0"/>
    <n v="0"/>
    <n v="0"/>
    <n v="24"/>
    <n v="50"/>
    <n v="0"/>
    <n v="103.76"/>
    <n v="80.38"/>
    <m/>
    <n v="124.62911205120986"/>
    <n v="68.859179333801777"/>
    <n v="0"/>
    <n v="4438.9565600000005"/>
    <n v="3438.7367799999997"/>
    <n v="0"/>
    <n v="5331.7580426628092"/>
    <n v="2945.8645510793735"/>
  </r>
  <r>
    <s v="Regular"/>
    <x v="2"/>
    <x v="3"/>
    <x v="5"/>
    <x v="4"/>
    <x v="0"/>
    <x v="0"/>
    <x v="2"/>
    <x v="7"/>
    <n v="0"/>
    <n v="0"/>
    <n v="47.735999999999997"/>
    <n v="47.735999999999997"/>
    <n v="47.735999999999997"/>
    <n v="47.735999999999997"/>
    <n v="101"/>
    <x v="0"/>
    <n v="0"/>
    <n v="0"/>
    <n v="24"/>
    <n v="50"/>
    <n v="0"/>
    <n v="103.76"/>
    <n v="80.38"/>
    <m/>
    <n v="124.62911205120986"/>
    <n v="68.859179333801777"/>
    <n v="0"/>
    <n v="4953.0873599999995"/>
    <n v="3837.0196799999994"/>
    <n v="0"/>
    <n v="5949.2952928765535"/>
    <n v="3287.0617846783616"/>
  </r>
  <r>
    <s v="Regular"/>
    <x v="2"/>
    <x v="3"/>
    <x v="5"/>
    <x v="4"/>
    <x v="0"/>
    <x v="0"/>
    <x v="2"/>
    <x v="8"/>
    <n v="0"/>
    <n v="0"/>
    <n v="48.088000000000001"/>
    <n v="48.088000000000001"/>
    <n v="48.088000000000001"/>
    <n v="48.088000000000001"/>
    <n v="127"/>
    <x v="0"/>
    <n v="0"/>
    <n v="0"/>
    <n v="24"/>
    <n v="50"/>
    <n v="0"/>
    <n v="103.76"/>
    <n v="80.38"/>
    <m/>
    <n v="124.62911205120986"/>
    <n v="68.859179333801777"/>
    <n v="0"/>
    <n v="4989.6108800000002"/>
    <n v="3865.3134399999999"/>
    <n v="0"/>
    <n v="5993.1647403185798"/>
    <n v="3311.3002158038598"/>
  </r>
  <r>
    <s v="Regular"/>
    <x v="2"/>
    <x v="3"/>
    <x v="5"/>
    <x v="4"/>
    <x v="0"/>
    <x v="0"/>
    <x v="2"/>
    <x v="9"/>
    <n v="0"/>
    <n v="0"/>
    <n v="47.252000000000002"/>
    <n v="47.252000000000002"/>
    <n v="47.252000000000002"/>
    <n v="47.252000000000002"/>
    <n v="133"/>
    <x v="0"/>
    <n v="0"/>
    <n v="0"/>
    <n v="24"/>
    <n v="50"/>
    <n v="0"/>
    <n v="103.76"/>
    <n v="80.38"/>
    <m/>
    <n v="124.62911205120986"/>
    <n v="68.859179333801777"/>
    <n v="0"/>
    <n v="4902.8675200000007"/>
    <n v="3798.1157600000001"/>
    <n v="0"/>
    <n v="5888.9748026437683"/>
    <n v="3253.7339418808019"/>
  </r>
  <r>
    <s v="Regular"/>
    <x v="2"/>
    <x v="3"/>
    <x v="5"/>
    <x v="4"/>
    <x v="0"/>
    <x v="0"/>
    <x v="2"/>
    <x v="10"/>
    <n v="0"/>
    <n v="0"/>
    <n v="44.747999999999998"/>
    <n v="44.747999999999998"/>
    <n v="44.747999999999998"/>
    <n v="44.747999999999998"/>
    <n v="109"/>
    <x v="0"/>
    <n v="0"/>
    <n v="0"/>
    <n v="24"/>
    <n v="50"/>
    <n v="0"/>
    <n v="103.76"/>
    <n v="80.38"/>
    <m/>
    <n v="124.62911205120986"/>
    <n v="68.859179333801777"/>
    <n v="0"/>
    <n v="4643.0524800000003"/>
    <n v="3596.8442399999994"/>
    <n v="0"/>
    <n v="5576.9035060675387"/>
    <n v="3081.3105568289616"/>
  </r>
  <r>
    <s v="PROJETADO"/>
    <x v="2"/>
    <x v="3"/>
    <x v="5"/>
    <x v="4"/>
    <x v="0"/>
    <x v="0"/>
    <x v="2"/>
    <x v="11"/>
    <n v="0"/>
    <n v="0"/>
    <n v="44.747999999999998"/>
    <n v="44.747999999999998"/>
    <n v="44.747999999999998"/>
    <n v="44.747999999999998"/>
    <n v="109"/>
    <x v="0"/>
    <n v="0"/>
    <n v="0"/>
    <n v="24"/>
    <n v="50"/>
    <n v="0"/>
    <n v="103.76"/>
    <n v="80.38"/>
    <m/>
    <n v="124.62911205120986"/>
    <n v="68.859179333801777"/>
    <n v="0"/>
    <n v="4643.0524800000003"/>
    <n v="3596.8442399999994"/>
    <n v="0"/>
    <n v="5576.9035060675387"/>
    <n v="3081.3105568289616"/>
  </r>
  <r>
    <s v="Regular"/>
    <x v="2"/>
    <x v="3"/>
    <x v="5"/>
    <x v="5"/>
    <x v="0"/>
    <x v="0"/>
    <x v="2"/>
    <x v="0"/>
    <n v="0"/>
    <n v="0"/>
    <n v="31.975999999999999"/>
    <n v="31.975999999999999"/>
    <n v="31.975999999999999"/>
    <n v="31.975999999999999"/>
    <n v="186"/>
    <x v="0"/>
    <n v="0"/>
    <n v="0"/>
    <n v="29"/>
    <n v="46"/>
    <n v="0"/>
    <n v="155.63999999999999"/>
    <n v="120.57"/>
    <m/>
    <n v="186.94366807681482"/>
    <n v="103.28876900070266"/>
    <n v="0"/>
    <n v="4976.744639999999"/>
    <n v="3855.3463199999997"/>
    <n v="0"/>
    <n v="5977.71073042423"/>
    <n v="3302.7616775664683"/>
  </r>
  <r>
    <s v="Regular"/>
    <x v="2"/>
    <x v="3"/>
    <x v="5"/>
    <x v="5"/>
    <x v="0"/>
    <x v="0"/>
    <x v="2"/>
    <x v="1"/>
    <n v="0"/>
    <n v="0"/>
    <n v="32.045999999999999"/>
    <n v="32.045999999999999"/>
    <n v="32.045999999999999"/>
    <n v="32.045999999999999"/>
    <n v="202"/>
    <x v="0"/>
    <n v="0"/>
    <n v="0"/>
    <n v="29"/>
    <n v="46"/>
    <n v="0"/>
    <n v="155.63999999999999"/>
    <n v="120.57"/>
    <m/>
    <n v="186.94366807681482"/>
    <n v="103.28876900070266"/>
    <n v="0"/>
    <n v="4987.639439999999"/>
    <n v="3863.7862199999995"/>
    <n v="0"/>
    <n v="5990.7967871896071"/>
    <n v="3309.9918913965175"/>
  </r>
  <r>
    <s v="Regular"/>
    <x v="2"/>
    <x v="3"/>
    <x v="5"/>
    <x v="5"/>
    <x v="0"/>
    <x v="0"/>
    <x v="2"/>
    <x v="2"/>
    <n v="0"/>
    <n v="0"/>
    <n v="32.201000000000001"/>
    <n v="32.201000000000001"/>
    <n v="32.201000000000001"/>
    <n v="32.201000000000001"/>
    <n v="224"/>
    <x v="0"/>
    <n v="0"/>
    <n v="0"/>
    <n v="29"/>
    <n v="46"/>
    <n v="0"/>
    <n v="155.63999999999999"/>
    <n v="120.57"/>
    <m/>
    <n v="186.94366807681482"/>
    <n v="103.28876900070266"/>
    <n v="0"/>
    <n v="5011.7636399999992"/>
    <n v="3882.4745699999999"/>
    <n v="0"/>
    <n v="6019.7730557415143"/>
    <n v="3326.0016505916265"/>
  </r>
  <r>
    <s v="Regular"/>
    <x v="2"/>
    <x v="3"/>
    <x v="5"/>
    <x v="5"/>
    <x v="0"/>
    <x v="0"/>
    <x v="2"/>
    <x v="3"/>
    <n v="0"/>
    <n v="0"/>
    <n v="33.396999999999998"/>
    <n v="33.396999999999998"/>
    <n v="33.396999999999998"/>
    <n v="33.396999999999998"/>
    <n v="211"/>
    <x v="0"/>
    <n v="0"/>
    <n v="0"/>
    <n v="29"/>
    <n v="46"/>
    <n v="0"/>
    <n v="155.63999999999999"/>
    <n v="120.57"/>
    <m/>
    <n v="186.94366807681482"/>
    <n v="103.28876900070266"/>
    <n v="0"/>
    <n v="5197.9090799999994"/>
    <n v="4026.6762899999994"/>
    <n v="0"/>
    <n v="6243.3576827613842"/>
    <n v="3449.5350183164664"/>
  </r>
  <r>
    <s v="Regular"/>
    <x v="2"/>
    <x v="3"/>
    <x v="5"/>
    <x v="5"/>
    <x v="0"/>
    <x v="0"/>
    <x v="2"/>
    <x v="4"/>
    <n v="0"/>
    <n v="0"/>
    <n v="39.515000000000001"/>
    <n v="39.515000000000001"/>
    <n v="39.515000000000001"/>
    <n v="39.515000000000001"/>
    <n v="156"/>
    <x v="0"/>
    <n v="0"/>
    <n v="0"/>
    <n v="29"/>
    <n v="46"/>
    <n v="0"/>
    <n v="155.63999999999999"/>
    <n v="120.57"/>
    <m/>
    <n v="186.94366807681482"/>
    <n v="103.28876900070266"/>
    <n v="0"/>
    <n v="6150.1145999999999"/>
    <n v="4764.3235500000001"/>
    <n v="0"/>
    <n v="7387.0790440553374"/>
    <n v="4081.4557070627657"/>
  </r>
  <r>
    <s v="Regular"/>
    <x v="2"/>
    <x v="3"/>
    <x v="5"/>
    <x v="5"/>
    <x v="0"/>
    <x v="0"/>
    <x v="2"/>
    <x v="5"/>
    <n v="0"/>
    <n v="0"/>
    <n v="42.531999999999996"/>
    <n v="42.531999999999996"/>
    <n v="42.531999999999996"/>
    <n v="42.531999999999996"/>
    <n v="178"/>
    <x v="0"/>
    <n v="0"/>
    <n v="0"/>
    <n v="29"/>
    <n v="46"/>
    <n v="0"/>
    <n v="155.63999999999999"/>
    <n v="120.57"/>
    <m/>
    <n v="186.94366807681482"/>
    <n v="103.28876900070266"/>
    <n v="0"/>
    <n v="6619.6804799999991"/>
    <n v="5128.083239999999"/>
    <n v="0"/>
    <n v="7951.0880906430875"/>
    <n v="4393.0779231378847"/>
  </r>
  <r>
    <s v="Refaturamento - Regular"/>
    <x v="2"/>
    <x v="3"/>
    <x v="5"/>
    <x v="5"/>
    <x v="0"/>
    <x v="0"/>
    <x v="2"/>
    <x v="5"/>
    <n v="0"/>
    <n v="0"/>
    <n v="-2E-3"/>
    <n v="-2E-3"/>
    <n v="-2E-3"/>
    <n v="-2E-3"/>
    <n v="0"/>
    <x v="0"/>
    <n v="0"/>
    <n v="0"/>
    <n v="29"/>
    <n v="46"/>
    <n v="0"/>
    <n v="155.63999999999999"/>
    <n v="120.57"/>
    <m/>
    <n v="186.94366807681482"/>
    <n v="103.28876900070266"/>
    <n v="0"/>
    <n v="-0.31128"/>
    <n v="-0.24113999999999999"/>
    <n v="0"/>
    <n v="-0.37388733615362962"/>
    <n v="-0.20657753800140533"/>
  </r>
  <r>
    <s v="Regular"/>
    <x v="2"/>
    <x v="3"/>
    <x v="5"/>
    <x v="5"/>
    <x v="0"/>
    <x v="0"/>
    <x v="2"/>
    <x v="6"/>
    <n v="0"/>
    <n v="0"/>
    <n v="53.284999999999997"/>
    <n v="53.284999999999997"/>
    <n v="53.284999999999997"/>
    <n v="53.284999999999997"/>
    <n v="261"/>
    <x v="0"/>
    <n v="0"/>
    <n v="0"/>
    <n v="29"/>
    <n v="46"/>
    <n v="0"/>
    <n v="155.63999999999999"/>
    <n v="120.57"/>
    <m/>
    <n v="186.94366807681482"/>
    <n v="103.28876900070266"/>
    <n v="0"/>
    <n v="8293.277399999999"/>
    <n v="6424.5724499999997"/>
    <n v="0"/>
    <n v="9961.2933534730764"/>
    <n v="5503.7420562024408"/>
  </r>
  <r>
    <s v="Regular"/>
    <x v="2"/>
    <x v="3"/>
    <x v="5"/>
    <x v="5"/>
    <x v="0"/>
    <x v="0"/>
    <x v="2"/>
    <x v="7"/>
    <n v="0"/>
    <n v="0"/>
    <n v="54.87"/>
    <n v="54.87"/>
    <n v="54.87"/>
    <n v="54.87"/>
    <n v="331"/>
    <x v="0"/>
    <n v="0"/>
    <n v="0"/>
    <n v="29"/>
    <n v="46"/>
    <n v="0"/>
    <n v="155.63999999999999"/>
    <n v="120.57"/>
    <m/>
    <n v="186.94366807681482"/>
    <n v="103.28876900070266"/>
    <n v="0"/>
    <n v="8539.9667999999983"/>
    <n v="6615.6758999999993"/>
    <n v="0"/>
    <n v="10257.599067374829"/>
    <n v="5667.4547550685547"/>
  </r>
  <r>
    <s v="Regular"/>
    <x v="2"/>
    <x v="3"/>
    <x v="5"/>
    <x v="5"/>
    <x v="0"/>
    <x v="0"/>
    <x v="2"/>
    <x v="8"/>
    <n v="0"/>
    <n v="0"/>
    <n v="48.58"/>
    <n v="48.58"/>
    <n v="48.58"/>
    <n v="48.58"/>
    <n v="387"/>
    <x v="0"/>
    <n v="0"/>
    <n v="0"/>
    <n v="29"/>
    <n v="46"/>
    <n v="0"/>
    <n v="155.63999999999999"/>
    <n v="120.57"/>
    <m/>
    <n v="186.94366807681482"/>
    <n v="103.28876900070266"/>
    <n v="0"/>
    <n v="7560.9911999999995"/>
    <n v="5857.2905999999994"/>
    <n v="0"/>
    <n v="9081.7233951716626"/>
    <n v="5017.7683980541351"/>
  </r>
  <r>
    <s v="Regular"/>
    <x v="2"/>
    <x v="3"/>
    <x v="5"/>
    <x v="5"/>
    <x v="0"/>
    <x v="0"/>
    <x v="2"/>
    <x v="9"/>
    <n v="0"/>
    <n v="0"/>
    <n v="49.460999999999999"/>
    <n v="49.460999999999999"/>
    <n v="49.460999999999999"/>
    <n v="49.460999999999999"/>
    <n v="349"/>
    <x v="0"/>
    <n v="0"/>
    <n v="0"/>
    <n v="29"/>
    <n v="46"/>
    <n v="0"/>
    <n v="155.63999999999999"/>
    <n v="120.57"/>
    <m/>
    <n v="186.94366807681482"/>
    <n v="103.28876900070266"/>
    <n v="0"/>
    <n v="7698.1100399999987"/>
    <n v="5963.5127699999994"/>
    <n v="0"/>
    <n v="9246.4207667473365"/>
    <n v="5108.7658035437544"/>
  </r>
  <r>
    <s v="Regular"/>
    <x v="2"/>
    <x v="3"/>
    <x v="5"/>
    <x v="5"/>
    <x v="0"/>
    <x v="0"/>
    <x v="2"/>
    <x v="10"/>
    <n v="0"/>
    <n v="0"/>
    <n v="48.317999999999998"/>
    <n v="48.317999999999998"/>
    <n v="48.317999999999998"/>
    <n v="48.317999999999998"/>
    <n v="332"/>
    <x v="0"/>
    <n v="0"/>
    <n v="0"/>
    <n v="29"/>
    <n v="46"/>
    <n v="0"/>
    <n v="155.63999999999999"/>
    <n v="120.57"/>
    <m/>
    <n v="186.94366807681482"/>
    <n v="103.28876900070266"/>
    <n v="0"/>
    <n v="7520.2135199999993"/>
    <n v="5825.7012599999998"/>
    <n v="0"/>
    <n v="9032.7441541355383"/>
    <n v="4990.7067405759508"/>
  </r>
  <r>
    <s v="PROJETADO"/>
    <x v="2"/>
    <x v="3"/>
    <x v="5"/>
    <x v="5"/>
    <x v="0"/>
    <x v="0"/>
    <x v="2"/>
    <x v="11"/>
    <n v="0"/>
    <n v="0"/>
    <n v="48.317999999999998"/>
    <n v="48.317999999999998"/>
    <n v="48.317999999999998"/>
    <n v="48.317999999999998"/>
    <n v="332"/>
    <x v="0"/>
    <n v="0"/>
    <n v="0"/>
    <n v="29"/>
    <n v="46"/>
    <n v="0"/>
    <n v="155.63999999999999"/>
    <n v="120.57"/>
    <m/>
    <n v="186.94366807681482"/>
    <n v="103.28876900070266"/>
    <n v="0"/>
    <n v="7520.2135199999993"/>
    <n v="5825.7012599999998"/>
    <n v="0"/>
    <n v="9032.7441541355383"/>
    <n v="4990.7067405759508"/>
  </r>
  <r>
    <s v="Regular"/>
    <x v="2"/>
    <x v="3"/>
    <x v="5"/>
    <x v="6"/>
    <x v="0"/>
    <x v="0"/>
    <x v="2"/>
    <x v="0"/>
    <n v="0"/>
    <n v="0"/>
    <n v="11.452"/>
    <n v="11.452"/>
    <n v="11.452"/>
    <n v="11.452"/>
    <n v="169"/>
    <x v="0"/>
    <n v="0"/>
    <n v="0"/>
    <n v="19"/>
    <n v="57"/>
    <n v="0"/>
    <n v="172.93"/>
    <n v="133.97"/>
    <m/>
    <n v="207.71518675201645"/>
    <n v="114.76529888966962"/>
    <n v="0"/>
    <n v="1980.39436"/>
    <n v="1534.22444"/>
    <n v="0"/>
    <n v="2378.7543186840926"/>
    <n v="1314.2922028844964"/>
  </r>
  <r>
    <s v="Regular"/>
    <x v="2"/>
    <x v="3"/>
    <x v="5"/>
    <x v="6"/>
    <x v="0"/>
    <x v="0"/>
    <x v="2"/>
    <x v="1"/>
    <n v="0"/>
    <n v="0"/>
    <n v="11.125999999999999"/>
    <n v="11.125999999999999"/>
    <n v="11.125999999999999"/>
    <n v="11.125999999999999"/>
    <n v="156"/>
    <x v="0"/>
    <n v="0"/>
    <n v="0"/>
    <n v="19"/>
    <n v="57"/>
    <n v="0"/>
    <n v="172.93"/>
    <n v="133.97"/>
    <m/>
    <n v="207.71518675201645"/>
    <n v="114.76529888966962"/>
    <n v="0"/>
    <n v="1924.01918"/>
    <n v="1490.5502199999999"/>
    <n v="0"/>
    <n v="2311.039167802935"/>
    <n v="1276.8787154464642"/>
  </r>
  <r>
    <s v="Regular"/>
    <x v="2"/>
    <x v="3"/>
    <x v="5"/>
    <x v="6"/>
    <x v="0"/>
    <x v="0"/>
    <x v="2"/>
    <x v="2"/>
    <n v="0"/>
    <n v="0"/>
    <n v="10.77"/>
    <n v="10.77"/>
    <n v="10.77"/>
    <n v="10.77"/>
    <n v="144"/>
    <x v="0"/>
    <n v="0"/>
    <n v="0"/>
    <n v="19"/>
    <n v="57"/>
    <n v="0"/>
    <n v="172.93"/>
    <n v="133.97"/>
    <m/>
    <n v="207.71518675201645"/>
    <n v="114.76529888966962"/>
    <n v="0"/>
    <n v="1862.4561000000001"/>
    <n v="1442.8569"/>
    <n v="0"/>
    <n v="2237.0925613192171"/>
    <n v="1236.0222690417418"/>
  </r>
  <r>
    <s v="Refaturamento - Regular"/>
    <x v="2"/>
    <x v="3"/>
    <x v="5"/>
    <x v="6"/>
    <x v="0"/>
    <x v="0"/>
    <x v="2"/>
    <x v="2"/>
    <n v="0"/>
    <n v="0"/>
    <n v="0.23300000000000001"/>
    <n v="0.23300000000000001"/>
    <n v="0.23300000000000001"/>
    <n v="0.23300000000000001"/>
    <n v="0"/>
    <x v="0"/>
    <n v="0"/>
    <n v="0"/>
    <n v="19"/>
    <n v="57"/>
    <n v="0"/>
    <n v="172.93"/>
    <n v="133.97"/>
    <m/>
    <n v="207.71518675201645"/>
    <n v="114.76529888966962"/>
    <n v="0"/>
    <n v="40.29269"/>
    <n v="31.215010000000003"/>
    <n v="0"/>
    <n v="48.397638513219839"/>
    <n v="26.740314641293022"/>
  </r>
  <r>
    <s v="Regular"/>
    <x v="2"/>
    <x v="3"/>
    <x v="5"/>
    <x v="6"/>
    <x v="0"/>
    <x v="0"/>
    <x v="2"/>
    <x v="3"/>
    <n v="0"/>
    <n v="0"/>
    <n v="13.891"/>
    <n v="13.891"/>
    <n v="13.891"/>
    <n v="13.891"/>
    <n v="165"/>
    <x v="0"/>
    <n v="0"/>
    <n v="0"/>
    <n v="19"/>
    <n v="57"/>
    <n v="0"/>
    <n v="172.93"/>
    <n v="133.97"/>
    <m/>
    <n v="207.71518675201645"/>
    <n v="114.76529888966962"/>
    <n v="0"/>
    <n v="2402.1706300000001"/>
    <n v="1860.9772700000001"/>
    <n v="0"/>
    <n v="2885.3716591722605"/>
    <n v="1594.2047668764008"/>
  </r>
  <r>
    <s v="Regular"/>
    <x v="2"/>
    <x v="3"/>
    <x v="5"/>
    <x v="6"/>
    <x v="0"/>
    <x v="0"/>
    <x v="2"/>
    <x v="4"/>
    <n v="0"/>
    <n v="0"/>
    <n v="31.126999999999999"/>
    <n v="31.126999999999999"/>
    <n v="31.126999999999999"/>
    <n v="31.126999999999999"/>
    <n v="243"/>
    <x v="0"/>
    <n v="0"/>
    <n v="0"/>
    <n v="19"/>
    <n v="57"/>
    <n v="0"/>
    <n v="172.93"/>
    <n v="133.97"/>
    <m/>
    <n v="207.71518675201645"/>
    <n v="114.76529888966962"/>
    <n v="0"/>
    <n v="5382.7921100000003"/>
    <n v="4170.0841899999996"/>
    <n v="0"/>
    <n v="6465.5506180300163"/>
    <n v="3572.2994585387464"/>
  </r>
  <r>
    <s v="Regular"/>
    <x v="2"/>
    <x v="3"/>
    <x v="5"/>
    <x v="6"/>
    <x v="0"/>
    <x v="0"/>
    <x v="2"/>
    <x v="5"/>
    <n v="0"/>
    <n v="0"/>
    <n v="35.345999999999997"/>
    <n v="35.345999999999997"/>
    <n v="35.345999999999997"/>
    <n v="35.345999999999997"/>
    <n v="258"/>
    <x v="0"/>
    <n v="0"/>
    <n v="0"/>
    <n v="19"/>
    <n v="57"/>
    <n v="0"/>
    <n v="172.93"/>
    <n v="133.97"/>
    <m/>
    <n v="207.71518675201645"/>
    <n v="114.76529888966962"/>
    <n v="0"/>
    <n v="6112.3837799999992"/>
    <n v="4735.3036199999997"/>
    <n v="0"/>
    <n v="7341.9009909367724"/>
    <n v="4056.4942545542622"/>
  </r>
  <r>
    <s v="Refaturamento - Regular"/>
    <x v="2"/>
    <x v="3"/>
    <x v="5"/>
    <x v="6"/>
    <x v="0"/>
    <x v="0"/>
    <x v="2"/>
    <x v="5"/>
    <n v="0"/>
    <n v="0"/>
    <n v="-0.26100000000000001"/>
    <n v="-0.26100000000000001"/>
    <n v="-0.26100000000000001"/>
    <n v="-0.26100000000000001"/>
    <n v="0"/>
    <x v="0"/>
    <n v="0"/>
    <n v="0"/>
    <n v="19"/>
    <n v="57"/>
    <n v="0"/>
    <n v="172.93"/>
    <n v="133.97"/>
    <m/>
    <n v="207.71518675201645"/>
    <n v="114.76529888966962"/>
    <n v="0"/>
    <n v="-45.134730000000005"/>
    <n v="-34.966169999999998"/>
    <n v="0"/>
    <n v="-54.213663742276296"/>
    <n v="-29.953743010203773"/>
  </r>
  <r>
    <s v="Regular"/>
    <x v="2"/>
    <x v="3"/>
    <x v="5"/>
    <x v="6"/>
    <x v="0"/>
    <x v="0"/>
    <x v="2"/>
    <x v="6"/>
    <n v="0"/>
    <n v="0"/>
    <n v="40.997999999999998"/>
    <n v="40.997999999999998"/>
    <n v="40.997999999999998"/>
    <n v="40.997999999999998"/>
    <n v="309"/>
    <x v="0"/>
    <n v="0"/>
    <n v="0"/>
    <n v="19"/>
    <n v="57"/>
    <n v="0"/>
    <n v="172.93"/>
    <n v="133.97"/>
    <m/>
    <n v="207.71518675201645"/>
    <n v="114.76529888966962"/>
    <n v="0"/>
    <n v="7089.7841399999998"/>
    <n v="5492.5020599999998"/>
    <n v="0"/>
    <n v="8515.9072264591705"/>
    <n v="4705.1477238786747"/>
  </r>
  <r>
    <s v="Regular"/>
    <x v="2"/>
    <x v="3"/>
    <x v="5"/>
    <x v="6"/>
    <x v="0"/>
    <x v="0"/>
    <x v="2"/>
    <x v="7"/>
    <n v="0"/>
    <n v="0"/>
    <n v="28.201000000000001"/>
    <n v="28.201000000000001"/>
    <n v="28.201000000000001"/>
    <n v="28.201000000000001"/>
    <n v="284"/>
    <x v="0"/>
    <n v="0"/>
    <n v="0"/>
    <n v="19"/>
    <n v="57"/>
    <n v="0"/>
    <n v="172.93"/>
    <n v="133.97"/>
    <m/>
    <n v="207.71518675201645"/>
    <n v="114.76529888966962"/>
    <n v="0"/>
    <n v="4876.7989299999999"/>
    <n v="3778.08797"/>
    <n v="0"/>
    <n v="5857.7759815936161"/>
    <n v="3236.496193987573"/>
  </r>
  <r>
    <s v="Regular"/>
    <x v="2"/>
    <x v="3"/>
    <x v="5"/>
    <x v="6"/>
    <x v="0"/>
    <x v="0"/>
    <x v="2"/>
    <x v="8"/>
    <n v="0"/>
    <n v="0"/>
    <n v="19.608000000000001"/>
    <n v="19.608000000000001"/>
    <n v="19.608000000000001"/>
    <n v="19.608000000000001"/>
    <n v="219"/>
    <x v="0"/>
    <n v="0"/>
    <n v="0"/>
    <n v="19"/>
    <n v="57"/>
    <n v="0"/>
    <n v="172.93"/>
    <n v="133.97"/>
    <m/>
    <n v="207.71518675201645"/>
    <n v="114.76529888966962"/>
    <n v="0"/>
    <n v="3390.8114400000004"/>
    <n v="2626.8837600000002"/>
    <n v="0"/>
    <n v="4072.8793818335384"/>
    <n v="2250.3179806286421"/>
  </r>
  <r>
    <s v="Regular"/>
    <x v="2"/>
    <x v="3"/>
    <x v="5"/>
    <x v="6"/>
    <x v="0"/>
    <x v="0"/>
    <x v="2"/>
    <x v="9"/>
    <n v="0"/>
    <n v="0"/>
    <n v="25.545999999999999"/>
    <n v="25.545999999999999"/>
    <n v="25.545999999999999"/>
    <n v="25.545999999999999"/>
    <n v="243"/>
    <x v="0"/>
    <n v="0"/>
    <n v="0"/>
    <n v="19"/>
    <n v="57"/>
    <n v="0"/>
    <n v="172.93"/>
    <n v="133.97"/>
    <m/>
    <n v="207.71518675201645"/>
    <n v="114.76529888966962"/>
    <n v="0"/>
    <n v="4417.6697800000002"/>
    <n v="3422.3976199999997"/>
    <n v="0"/>
    <n v="5306.2921607670123"/>
    <n v="2931.7943254355"/>
  </r>
  <r>
    <s v="Regular"/>
    <x v="2"/>
    <x v="3"/>
    <x v="5"/>
    <x v="6"/>
    <x v="0"/>
    <x v="0"/>
    <x v="2"/>
    <x v="10"/>
    <n v="0"/>
    <n v="0"/>
    <n v="24.925999999999998"/>
    <n v="24.925999999999998"/>
    <n v="24.925999999999998"/>
    <n v="24.925999999999998"/>
    <n v="241"/>
    <x v="0"/>
    <n v="0"/>
    <n v="0"/>
    <n v="19"/>
    <n v="57"/>
    <n v="0"/>
    <n v="172.93"/>
    <n v="133.97"/>
    <m/>
    <n v="207.71518675201645"/>
    <n v="114.76529888966962"/>
    <n v="0"/>
    <n v="4310.4531799999995"/>
    <n v="3339.3362199999997"/>
    <n v="0"/>
    <n v="5177.5087449807615"/>
    <n v="2860.6398401239048"/>
  </r>
  <r>
    <s v="PROJETADO"/>
    <x v="2"/>
    <x v="3"/>
    <x v="5"/>
    <x v="6"/>
    <x v="0"/>
    <x v="0"/>
    <x v="2"/>
    <x v="11"/>
    <n v="0"/>
    <n v="0"/>
    <n v="24.925999999999998"/>
    <n v="24.925999999999998"/>
    <n v="24.925999999999998"/>
    <n v="24.925999999999998"/>
    <n v="241"/>
    <x v="0"/>
    <n v="0"/>
    <n v="0"/>
    <n v="19"/>
    <n v="57"/>
    <n v="0"/>
    <n v="172.93"/>
    <n v="133.97"/>
    <m/>
    <n v="207.71518675201645"/>
    <n v="114.76529888966962"/>
    <n v="0"/>
    <n v="4310.4531799999995"/>
    <n v="3339.3362199999997"/>
    <n v="0"/>
    <n v="5177.5087449807615"/>
    <n v="2860.6398401239048"/>
  </r>
  <r>
    <s v="Regular"/>
    <x v="3"/>
    <x v="3"/>
    <x v="6"/>
    <x v="7"/>
    <x v="1"/>
    <x v="0"/>
    <x v="2"/>
    <x v="0"/>
    <n v="0"/>
    <n v="0"/>
    <n v="218.55099999999999"/>
    <n v="218.55099999999999"/>
    <n v="218.55099999999999"/>
    <n v="218.55099999999999"/>
    <n v="0"/>
    <x v="0"/>
    <n v="0"/>
    <n v="0"/>
    <n v="30"/>
    <n v="74"/>
    <n v="0"/>
    <n v="236.77"/>
    <n v="117.89"/>
    <m/>
    <n v="323.18581193481282"/>
    <n v="107.87938095628944"/>
    <n v="0"/>
    <n v="51746.320269999997"/>
    <n v="25764.97739"/>
    <n v="0"/>
    <n v="70632.582384165275"/>
    <n v="23577.146587378011"/>
  </r>
  <r>
    <s v="Regular"/>
    <x v="3"/>
    <x v="3"/>
    <x v="6"/>
    <x v="7"/>
    <x v="1"/>
    <x v="0"/>
    <x v="2"/>
    <x v="1"/>
    <n v="0"/>
    <n v="0"/>
    <n v="139.84200000000001"/>
    <n v="139.84200000000001"/>
    <n v="139.84200000000001"/>
    <n v="139.84200000000001"/>
    <n v="0"/>
    <x v="0"/>
    <n v="0"/>
    <n v="0"/>
    <n v="30"/>
    <n v="74"/>
    <n v="0"/>
    <n v="236.77"/>
    <n v="117.89"/>
    <m/>
    <n v="323.18581193481282"/>
    <n v="107.87938095628944"/>
    <n v="0"/>
    <n v="33110.390340000005"/>
    <n v="16485.973380000003"/>
    <n v="0"/>
    <n v="45194.950312588102"/>
    <n v="15086.068391689429"/>
  </r>
  <r>
    <s v="Regular"/>
    <x v="3"/>
    <x v="3"/>
    <x v="6"/>
    <x v="7"/>
    <x v="1"/>
    <x v="0"/>
    <x v="2"/>
    <x v="2"/>
    <n v="0"/>
    <n v="0"/>
    <n v="171.75"/>
    <n v="171.75"/>
    <n v="171.75"/>
    <n v="171.75"/>
    <n v="0"/>
    <x v="0"/>
    <n v="0"/>
    <n v="0"/>
    <n v="30"/>
    <n v="74"/>
    <n v="0"/>
    <n v="236.77"/>
    <n v="117.89"/>
    <m/>
    <n v="323.18581193481282"/>
    <n v="107.87938095628944"/>
    <n v="0"/>
    <n v="40665.247500000005"/>
    <n v="20247.607500000002"/>
    <n v="0"/>
    <n v="55507.163199804105"/>
    <n v="18528.283679242712"/>
  </r>
  <r>
    <s v="Regular"/>
    <x v="3"/>
    <x v="3"/>
    <x v="6"/>
    <x v="7"/>
    <x v="1"/>
    <x v="0"/>
    <x v="2"/>
    <x v="3"/>
    <n v="0"/>
    <n v="0"/>
    <n v="163.185"/>
    <n v="163.185"/>
    <n v="163.185"/>
    <n v="163.185"/>
    <n v="0"/>
    <x v="0"/>
    <n v="0"/>
    <n v="0"/>
    <n v="30"/>
    <n v="74"/>
    <n v="0"/>
    <n v="236.77"/>
    <n v="117.89"/>
    <m/>
    <n v="323.18581193481282"/>
    <n v="107.87938095628944"/>
    <n v="0"/>
    <n v="38637.312450000005"/>
    <n v="19237.879649999999"/>
    <n v="0"/>
    <n v="52739.07672058243"/>
    <n v="17604.296781352092"/>
  </r>
  <r>
    <s v="Regular"/>
    <x v="3"/>
    <x v="3"/>
    <x v="6"/>
    <x v="7"/>
    <x v="1"/>
    <x v="0"/>
    <x v="2"/>
    <x v="4"/>
    <n v="0"/>
    <n v="0"/>
    <n v="200.428"/>
    <n v="200.428"/>
    <n v="200.428"/>
    <n v="200.428"/>
    <n v="0"/>
    <x v="0"/>
    <n v="0"/>
    <n v="0"/>
    <n v="30"/>
    <n v="74"/>
    <n v="0"/>
    <n v="236.77"/>
    <n v="117.89"/>
    <m/>
    <n v="323.18581193481282"/>
    <n v="107.87938095628944"/>
    <n v="0"/>
    <n v="47455.33756"/>
    <n v="23628.456920000001"/>
    <n v="0"/>
    <n v="64775.485914470664"/>
    <n v="21622.048566307178"/>
  </r>
  <r>
    <s v="Regular"/>
    <x v="3"/>
    <x v="3"/>
    <x v="6"/>
    <x v="7"/>
    <x v="1"/>
    <x v="0"/>
    <x v="2"/>
    <x v="5"/>
    <n v="0"/>
    <n v="0"/>
    <n v="50.792999999999999"/>
    <n v="50.792999999999999"/>
    <n v="50.792999999999999"/>
    <n v="50.792999999999999"/>
    <n v="0"/>
    <x v="0"/>
    <n v="0"/>
    <n v="0"/>
    <n v="30"/>
    <n v="74"/>
    <n v="0"/>
    <n v="236.77"/>
    <n v="117.89"/>
    <m/>
    <n v="323.18581193481282"/>
    <n v="107.87938095628944"/>
    <n v="0"/>
    <n v="12026.258610000001"/>
    <n v="5987.9867699999995"/>
    <n v="0"/>
    <n v="16415.576945604946"/>
    <n v="5479.5173969128091"/>
  </r>
  <r>
    <s v="Sistema de Compensação"/>
    <x v="3"/>
    <x v="3"/>
    <x v="6"/>
    <x v="7"/>
    <x v="1"/>
    <x v="0"/>
    <x v="2"/>
    <x v="5"/>
    <n v="0"/>
    <n v="0"/>
    <n v="0.1"/>
    <n v="0.1"/>
    <n v="0.1"/>
    <n v="0.1"/>
    <n v="0"/>
    <x v="0"/>
    <n v="0"/>
    <n v="0"/>
    <n v="30"/>
    <n v="74"/>
    <n v="0"/>
    <n v="236.77"/>
    <n v="117.89"/>
    <m/>
    <n v="323.18581193481282"/>
    <n v="107.87938095628944"/>
    <n v="0"/>
    <n v="23.677000000000003"/>
    <n v="11.789000000000001"/>
    <n v="0"/>
    <n v="32.318581193481286"/>
    <n v="10.787938095628945"/>
  </r>
  <r>
    <s v="Regular"/>
    <x v="3"/>
    <x v="3"/>
    <x v="6"/>
    <x v="7"/>
    <x v="1"/>
    <x v="0"/>
    <x v="2"/>
    <x v="6"/>
    <n v="0"/>
    <n v="0"/>
    <n v="23.201000000000001"/>
    <n v="23.201000000000001"/>
    <n v="23.201000000000001"/>
    <n v="23.201000000000001"/>
    <n v="0"/>
    <x v="0"/>
    <n v="0"/>
    <n v="0"/>
    <n v="30"/>
    <n v="74"/>
    <n v="0"/>
    <n v="236.77"/>
    <n v="117.89"/>
    <m/>
    <n v="323.18581193481282"/>
    <n v="107.87938095628944"/>
    <n v="0"/>
    <n v="5493.3007700000007"/>
    <n v="2735.1658900000002"/>
    <n v="0"/>
    <n v="7498.2340226995921"/>
    <n v="2502.9095175668713"/>
  </r>
  <r>
    <s v="Sistema de Compensação"/>
    <x v="3"/>
    <x v="3"/>
    <x v="6"/>
    <x v="7"/>
    <x v="1"/>
    <x v="0"/>
    <x v="2"/>
    <x v="6"/>
    <n v="0"/>
    <n v="0"/>
    <n v="0.1"/>
    <n v="0.1"/>
    <n v="0.1"/>
    <n v="0.1"/>
    <n v="0"/>
    <x v="0"/>
    <n v="0"/>
    <n v="0"/>
    <n v="30"/>
    <n v="74"/>
    <n v="0"/>
    <n v="236.77"/>
    <n v="117.89"/>
    <m/>
    <n v="323.18581193481282"/>
    <n v="107.87938095628944"/>
    <n v="0"/>
    <n v="23.677000000000003"/>
    <n v="11.789000000000001"/>
    <n v="0"/>
    <n v="32.318581193481286"/>
    <n v="10.787938095628945"/>
  </r>
  <r>
    <s v="Regular"/>
    <x v="3"/>
    <x v="3"/>
    <x v="6"/>
    <x v="7"/>
    <x v="1"/>
    <x v="0"/>
    <x v="2"/>
    <x v="7"/>
    <n v="0"/>
    <n v="0"/>
    <n v="20.023"/>
    <n v="20.023"/>
    <n v="20.023"/>
    <n v="20.023"/>
    <n v="0"/>
    <x v="0"/>
    <n v="0"/>
    <n v="0"/>
    <n v="30"/>
    <n v="74"/>
    <n v="0"/>
    <n v="236.77"/>
    <n v="117.89"/>
    <m/>
    <n v="323.18581193481282"/>
    <n v="107.87938095628944"/>
    <n v="0"/>
    <n v="4740.8457100000005"/>
    <n v="2360.5114699999999"/>
    <n v="0"/>
    <n v="6471.1495123707573"/>
    <n v="2160.0688448877836"/>
  </r>
  <r>
    <s v="Regular"/>
    <x v="3"/>
    <x v="3"/>
    <x v="6"/>
    <x v="7"/>
    <x v="1"/>
    <x v="0"/>
    <x v="2"/>
    <x v="8"/>
    <n v="0"/>
    <n v="0"/>
    <n v="10.407999999999999"/>
    <n v="10.407999999999999"/>
    <n v="10.407999999999999"/>
    <n v="10.407999999999999"/>
    <n v="0"/>
    <x v="0"/>
    <n v="0"/>
    <n v="0"/>
    <n v="30"/>
    <n v="74"/>
    <n v="0"/>
    <n v="236.77"/>
    <n v="117.89"/>
    <m/>
    <n v="323.18581193481282"/>
    <n v="107.87938095628944"/>
    <n v="0"/>
    <n v="2464.3021600000002"/>
    <n v="1226.9991199999999"/>
    <n v="0"/>
    <n v="3363.7179306175317"/>
    <n v="1122.8085969930605"/>
  </r>
  <r>
    <s v="Refaturamento - Regular"/>
    <x v="3"/>
    <x v="3"/>
    <x v="6"/>
    <x v="7"/>
    <x v="1"/>
    <x v="0"/>
    <x v="2"/>
    <x v="8"/>
    <n v="0"/>
    <n v="0"/>
    <n v="-9.6920000000000002"/>
    <n v="-9.6920000000000002"/>
    <n v="-9.6920000000000002"/>
    <n v="-9.6920000000000002"/>
    <n v="0"/>
    <x v="0"/>
    <n v="0"/>
    <n v="0"/>
    <n v="30"/>
    <n v="74"/>
    <n v="0"/>
    <n v="236.77"/>
    <n v="117.89"/>
    <m/>
    <n v="323.18581193481282"/>
    <n v="107.87938095628944"/>
    <n v="0"/>
    <n v="-2294.77484"/>
    <n v="-1142.58988"/>
    <n v="0"/>
    <n v="-3132.316889272206"/>
    <n v="-1045.5669602283572"/>
  </r>
  <r>
    <s v="Regular"/>
    <x v="3"/>
    <x v="3"/>
    <x v="6"/>
    <x v="7"/>
    <x v="1"/>
    <x v="0"/>
    <x v="2"/>
    <x v="9"/>
    <n v="0"/>
    <n v="0"/>
    <n v="9.1449999999999996"/>
    <n v="9.1449999999999996"/>
    <n v="9.1449999999999996"/>
    <n v="9.1449999999999996"/>
    <n v="0"/>
    <x v="0"/>
    <n v="0"/>
    <n v="0"/>
    <n v="30"/>
    <n v="74"/>
    <n v="0"/>
    <n v="236.77"/>
    <n v="117.89"/>
    <m/>
    <n v="323.18581193481282"/>
    <n v="107.87938095628944"/>
    <n v="0"/>
    <n v="2165.2616499999999"/>
    <n v="1078.1040499999999"/>
    <n v="0"/>
    <n v="2955.5342501438631"/>
    <n v="986.55693884526681"/>
  </r>
  <r>
    <s v="Regular"/>
    <x v="3"/>
    <x v="3"/>
    <x v="6"/>
    <x v="7"/>
    <x v="1"/>
    <x v="0"/>
    <x v="2"/>
    <x v="10"/>
    <n v="0"/>
    <n v="0"/>
    <n v="13.619"/>
    <n v="13.619"/>
    <n v="13.619"/>
    <n v="13.619"/>
    <n v="0"/>
    <x v="0"/>
    <n v="0"/>
    <n v="0"/>
    <n v="30"/>
    <n v="74"/>
    <n v="0"/>
    <n v="236.77"/>
    <n v="117.89"/>
    <m/>
    <n v="323.18581193481282"/>
    <n v="107.87938095628944"/>
    <n v="0"/>
    <n v="3224.5706300000002"/>
    <n v="1605.5439099999999"/>
    <n v="0"/>
    <n v="4401.4675727402155"/>
    <n v="1469.2092892437058"/>
  </r>
  <r>
    <s v="PROJETADO"/>
    <x v="3"/>
    <x v="3"/>
    <x v="6"/>
    <x v="7"/>
    <x v="1"/>
    <x v="0"/>
    <x v="2"/>
    <x v="11"/>
    <n v="0"/>
    <n v="0"/>
    <n v="13.619"/>
    <n v="13.619"/>
    <n v="13.619"/>
    <n v="13.619"/>
    <n v="0"/>
    <x v="0"/>
    <n v="0"/>
    <n v="0"/>
    <n v="30"/>
    <n v="74"/>
    <n v="0"/>
    <n v="236.77"/>
    <n v="117.89"/>
    <m/>
    <n v="323.18581193481282"/>
    <n v="107.87938095628944"/>
    <n v="0"/>
    <n v="3224.5706300000002"/>
    <n v="1605.5439099999999"/>
    <n v="0"/>
    <n v="4401.4675727402155"/>
    <n v="1469.2092892437058"/>
  </r>
  <r>
    <s v="Regular"/>
    <x v="3"/>
    <x v="3"/>
    <x v="6"/>
    <x v="7"/>
    <x v="2"/>
    <x v="0"/>
    <x v="2"/>
    <x v="0"/>
    <n v="0"/>
    <n v="0"/>
    <n v="103.145"/>
    <n v="41.258000000000003"/>
    <n v="103.145"/>
    <n v="41.258000000000003"/>
    <n v="0"/>
    <x v="0"/>
    <n v="0"/>
    <n v="0"/>
    <n v="30"/>
    <n v="74"/>
    <n v="0"/>
    <n v="236.77"/>
    <n v="117.89"/>
    <m/>
    <n v="323.18581193481282"/>
    <n v="107.87938095628944"/>
    <n v="0"/>
    <n v="9768.6566600000006"/>
    <n v="4863.9056200000005"/>
    <n v="0"/>
    <n v="13334.000228806508"/>
    <n v="4450.88749949459"/>
  </r>
  <r>
    <s v="Regular"/>
    <x v="3"/>
    <x v="3"/>
    <x v="6"/>
    <x v="7"/>
    <x v="2"/>
    <x v="0"/>
    <x v="2"/>
    <x v="1"/>
    <n v="0"/>
    <n v="0"/>
    <n v="79.552000000000007"/>
    <n v="31.820799999999998"/>
    <n v="79.552000000000007"/>
    <n v="31.820799999999998"/>
    <n v="0"/>
    <x v="0"/>
    <n v="0"/>
    <n v="0"/>
    <n v="30"/>
    <n v="74"/>
    <n v="0"/>
    <n v="236.77"/>
    <n v="117.89"/>
    <m/>
    <n v="323.18581193481282"/>
    <n v="107.87938095628944"/>
    <n v="0"/>
    <n v="7534.2108159999998"/>
    <n v="3751.354112"/>
    <n v="0"/>
    <n v="10284.031084415292"/>
    <n v="3432.8082055338946"/>
  </r>
  <r>
    <s v="Regular"/>
    <x v="3"/>
    <x v="3"/>
    <x v="6"/>
    <x v="7"/>
    <x v="2"/>
    <x v="0"/>
    <x v="2"/>
    <x v="2"/>
    <n v="0"/>
    <n v="0"/>
    <n v="108.729"/>
    <n v="43.491599999999998"/>
    <n v="108.729"/>
    <n v="43.491599999999998"/>
    <n v="0"/>
    <x v="0"/>
    <n v="0"/>
    <n v="0"/>
    <n v="30"/>
    <n v="74"/>
    <n v="0"/>
    <n v="236.77"/>
    <n v="117.89"/>
    <m/>
    <n v="323.18581193481282"/>
    <n v="107.87938095628944"/>
    <n v="0"/>
    <n v="10297.506132"/>
    <n v="5127.2247239999997"/>
    <n v="0"/>
    <n v="14055.868058344106"/>
    <n v="4691.8468847985578"/>
  </r>
  <r>
    <s v="Regular"/>
    <x v="3"/>
    <x v="3"/>
    <x v="6"/>
    <x v="7"/>
    <x v="2"/>
    <x v="0"/>
    <x v="2"/>
    <x v="3"/>
    <n v="0"/>
    <n v="0"/>
    <n v="128.13900000000001"/>
    <n v="51.255600000000001"/>
    <n v="128.13900000000001"/>
    <n v="51.255600000000001"/>
    <n v="0"/>
    <x v="0"/>
    <n v="0"/>
    <n v="0"/>
    <n v="30"/>
    <n v="74"/>
    <n v="0"/>
    <n v="236.77"/>
    <n v="117.89"/>
    <m/>
    <n v="323.18581193481282"/>
    <n v="107.87938095628944"/>
    <n v="0"/>
    <n v="12135.788412000002"/>
    <n v="6042.5226840000005"/>
    <n v="0"/>
    <n v="16565.082702205993"/>
    <n v="5529.422398543189"/>
  </r>
  <r>
    <s v="Regular"/>
    <x v="3"/>
    <x v="3"/>
    <x v="6"/>
    <x v="7"/>
    <x v="2"/>
    <x v="0"/>
    <x v="2"/>
    <x v="4"/>
    <n v="0"/>
    <n v="0"/>
    <n v="145.27600000000001"/>
    <n v="58.110399999999998"/>
    <n v="145.27600000000001"/>
    <n v="58.110399999999998"/>
    <n v="0"/>
    <x v="0"/>
    <n v="0"/>
    <n v="0"/>
    <n v="30"/>
    <n v="74"/>
    <n v="0"/>
    <n v="236.77"/>
    <n v="117.89"/>
    <m/>
    <n v="323.18581193481282"/>
    <n v="107.87938095628944"/>
    <n v="0"/>
    <n v="13758.799408000001"/>
    <n v="6850.6350560000001"/>
    <n v="0"/>
    <n v="18780.456805856746"/>
    <n v="6268.9139791223615"/>
  </r>
  <r>
    <s v="Regular"/>
    <x v="3"/>
    <x v="3"/>
    <x v="6"/>
    <x v="7"/>
    <x v="2"/>
    <x v="0"/>
    <x v="2"/>
    <x v="5"/>
    <n v="0"/>
    <n v="0"/>
    <n v="41.22"/>
    <n v="16.488"/>
    <n v="41.22"/>
    <n v="16.488"/>
    <n v="0"/>
    <x v="0"/>
    <n v="0"/>
    <n v="0"/>
    <n v="30"/>
    <n v="74"/>
    <n v="0"/>
    <n v="236.77"/>
    <n v="117.89"/>
    <m/>
    <n v="323.18581193481282"/>
    <n v="107.87938095628944"/>
    <n v="0"/>
    <n v="3903.8637600000002"/>
    <n v="1943.7703199999999"/>
    <n v="0"/>
    <n v="5328.6876671811933"/>
    <n v="1778.7152332073001"/>
  </r>
  <r>
    <s v="Regular"/>
    <x v="3"/>
    <x v="3"/>
    <x v="6"/>
    <x v="7"/>
    <x v="2"/>
    <x v="0"/>
    <x v="2"/>
    <x v="6"/>
    <n v="0"/>
    <n v="0"/>
    <n v="14.337"/>
    <n v="5.7347999999999999"/>
    <n v="14.337"/>
    <n v="5.7347999999999999"/>
    <n v="0"/>
    <x v="0"/>
    <n v="0"/>
    <n v="0"/>
    <n v="30"/>
    <n v="74"/>
    <n v="0"/>
    <n v="236.77"/>
    <n v="117.89"/>
    <m/>
    <n v="323.18581193481282"/>
    <n v="107.87938095628944"/>
    <n v="0"/>
    <n v="1357.8285960000001"/>
    <n v="676.07557199999997"/>
    <n v="0"/>
    <n v="1853.4059942837646"/>
    <n v="618.6666739081287"/>
  </r>
  <r>
    <s v="Regular"/>
    <x v="3"/>
    <x v="3"/>
    <x v="6"/>
    <x v="7"/>
    <x v="2"/>
    <x v="0"/>
    <x v="2"/>
    <x v="7"/>
    <n v="0"/>
    <n v="0"/>
    <n v="1.601"/>
    <n v="0.64039999999999997"/>
    <n v="1.601"/>
    <n v="0.64039999999999997"/>
    <n v="0"/>
    <x v="0"/>
    <n v="0"/>
    <n v="0"/>
    <n v="30"/>
    <n v="74"/>
    <n v="0"/>
    <n v="236.77"/>
    <n v="117.89"/>
    <m/>
    <n v="323.18581193481282"/>
    <n v="107.87938095628944"/>
    <n v="0"/>
    <n v="151.62750800000001"/>
    <n v="75.496755999999991"/>
    <n v="0"/>
    <n v="206.96819396305412"/>
    <n v="69.085955564407755"/>
  </r>
  <r>
    <s v="Regular"/>
    <x v="3"/>
    <x v="3"/>
    <x v="6"/>
    <x v="7"/>
    <x v="2"/>
    <x v="0"/>
    <x v="2"/>
    <x v="8"/>
    <n v="0"/>
    <n v="0"/>
    <n v="1.242"/>
    <n v="0.49680000000000002"/>
    <n v="1.242"/>
    <n v="0.49680000000000002"/>
    <n v="0"/>
    <x v="0"/>
    <n v="0"/>
    <n v="0"/>
    <n v="30"/>
    <n v="74"/>
    <n v="0"/>
    <n v="236.77"/>
    <n v="117.89"/>
    <m/>
    <n v="323.18581193481282"/>
    <n v="107.87938095628944"/>
    <n v="0"/>
    <n v="117.62733600000001"/>
    <n v="58.567752000000006"/>
    <n v="0"/>
    <n v="160.55871136921502"/>
    <n v="53.594476459084596"/>
  </r>
  <r>
    <s v="Regular"/>
    <x v="3"/>
    <x v="3"/>
    <x v="6"/>
    <x v="7"/>
    <x v="2"/>
    <x v="0"/>
    <x v="2"/>
    <x v="9"/>
    <n v="0"/>
    <n v="0"/>
    <n v="0.64200000000000002"/>
    <n v="0.25679999999999997"/>
    <n v="0.64200000000000002"/>
    <n v="0.25679999999999997"/>
    <n v="0"/>
    <x v="0"/>
    <n v="0"/>
    <n v="0"/>
    <n v="30"/>
    <n v="74"/>
    <n v="0"/>
    <n v="236.77"/>
    <n v="117.89"/>
    <m/>
    <n v="323.18581193481282"/>
    <n v="107.87938095628944"/>
    <n v="0"/>
    <n v="60.802535999999996"/>
    <n v="30.274151999999997"/>
    <n v="0"/>
    <n v="82.994116504859917"/>
    <n v="27.703425029575126"/>
  </r>
  <r>
    <s v="Regular"/>
    <x v="3"/>
    <x v="3"/>
    <x v="6"/>
    <x v="7"/>
    <x v="2"/>
    <x v="0"/>
    <x v="2"/>
    <x v="10"/>
    <n v="0"/>
    <n v="0"/>
    <n v="3.4420000000000002"/>
    <n v="1.3768"/>
    <n v="3.4420000000000002"/>
    <n v="1.3768"/>
    <n v="0"/>
    <x v="0"/>
    <n v="0"/>
    <n v="0"/>
    <n v="30"/>
    <n v="74"/>
    <n v="0"/>
    <n v="236.77"/>
    <n v="117.89"/>
    <m/>
    <n v="323.18581193481282"/>
    <n v="107.87938095628944"/>
    <n v="0"/>
    <n v="325.984936"/>
    <n v="162.31095200000001"/>
    <n v="0"/>
    <n v="444.96222587185031"/>
    <n v="148.5283317006193"/>
  </r>
  <r>
    <s v="PROJETADO"/>
    <x v="3"/>
    <x v="3"/>
    <x v="6"/>
    <x v="7"/>
    <x v="2"/>
    <x v="0"/>
    <x v="2"/>
    <x v="11"/>
    <n v="0"/>
    <n v="0"/>
    <n v="3.4420000000000002"/>
    <n v="1.3768"/>
    <n v="3.4420000000000002"/>
    <n v="1.3768"/>
    <n v="0"/>
    <x v="0"/>
    <n v="0"/>
    <n v="0"/>
    <n v="30"/>
    <n v="74"/>
    <n v="0"/>
    <n v="236.77"/>
    <n v="117.89"/>
    <m/>
    <n v="323.18581193481282"/>
    <n v="107.87938095628944"/>
    <n v="0"/>
    <n v="325.984936"/>
    <n v="162.31095200000001"/>
    <n v="0"/>
    <n v="444.96222587185031"/>
    <n v="148.5283317006193"/>
  </r>
  <r>
    <s v="Regular"/>
    <x v="3"/>
    <x v="3"/>
    <x v="6"/>
    <x v="8"/>
    <x v="1"/>
    <x v="0"/>
    <x v="2"/>
    <x v="0"/>
    <n v="0"/>
    <n v="0"/>
    <n v="6.7000000000000004E-2"/>
    <n v="6.7000000000000004E-2"/>
    <n v="6.7000000000000004E-2"/>
    <n v="6.7000000000000004E-2"/>
    <n v="0"/>
    <x v="0"/>
    <n v="0"/>
    <n v="0"/>
    <n v="30"/>
    <n v="74"/>
    <n v="0"/>
    <n v="236.77"/>
    <n v="117.89"/>
    <m/>
    <n v="323.18581193481282"/>
    <n v="107.87938095628944"/>
    <n v="0"/>
    <n v="15.863590000000002"/>
    <n v="7.8986300000000007"/>
    <n v="0"/>
    <n v="21.653449399632461"/>
    <n v="7.2279185240713923"/>
  </r>
  <r>
    <s v="Regular"/>
    <x v="3"/>
    <x v="3"/>
    <x v="6"/>
    <x v="8"/>
    <x v="1"/>
    <x v="0"/>
    <x v="2"/>
    <x v="1"/>
    <n v="0"/>
    <n v="0"/>
    <n v="6.7000000000000004E-2"/>
    <n v="6.7000000000000004E-2"/>
    <n v="6.7000000000000004E-2"/>
    <n v="6.7000000000000004E-2"/>
    <n v="0"/>
    <x v="0"/>
    <n v="0"/>
    <n v="0"/>
    <n v="30"/>
    <n v="74"/>
    <n v="0"/>
    <n v="236.77"/>
    <n v="117.89"/>
    <m/>
    <n v="323.18581193481282"/>
    <n v="107.87938095628944"/>
    <n v="0"/>
    <n v="15.863590000000002"/>
    <n v="7.8986300000000007"/>
    <n v="0"/>
    <n v="21.653449399632461"/>
    <n v="7.2279185240713923"/>
  </r>
  <r>
    <s v="Regular"/>
    <x v="3"/>
    <x v="3"/>
    <x v="6"/>
    <x v="8"/>
    <x v="1"/>
    <x v="0"/>
    <x v="2"/>
    <x v="2"/>
    <n v="0"/>
    <n v="0"/>
    <n v="7.3999999999999996E-2"/>
    <n v="7.3999999999999996E-2"/>
    <n v="7.3999999999999996E-2"/>
    <n v="7.3999999999999996E-2"/>
    <n v="0"/>
    <x v="0"/>
    <n v="0"/>
    <n v="0"/>
    <n v="30"/>
    <n v="74"/>
    <n v="0"/>
    <n v="236.77"/>
    <n v="117.89"/>
    <m/>
    <n v="323.18581193481282"/>
    <n v="107.87938095628944"/>
    <n v="0"/>
    <n v="17.520980000000002"/>
    <n v="8.7238600000000002"/>
    <n v="0"/>
    <n v="23.915750083176146"/>
    <n v="7.9830741907654179"/>
  </r>
  <r>
    <s v="Regular"/>
    <x v="3"/>
    <x v="3"/>
    <x v="6"/>
    <x v="8"/>
    <x v="1"/>
    <x v="0"/>
    <x v="2"/>
    <x v="3"/>
    <n v="0"/>
    <n v="0"/>
    <n v="0.27600000000000002"/>
    <n v="0.27600000000000002"/>
    <n v="0.27600000000000002"/>
    <n v="0.27600000000000002"/>
    <n v="0"/>
    <x v="0"/>
    <n v="0"/>
    <n v="0"/>
    <n v="30"/>
    <n v="74"/>
    <n v="0"/>
    <n v="236.77"/>
    <n v="117.89"/>
    <m/>
    <n v="323.18581193481282"/>
    <n v="107.87938095628944"/>
    <n v="0"/>
    <n v="65.348520000000008"/>
    <n v="32.537640000000003"/>
    <n v="0"/>
    <n v="89.199284094008348"/>
    <n v="29.774709143935887"/>
  </r>
  <r>
    <s v="Regular"/>
    <x v="3"/>
    <x v="3"/>
    <x v="6"/>
    <x v="8"/>
    <x v="1"/>
    <x v="0"/>
    <x v="2"/>
    <x v="4"/>
    <n v="0"/>
    <n v="0"/>
    <n v="0.96899999999999997"/>
    <n v="0.96899999999999997"/>
    <n v="0.96899999999999997"/>
    <n v="0.96899999999999997"/>
    <n v="0"/>
    <x v="0"/>
    <n v="0"/>
    <n v="0"/>
    <n v="30"/>
    <n v="74"/>
    <n v="0"/>
    <n v="236.77"/>
    <n v="117.89"/>
    <m/>
    <n v="323.18581193481282"/>
    <n v="107.87938095628944"/>
    <n v="0"/>
    <n v="229.43012999999999"/>
    <n v="114.23541"/>
    <n v="0"/>
    <n v="313.16705176483362"/>
    <n v="104.53512014664446"/>
  </r>
  <r>
    <s v="Regular"/>
    <x v="3"/>
    <x v="3"/>
    <x v="6"/>
    <x v="8"/>
    <x v="1"/>
    <x v="0"/>
    <x v="2"/>
    <x v="5"/>
    <n v="0"/>
    <n v="0"/>
    <n v="1.0489999999999999"/>
    <n v="1.0489999999999999"/>
    <n v="1.0489999999999999"/>
    <n v="1.0489999999999999"/>
    <n v="0"/>
    <x v="0"/>
    <n v="0"/>
    <n v="0"/>
    <n v="30"/>
    <n v="74"/>
    <n v="0"/>
    <n v="236.77"/>
    <n v="117.89"/>
    <m/>
    <n v="323.18581193481282"/>
    <n v="107.87938095628944"/>
    <n v="0"/>
    <n v="248.37172999999999"/>
    <n v="123.66660999999999"/>
    <n v="0"/>
    <n v="339.02191671961862"/>
    <n v="113.16547062314761"/>
  </r>
  <r>
    <s v="Regular"/>
    <x v="3"/>
    <x v="3"/>
    <x v="6"/>
    <x v="8"/>
    <x v="1"/>
    <x v="0"/>
    <x v="2"/>
    <x v="6"/>
    <n v="0"/>
    <n v="0"/>
    <n v="1.677"/>
    <n v="1.677"/>
    <n v="1.677"/>
    <n v="1.677"/>
    <n v="0"/>
    <x v="0"/>
    <n v="0"/>
    <n v="0"/>
    <n v="30"/>
    <n v="74"/>
    <n v="0"/>
    <n v="236.77"/>
    <n v="117.89"/>
    <m/>
    <n v="323.18581193481282"/>
    <n v="107.87938095628944"/>
    <n v="0"/>
    <n v="397.06329000000005"/>
    <n v="197.70153000000002"/>
    <n v="0"/>
    <n v="541.98260661468112"/>
    <n v="180.91372186369739"/>
  </r>
  <r>
    <s v="Regular"/>
    <x v="3"/>
    <x v="3"/>
    <x v="6"/>
    <x v="8"/>
    <x v="1"/>
    <x v="0"/>
    <x v="2"/>
    <x v="7"/>
    <n v="0"/>
    <n v="0"/>
    <n v="1.605"/>
    <n v="1.605"/>
    <n v="1.605"/>
    <n v="1.605"/>
    <n v="0"/>
    <x v="0"/>
    <n v="0"/>
    <n v="0"/>
    <n v="30"/>
    <n v="74"/>
    <n v="0"/>
    <n v="236.77"/>
    <n v="117.89"/>
    <m/>
    <n v="323.18581193481282"/>
    <n v="107.87938095628944"/>
    <n v="0"/>
    <n v="380.01585"/>
    <n v="189.21344999999999"/>
    <n v="0"/>
    <n v="518.71322815537462"/>
    <n v="173.14640643484455"/>
  </r>
  <r>
    <s v="Regular"/>
    <x v="3"/>
    <x v="3"/>
    <x v="6"/>
    <x v="8"/>
    <x v="1"/>
    <x v="0"/>
    <x v="2"/>
    <x v="8"/>
    <n v="0"/>
    <n v="0"/>
    <n v="1.103"/>
    <n v="1.103"/>
    <n v="1.103"/>
    <n v="1.103"/>
    <n v="0"/>
    <x v="0"/>
    <n v="0"/>
    <n v="0"/>
    <n v="30"/>
    <n v="74"/>
    <n v="0"/>
    <n v="236.77"/>
    <n v="117.89"/>
    <m/>
    <n v="323.18581193481282"/>
    <n v="107.87938095628944"/>
    <n v="0"/>
    <n v="261.15731"/>
    <n v="130.03267"/>
    <n v="0"/>
    <n v="356.47395056409852"/>
    <n v="118.99095719478724"/>
  </r>
  <r>
    <s v="Regular"/>
    <x v="3"/>
    <x v="3"/>
    <x v="6"/>
    <x v="8"/>
    <x v="1"/>
    <x v="0"/>
    <x v="2"/>
    <x v="9"/>
    <n v="0"/>
    <n v="0"/>
    <n v="0.81"/>
    <n v="0.81"/>
    <n v="0.81"/>
    <n v="0.81"/>
    <n v="0"/>
    <x v="0"/>
    <n v="0"/>
    <n v="0"/>
    <n v="30"/>
    <n v="74"/>
    <n v="0"/>
    <n v="236.77"/>
    <n v="117.89"/>
    <m/>
    <n v="323.18581193481282"/>
    <n v="107.87938095628944"/>
    <n v="0"/>
    <n v="191.78370000000001"/>
    <n v="95.490900000000011"/>
    <n v="0"/>
    <n v="261.78050766719838"/>
    <n v="87.382298574594444"/>
  </r>
  <r>
    <s v="Regular"/>
    <x v="3"/>
    <x v="3"/>
    <x v="6"/>
    <x v="8"/>
    <x v="1"/>
    <x v="0"/>
    <x v="2"/>
    <x v="10"/>
    <n v="0"/>
    <n v="0"/>
    <n v="0.104"/>
    <n v="0.104"/>
    <n v="0.104"/>
    <n v="0.104"/>
    <n v="0"/>
    <x v="0"/>
    <n v="0"/>
    <n v="0"/>
    <n v="30"/>
    <n v="74"/>
    <n v="0"/>
    <n v="236.77"/>
    <n v="117.89"/>
    <m/>
    <n v="323.18581193481282"/>
    <n v="107.87938095628944"/>
    <n v="0"/>
    <n v="24.624079999999999"/>
    <n v="12.26056"/>
    <n v="0"/>
    <n v="33.611324441220532"/>
    <n v="11.2194556194541"/>
  </r>
  <r>
    <s v="PROJETADO"/>
    <x v="3"/>
    <x v="3"/>
    <x v="6"/>
    <x v="8"/>
    <x v="1"/>
    <x v="0"/>
    <x v="2"/>
    <x v="11"/>
    <n v="0"/>
    <n v="0"/>
    <n v="0.104"/>
    <n v="0.104"/>
    <n v="0.104"/>
    <n v="0.104"/>
    <n v="0"/>
    <x v="0"/>
    <n v="0"/>
    <n v="0"/>
    <n v="30"/>
    <n v="74"/>
    <n v="0"/>
    <n v="236.77"/>
    <n v="117.89"/>
    <m/>
    <n v="323.18581193481282"/>
    <n v="107.87938095628944"/>
    <n v="0"/>
    <n v="24.624079999999999"/>
    <n v="12.26056"/>
    <n v="0"/>
    <n v="33.611324441220532"/>
    <n v="11.2194556194541"/>
  </r>
  <r>
    <s v="Regular"/>
    <x v="3"/>
    <x v="3"/>
    <x v="6"/>
    <x v="8"/>
    <x v="2"/>
    <x v="0"/>
    <x v="2"/>
    <x v="0"/>
    <n v="0"/>
    <n v="0"/>
    <n v="4.2000000000000003E-2"/>
    <n v="1.6799999999999999E-2"/>
    <n v="4.2000000000000003E-2"/>
    <n v="1.6799999999999999E-2"/>
    <n v="0"/>
    <x v="0"/>
    <n v="0"/>
    <n v="0"/>
    <n v="30"/>
    <n v="74"/>
    <n v="0"/>
    <n v="236.77"/>
    <n v="117.89"/>
    <m/>
    <n v="323.18581193481282"/>
    <n v="107.87938095628944"/>
    <n v="0"/>
    <n v="3.9777359999999997"/>
    <n v="1.9805519999999999"/>
    <n v="0"/>
    <n v="5.4295216405048548"/>
    <n v="1.8123736000656625"/>
  </r>
  <r>
    <s v="Regular"/>
    <x v="3"/>
    <x v="3"/>
    <x v="6"/>
    <x v="8"/>
    <x v="2"/>
    <x v="0"/>
    <x v="2"/>
    <x v="1"/>
    <n v="0"/>
    <n v="0"/>
    <n v="3.3000000000000002E-2"/>
    <n v="1.32E-2"/>
    <n v="3.3000000000000002E-2"/>
    <n v="1.32E-2"/>
    <n v="0"/>
    <x v="0"/>
    <n v="0"/>
    <n v="0"/>
    <n v="30"/>
    <n v="74"/>
    <n v="0"/>
    <n v="236.77"/>
    <n v="117.89"/>
    <m/>
    <n v="323.18581193481282"/>
    <n v="107.87938095628944"/>
    <n v="0"/>
    <n v="3.1253640000000003"/>
    <n v="1.5561480000000001"/>
    <n v="0"/>
    <n v="4.2660527175395293"/>
    <n v="1.4240078286230207"/>
  </r>
  <r>
    <s v="Regular"/>
    <x v="3"/>
    <x v="3"/>
    <x v="6"/>
    <x v="8"/>
    <x v="2"/>
    <x v="0"/>
    <x v="2"/>
    <x v="2"/>
    <n v="0"/>
    <n v="0"/>
    <n v="2.5999999999999999E-2"/>
    <n v="1.04E-2"/>
    <n v="2.5999999999999999E-2"/>
    <n v="1.04E-2"/>
    <n v="0"/>
    <x v="0"/>
    <n v="0"/>
    <n v="0"/>
    <n v="30"/>
    <n v="74"/>
    <n v="0"/>
    <n v="236.77"/>
    <n v="117.89"/>
    <m/>
    <n v="323.18581193481282"/>
    <n v="107.87938095628944"/>
    <n v="0"/>
    <n v="2.4624079999999999"/>
    <n v="1.226056"/>
    <n v="0"/>
    <n v="3.3611324441220534"/>
    <n v="1.1219455619454102"/>
  </r>
  <r>
    <s v="Regular"/>
    <x v="3"/>
    <x v="3"/>
    <x v="6"/>
    <x v="8"/>
    <x v="2"/>
    <x v="0"/>
    <x v="2"/>
    <x v="3"/>
    <n v="0"/>
    <n v="0"/>
    <n v="0.71699999999999997"/>
    <n v="0.2868"/>
    <n v="0.71699999999999997"/>
    <n v="0.2868"/>
    <n v="0"/>
    <x v="0"/>
    <n v="0"/>
    <n v="0"/>
    <n v="30"/>
    <n v="74"/>
    <n v="0"/>
    <n v="236.77"/>
    <n v="117.89"/>
    <m/>
    <n v="323.18581193481282"/>
    <n v="107.87938095628944"/>
    <n v="0"/>
    <n v="67.905636000000001"/>
    <n v="33.810851999999997"/>
    <n v="0"/>
    <n v="92.689690862904314"/>
    <n v="30.93980645826381"/>
  </r>
  <r>
    <s v="Regular"/>
    <x v="3"/>
    <x v="3"/>
    <x v="6"/>
    <x v="8"/>
    <x v="2"/>
    <x v="0"/>
    <x v="2"/>
    <x v="4"/>
    <n v="0"/>
    <n v="0"/>
    <n v="1.984"/>
    <n v="0.79359999999999997"/>
    <n v="1.984"/>
    <n v="0.79359999999999997"/>
    <n v="0"/>
    <x v="0"/>
    <n v="0"/>
    <n v="0"/>
    <n v="30"/>
    <n v="74"/>
    <n v="0"/>
    <n v="236.77"/>
    <n v="117.89"/>
    <m/>
    <n v="323.18581193481282"/>
    <n v="107.87938095628944"/>
    <n v="0"/>
    <n v="187.90067200000001"/>
    <n v="93.557503999999994"/>
    <n v="0"/>
    <n v="256.48026035146745"/>
    <n v="85.613076726911288"/>
  </r>
  <r>
    <s v="Regular"/>
    <x v="3"/>
    <x v="3"/>
    <x v="6"/>
    <x v="8"/>
    <x v="2"/>
    <x v="0"/>
    <x v="2"/>
    <x v="5"/>
    <n v="0"/>
    <n v="0"/>
    <n v="2.4489999999999998"/>
    <n v="0.97960000000000003"/>
    <n v="2.4489999999999998"/>
    <n v="0.97960000000000003"/>
    <n v="0"/>
    <x v="0"/>
    <n v="0"/>
    <n v="0"/>
    <n v="30"/>
    <n v="74"/>
    <n v="0"/>
    <n v="236.77"/>
    <n v="117.89"/>
    <m/>
    <n v="323.18581193481282"/>
    <n v="107.87938095628944"/>
    <n v="0"/>
    <n v="231.93989200000001"/>
    <n v="115.485044"/>
    <n v="0"/>
    <n v="316.59282137134267"/>
    <n v="105.67864158478113"/>
  </r>
  <r>
    <s v="Regular"/>
    <x v="3"/>
    <x v="3"/>
    <x v="6"/>
    <x v="8"/>
    <x v="2"/>
    <x v="0"/>
    <x v="2"/>
    <x v="6"/>
    <n v="0"/>
    <n v="0"/>
    <n v="3.2210000000000001"/>
    <n v="1.2884"/>
    <n v="3.2210000000000001"/>
    <n v="1.2884"/>
    <n v="0"/>
    <x v="0"/>
    <n v="0"/>
    <n v="0"/>
    <n v="30"/>
    <n v="74"/>
    <n v="0"/>
    <n v="236.77"/>
    <n v="117.89"/>
    <m/>
    <n v="323.18581193481282"/>
    <n v="107.87938095628944"/>
    <n v="0"/>
    <n v="305.05446799999999"/>
    <n v="151.889476"/>
    <n v="0"/>
    <n v="416.39260009681283"/>
    <n v="138.99179442408331"/>
  </r>
  <r>
    <s v="Regular"/>
    <x v="3"/>
    <x v="3"/>
    <x v="6"/>
    <x v="8"/>
    <x v="2"/>
    <x v="0"/>
    <x v="2"/>
    <x v="7"/>
    <n v="0"/>
    <n v="0"/>
    <n v="2.9910000000000001"/>
    <n v="1.1963999999999999"/>
    <n v="2.9910000000000001"/>
    <n v="1.1963999999999999"/>
    <n v="0"/>
    <x v="0"/>
    <n v="0"/>
    <n v="0"/>
    <n v="30"/>
    <n v="74"/>
    <n v="0"/>
    <n v="236.77"/>
    <n v="117.89"/>
    <m/>
    <n v="323.18581193481282"/>
    <n v="107.87938095628944"/>
    <n v="0"/>
    <n v="283.27162799999996"/>
    <n v="141.04359599999998"/>
    <n v="0"/>
    <n v="386.65950539881004"/>
    <n v="129.06689137610468"/>
  </r>
  <r>
    <s v="Regular"/>
    <x v="3"/>
    <x v="3"/>
    <x v="6"/>
    <x v="8"/>
    <x v="2"/>
    <x v="0"/>
    <x v="2"/>
    <x v="8"/>
    <n v="0"/>
    <n v="0"/>
    <n v="2.02"/>
    <n v="0.80800000000000005"/>
    <n v="2.02"/>
    <n v="0.80800000000000005"/>
    <n v="0"/>
    <x v="0"/>
    <n v="0"/>
    <n v="0"/>
    <n v="30"/>
    <n v="74"/>
    <n v="0"/>
    <n v="236.77"/>
    <n v="117.89"/>
    <m/>
    <n v="323.18581193481282"/>
    <n v="107.87938095628944"/>
    <n v="0"/>
    <n v="191.31016000000002"/>
    <n v="95.255120000000005"/>
    <n v="0"/>
    <n v="261.13413604332879"/>
    <n v="87.166539812681876"/>
  </r>
  <r>
    <s v="Regular"/>
    <x v="3"/>
    <x v="3"/>
    <x v="6"/>
    <x v="8"/>
    <x v="2"/>
    <x v="0"/>
    <x v="2"/>
    <x v="9"/>
    <n v="0"/>
    <n v="0"/>
    <n v="1.109"/>
    <n v="0.44359999999999999"/>
    <n v="1.109"/>
    <n v="0.44359999999999999"/>
    <n v="0"/>
    <x v="0"/>
    <n v="0"/>
    <n v="0"/>
    <n v="30"/>
    <n v="74"/>
    <n v="0"/>
    <n v="236.77"/>
    <n v="117.89"/>
    <m/>
    <n v="323.18581193481282"/>
    <n v="107.87938095628944"/>
    <n v="0"/>
    <n v="105.031172"/>
    <n v="52.296003999999996"/>
    <n v="0"/>
    <n v="143.36522617428295"/>
    <n v="47.855293392209994"/>
  </r>
  <r>
    <s v="Regular"/>
    <x v="3"/>
    <x v="3"/>
    <x v="6"/>
    <x v="8"/>
    <x v="2"/>
    <x v="0"/>
    <x v="2"/>
    <x v="10"/>
    <n v="0"/>
    <n v="0"/>
    <n v="0.14799999999999999"/>
    <n v="5.9200000000000003E-2"/>
    <n v="0.14799999999999999"/>
    <n v="5.9200000000000003E-2"/>
    <n v="0"/>
    <x v="0"/>
    <n v="0"/>
    <n v="0"/>
    <n v="30"/>
    <n v="74"/>
    <n v="0"/>
    <n v="236.77"/>
    <n v="117.89"/>
    <m/>
    <n v="323.18581193481282"/>
    <n v="107.87938095628944"/>
    <n v="0"/>
    <n v="14.016784000000001"/>
    <n v="6.979088"/>
    <n v="0"/>
    <n v="19.13260006654092"/>
    <n v="6.3864593526123352"/>
  </r>
  <r>
    <s v="PROJETADO"/>
    <x v="3"/>
    <x v="3"/>
    <x v="6"/>
    <x v="8"/>
    <x v="2"/>
    <x v="0"/>
    <x v="2"/>
    <x v="11"/>
    <n v="0"/>
    <n v="0"/>
    <n v="0.14799999999999999"/>
    <n v="5.9200000000000003E-2"/>
    <n v="0.14799999999999999"/>
    <n v="5.9200000000000003E-2"/>
    <n v="0"/>
    <x v="0"/>
    <n v="0"/>
    <n v="0"/>
    <n v="30"/>
    <n v="74"/>
    <n v="0"/>
    <n v="236.77"/>
    <n v="117.89"/>
    <m/>
    <n v="323.18581193481282"/>
    <n v="107.87938095628944"/>
    <n v="0"/>
    <n v="14.016784000000001"/>
    <n v="6.979088"/>
    <n v="0"/>
    <n v="19.13260006654092"/>
    <n v="6.3864593526123352"/>
  </r>
  <r>
    <s v="Regular"/>
    <x v="3"/>
    <x v="3"/>
    <x v="6"/>
    <x v="0"/>
    <x v="0"/>
    <x v="0"/>
    <x v="2"/>
    <x v="0"/>
    <n v="0"/>
    <n v="0"/>
    <n v="1132.354"/>
    <n v="1132.354"/>
    <n v="1132.354"/>
    <n v="1132.354"/>
    <n v="2356"/>
    <x v="0"/>
    <n v="0"/>
    <n v="0"/>
    <n v="30"/>
    <n v="74"/>
    <n v="0"/>
    <n v="236.77"/>
    <n v="117.89"/>
    <m/>
    <n v="323.18581193481282"/>
    <n v="107.87938095628944"/>
    <n v="0"/>
    <n v="268107.45658"/>
    <n v="133493.21306000001"/>
    <n v="0"/>
    <n v="365960.74688763305"/>
    <n v="122157.64854337818"/>
  </r>
  <r>
    <s v="Sistema de Compensação"/>
    <x v="3"/>
    <x v="3"/>
    <x v="6"/>
    <x v="0"/>
    <x v="0"/>
    <x v="0"/>
    <x v="2"/>
    <x v="0"/>
    <n v="0"/>
    <n v="0"/>
    <n v="17.155000000000001"/>
    <n v="17.155000000000001"/>
    <n v="17.155000000000001"/>
    <n v="17.155000000000001"/>
    <n v="16"/>
    <x v="0"/>
    <n v="0"/>
    <n v="0"/>
    <n v="30"/>
    <n v="74"/>
    <n v="0"/>
    <n v="236.77"/>
    <n v="117.89"/>
    <m/>
    <n v="323.18581193481282"/>
    <n v="107.87938095628944"/>
    <n v="0"/>
    <n v="4061.7893500000005"/>
    <n v="2022.4029500000001"/>
    <n v="0"/>
    <n v="5544.2526037417147"/>
    <n v="1850.6707803051454"/>
  </r>
  <r>
    <s v="Regular"/>
    <x v="3"/>
    <x v="3"/>
    <x v="6"/>
    <x v="0"/>
    <x v="0"/>
    <x v="0"/>
    <x v="2"/>
    <x v="1"/>
    <n v="0"/>
    <n v="0"/>
    <n v="1150.972"/>
    <n v="1150.972"/>
    <n v="1150.972"/>
    <n v="1150.972"/>
    <n v="2375"/>
    <x v="0"/>
    <n v="0"/>
    <n v="0"/>
    <n v="30"/>
    <n v="74"/>
    <n v="0"/>
    <n v="236.77"/>
    <n v="117.89"/>
    <m/>
    <n v="323.18581193481282"/>
    <n v="107.87938095628944"/>
    <n v="0"/>
    <n v="272515.64043999999"/>
    <n v="135688.08908000001"/>
    <n v="0"/>
    <n v="371977.82033423538"/>
    <n v="124166.14685802236"/>
  </r>
  <r>
    <s v="Sistema de Compensação"/>
    <x v="3"/>
    <x v="3"/>
    <x v="6"/>
    <x v="0"/>
    <x v="0"/>
    <x v="0"/>
    <x v="2"/>
    <x v="1"/>
    <n v="0"/>
    <n v="0"/>
    <n v="22.286000000000001"/>
    <n v="22.286000000000001"/>
    <n v="22.286000000000001"/>
    <n v="22.286000000000001"/>
    <n v="15"/>
    <x v="0"/>
    <n v="0"/>
    <n v="0"/>
    <n v="30"/>
    <n v="74"/>
    <n v="0"/>
    <n v="236.77"/>
    <n v="117.89"/>
    <m/>
    <n v="323.18581193481282"/>
    <n v="107.87938095628944"/>
    <n v="0"/>
    <n v="5276.6562200000008"/>
    <n v="2627.2965400000003"/>
    <n v="0"/>
    <n v="7202.5190047792394"/>
    <n v="2404.1998839918665"/>
  </r>
  <r>
    <s v="Regular"/>
    <x v="3"/>
    <x v="3"/>
    <x v="6"/>
    <x v="0"/>
    <x v="0"/>
    <x v="0"/>
    <x v="2"/>
    <x v="2"/>
    <n v="0"/>
    <n v="0"/>
    <n v="1227.769"/>
    <n v="1227.769"/>
    <n v="1227.769"/>
    <n v="1227.769"/>
    <n v="2374"/>
    <x v="0"/>
    <n v="0"/>
    <n v="0"/>
    <n v="30"/>
    <n v="74"/>
    <n v="0"/>
    <n v="236.77"/>
    <n v="117.89"/>
    <m/>
    <n v="323.18581193481282"/>
    <n v="107.87938095628944"/>
    <n v="0"/>
    <n v="290698.86613000004"/>
    <n v="144741.68741000001"/>
    <n v="0"/>
    <n v="396797.52113339322"/>
    <n v="132450.95967732253"/>
  </r>
  <r>
    <s v="Sistema de Compensação"/>
    <x v="3"/>
    <x v="3"/>
    <x v="6"/>
    <x v="0"/>
    <x v="0"/>
    <x v="0"/>
    <x v="2"/>
    <x v="2"/>
    <n v="0"/>
    <n v="0"/>
    <n v="27.45"/>
    <n v="27.45"/>
    <n v="27.45"/>
    <n v="27.45"/>
    <n v="17"/>
    <x v="0"/>
    <n v="0"/>
    <n v="0"/>
    <n v="30"/>
    <n v="74"/>
    <n v="0"/>
    <n v="236.77"/>
    <n v="117.89"/>
    <m/>
    <n v="323.18581193481282"/>
    <n v="107.87938095628944"/>
    <n v="0"/>
    <n v="6499.3365000000003"/>
    <n v="3236.0805"/>
    <n v="0"/>
    <n v="8871.4505376106117"/>
    <n v="2961.289007250145"/>
  </r>
  <r>
    <s v="Regular"/>
    <x v="3"/>
    <x v="3"/>
    <x v="6"/>
    <x v="0"/>
    <x v="0"/>
    <x v="0"/>
    <x v="2"/>
    <x v="3"/>
    <n v="0"/>
    <n v="0"/>
    <n v="1242.847"/>
    <n v="1242.847"/>
    <n v="1242.847"/>
    <n v="1242.847"/>
    <n v="2373"/>
    <x v="0"/>
    <n v="0"/>
    <n v="0"/>
    <n v="30"/>
    <n v="74"/>
    <n v="0"/>
    <n v="236.77"/>
    <n v="117.89"/>
    <m/>
    <n v="323.18581193481282"/>
    <n v="107.87938095628944"/>
    <n v="0"/>
    <n v="294268.88419000001"/>
    <n v="146519.23282999999"/>
    <n v="0"/>
    <n v="401670.5168057463"/>
    <n v="134077.56498338145"/>
  </r>
  <r>
    <s v="Sistema de Compensação"/>
    <x v="3"/>
    <x v="3"/>
    <x v="6"/>
    <x v="0"/>
    <x v="0"/>
    <x v="0"/>
    <x v="2"/>
    <x v="3"/>
    <n v="0"/>
    <n v="0"/>
    <n v="10.256"/>
    <n v="10.256"/>
    <n v="10.256"/>
    <n v="10.256"/>
    <n v="17"/>
    <x v="0"/>
    <n v="0"/>
    <n v="0"/>
    <n v="30"/>
    <n v="74"/>
    <n v="0"/>
    <n v="236.77"/>
    <n v="117.89"/>
    <m/>
    <n v="323.18581193481282"/>
    <n v="107.87938095628944"/>
    <n v="0"/>
    <n v="2428.3131200000003"/>
    <n v="1209.0798400000001"/>
    <n v="0"/>
    <n v="3314.5936872034404"/>
    <n v="1106.4109310877045"/>
  </r>
  <r>
    <s v="Regular"/>
    <x v="3"/>
    <x v="3"/>
    <x v="6"/>
    <x v="0"/>
    <x v="0"/>
    <x v="0"/>
    <x v="2"/>
    <x v="4"/>
    <n v="0"/>
    <n v="0"/>
    <n v="1551.222"/>
    <n v="1551.222"/>
    <n v="1551.222"/>
    <n v="1551.222"/>
    <n v="2371"/>
    <x v="0"/>
    <n v="0"/>
    <n v="0"/>
    <n v="30"/>
    <n v="74"/>
    <n v="0"/>
    <n v="236.77"/>
    <n v="117.89"/>
    <m/>
    <n v="323.18581193481282"/>
    <n v="107.87938095628944"/>
    <n v="0"/>
    <n v="367282.83293999999"/>
    <n v="182873.56158000001"/>
    <n v="0"/>
    <n v="501332.94156114419"/>
    <n v="167344.8690857772"/>
  </r>
  <r>
    <s v="Refaturamento - Regular"/>
    <x v="3"/>
    <x v="3"/>
    <x v="6"/>
    <x v="0"/>
    <x v="0"/>
    <x v="0"/>
    <x v="2"/>
    <x v="4"/>
    <n v="0"/>
    <n v="0"/>
    <n v="-71.263000000000005"/>
    <n v="-71.263000000000005"/>
    <n v="-71.263000000000005"/>
    <n v="-71.263000000000005"/>
    <n v="0"/>
    <x v="0"/>
    <n v="0"/>
    <n v="0"/>
    <n v="30"/>
    <n v="74"/>
    <n v="0"/>
    <n v="236.77"/>
    <n v="117.89"/>
    <m/>
    <n v="323.18581193481282"/>
    <n v="107.87938095628944"/>
    <n v="0"/>
    <n v="-16872.94051"/>
    <n v="-8401.1950699999998"/>
    <n v="0"/>
    <n v="-23031.190515910566"/>
    <n v="-7687.8083250880545"/>
  </r>
  <r>
    <s v="Sistema de Compensação"/>
    <x v="3"/>
    <x v="3"/>
    <x v="6"/>
    <x v="0"/>
    <x v="0"/>
    <x v="0"/>
    <x v="2"/>
    <x v="4"/>
    <n v="0"/>
    <n v="0"/>
    <n v="15.025"/>
    <n v="15.025"/>
    <n v="15.025"/>
    <n v="15.025"/>
    <n v="18"/>
    <x v="0"/>
    <n v="0"/>
    <n v="0"/>
    <n v="30"/>
    <n v="74"/>
    <n v="0"/>
    <n v="236.77"/>
    <n v="117.89"/>
    <m/>
    <n v="323.18581193481282"/>
    <n v="107.87938095628944"/>
    <n v="0"/>
    <n v="3557.4692500000001"/>
    <n v="1771.2972500000001"/>
    <n v="0"/>
    <n v="4855.866824320563"/>
    <n v="1620.8876988682489"/>
  </r>
  <r>
    <s v="Regular"/>
    <x v="3"/>
    <x v="3"/>
    <x v="6"/>
    <x v="0"/>
    <x v="0"/>
    <x v="0"/>
    <x v="2"/>
    <x v="5"/>
    <n v="0"/>
    <n v="0"/>
    <n v="1418.7260000000001"/>
    <n v="1418.7260000000001"/>
    <n v="1418.7260000000001"/>
    <n v="1418.7260000000001"/>
    <n v="2364"/>
    <x v="0"/>
    <n v="0"/>
    <n v="0"/>
    <n v="30"/>
    <n v="74"/>
    <n v="0"/>
    <n v="236.77"/>
    <n v="117.89"/>
    <m/>
    <n v="323.18581193481282"/>
    <n v="107.87938095628944"/>
    <n v="0"/>
    <n v="335911.75502000004"/>
    <n v="167253.60814000003"/>
    <n v="0"/>
    <n v="458512.11422302929"/>
    <n v="153051.2826265927"/>
  </r>
  <r>
    <s v="Sistema de Compensação"/>
    <x v="3"/>
    <x v="3"/>
    <x v="6"/>
    <x v="0"/>
    <x v="0"/>
    <x v="0"/>
    <x v="2"/>
    <x v="5"/>
    <n v="0"/>
    <n v="0"/>
    <n v="24.189"/>
    <n v="24.189"/>
    <n v="24.189"/>
    <n v="24.189"/>
    <n v="23"/>
    <x v="0"/>
    <n v="0"/>
    <n v="0"/>
    <n v="30"/>
    <n v="74"/>
    <n v="0"/>
    <n v="236.77"/>
    <n v="117.89"/>
    <m/>
    <n v="323.18581193481282"/>
    <n v="107.87938095628944"/>
    <n v="0"/>
    <n v="5727.2295300000005"/>
    <n v="2851.6412100000002"/>
    <n v="0"/>
    <n v="7817.5416048911875"/>
    <n v="2609.4943459516853"/>
  </r>
  <r>
    <s v="Regular"/>
    <x v="3"/>
    <x v="3"/>
    <x v="6"/>
    <x v="0"/>
    <x v="0"/>
    <x v="0"/>
    <x v="2"/>
    <x v="6"/>
    <n v="0"/>
    <n v="0"/>
    <n v="1390.1510000000001"/>
    <n v="1390.1510000000001"/>
    <n v="1390.1510000000001"/>
    <n v="1390.1510000000001"/>
    <n v="2353"/>
    <x v="0"/>
    <n v="0"/>
    <n v="0"/>
    <n v="30"/>
    <n v="74"/>
    <n v="0"/>
    <n v="236.77"/>
    <n v="117.89"/>
    <m/>
    <n v="323.18581193481282"/>
    <n v="107.87938095628944"/>
    <n v="0"/>
    <n v="329146.05227000004"/>
    <n v="163884.90139000001"/>
    <n v="0"/>
    <n v="449277.07964699197"/>
    <n v="149968.62931576674"/>
  </r>
  <r>
    <s v="Sistema de Compensação"/>
    <x v="3"/>
    <x v="3"/>
    <x v="6"/>
    <x v="0"/>
    <x v="0"/>
    <x v="0"/>
    <x v="2"/>
    <x v="6"/>
    <n v="0"/>
    <n v="0"/>
    <n v="70.018000000000001"/>
    <n v="70.018000000000001"/>
    <n v="70.018000000000001"/>
    <n v="70.018000000000001"/>
    <n v="25"/>
    <x v="0"/>
    <n v="0"/>
    <n v="0"/>
    <n v="30"/>
    <n v="74"/>
    <n v="0"/>
    <n v="236.77"/>
    <n v="117.89"/>
    <m/>
    <n v="323.18581193481282"/>
    <n v="107.87938095628944"/>
    <n v="0"/>
    <n v="16578.16186"/>
    <n v="8254.42202"/>
    <n v="0"/>
    <n v="22628.824180051724"/>
    <n v="7553.4984957974739"/>
  </r>
  <r>
    <s v="Regular"/>
    <x v="3"/>
    <x v="3"/>
    <x v="6"/>
    <x v="0"/>
    <x v="0"/>
    <x v="0"/>
    <x v="2"/>
    <x v="7"/>
    <n v="0"/>
    <n v="0"/>
    <n v="1138.578"/>
    <n v="1138.578"/>
    <n v="1138.578"/>
    <n v="1138.578"/>
    <n v="2330"/>
    <x v="0"/>
    <n v="0"/>
    <n v="0"/>
    <n v="30"/>
    <n v="74"/>
    <n v="0"/>
    <n v="236.77"/>
    <n v="117.89"/>
    <m/>
    <n v="323.18581193481282"/>
    <n v="107.87938095628944"/>
    <n v="0"/>
    <n v="269581.11306"/>
    <n v="134226.96041999999"/>
    <n v="0"/>
    <n v="367972.2553811153"/>
    <n v="122829.08981045011"/>
  </r>
  <r>
    <s v="Sistema de Compensação"/>
    <x v="3"/>
    <x v="3"/>
    <x v="6"/>
    <x v="0"/>
    <x v="0"/>
    <x v="0"/>
    <x v="2"/>
    <x v="7"/>
    <n v="0"/>
    <n v="0"/>
    <n v="37.817"/>
    <n v="37.817"/>
    <n v="37.817"/>
    <n v="37.817"/>
    <n v="31"/>
    <x v="0"/>
    <n v="0"/>
    <n v="0"/>
    <n v="30"/>
    <n v="74"/>
    <n v="0"/>
    <n v="236.77"/>
    <n v="117.89"/>
    <m/>
    <n v="323.18581193481282"/>
    <n v="107.87938095628944"/>
    <n v="0"/>
    <n v="8953.93109"/>
    <n v="4458.2461300000004"/>
    <n v="0"/>
    <n v="12221.917849938816"/>
    <n v="4079.6745496239978"/>
  </r>
  <r>
    <s v="Regular"/>
    <x v="3"/>
    <x v="3"/>
    <x v="6"/>
    <x v="0"/>
    <x v="0"/>
    <x v="0"/>
    <x v="2"/>
    <x v="8"/>
    <n v="0"/>
    <n v="0"/>
    <n v="951.43399999999997"/>
    <n v="951.43399999999997"/>
    <n v="951.43399999999997"/>
    <n v="951.43399999999997"/>
    <n v="2318"/>
    <x v="0"/>
    <n v="0"/>
    <n v="0"/>
    <n v="30"/>
    <n v="74"/>
    <n v="0"/>
    <n v="236.77"/>
    <n v="117.89"/>
    <m/>
    <n v="323.18581193481282"/>
    <n v="107.87938095628944"/>
    <n v="0"/>
    <n v="225271.02817999999"/>
    <n v="112164.55425999999"/>
    <n v="0"/>
    <n v="307489.96979238669"/>
    <n v="102640.11094076629"/>
  </r>
  <r>
    <s v="Sistema de Compensação"/>
    <x v="3"/>
    <x v="3"/>
    <x v="6"/>
    <x v="0"/>
    <x v="0"/>
    <x v="0"/>
    <x v="2"/>
    <x v="8"/>
    <n v="0"/>
    <n v="0"/>
    <n v="45.685000000000002"/>
    <n v="45.685000000000002"/>
    <n v="45.685000000000002"/>
    <n v="45.685000000000002"/>
    <n v="37"/>
    <x v="0"/>
    <n v="0"/>
    <n v="0"/>
    <n v="30"/>
    <n v="74"/>
    <n v="0"/>
    <n v="236.77"/>
    <n v="117.89"/>
    <m/>
    <n v="323.18581193481282"/>
    <n v="107.87938095628944"/>
    <n v="0"/>
    <n v="10816.837450000001"/>
    <n v="5385.80465"/>
    <n v="0"/>
    <n v="14764.743818241925"/>
    <n v="4928.4695189880831"/>
  </r>
  <r>
    <s v="Regular"/>
    <x v="3"/>
    <x v="3"/>
    <x v="6"/>
    <x v="0"/>
    <x v="0"/>
    <x v="0"/>
    <x v="2"/>
    <x v="9"/>
    <n v="0"/>
    <n v="0"/>
    <n v="934.24300000000005"/>
    <n v="934.24300000000005"/>
    <n v="934.24300000000005"/>
    <n v="934.24300000000005"/>
    <n v="2318"/>
    <x v="0"/>
    <n v="0"/>
    <n v="0"/>
    <n v="30"/>
    <n v="74"/>
    <n v="0"/>
    <n v="236.77"/>
    <n v="117.89"/>
    <m/>
    <n v="323.18581193481282"/>
    <n v="107.87938095628944"/>
    <n v="0"/>
    <n v="221200.71511000002"/>
    <n v="110137.90727000001"/>
    <n v="0"/>
    <n v="301934.08249941532"/>
    <n v="100785.55650274672"/>
  </r>
  <r>
    <s v="Sistema de Compensação"/>
    <x v="3"/>
    <x v="3"/>
    <x v="6"/>
    <x v="0"/>
    <x v="0"/>
    <x v="0"/>
    <x v="2"/>
    <x v="9"/>
    <n v="0"/>
    <n v="0"/>
    <n v="29.890999999999998"/>
    <n v="29.890999999999998"/>
    <n v="29.890999999999998"/>
    <n v="29.890999999999998"/>
    <n v="41"/>
    <x v="0"/>
    <n v="0"/>
    <n v="0"/>
    <n v="30"/>
    <n v="74"/>
    <n v="0"/>
    <n v="236.77"/>
    <n v="117.89"/>
    <m/>
    <n v="323.18581193481282"/>
    <n v="107.87938095628944"/>
    <n v="0"/>
    <n v="7077.2920699999995"/>
    <n v="3523.8499899999997"/>
    <n v="0"/>
    <n v="9660.347104543489"/>
    <n v="3224.6225761644473"/>
  </r>
  <r>
    <s v="Regular"/>
    <x v="3"/>
    <x v="3"/>
    <x v="6"/>
    <x v="0"/>
    <x v="0"/>
    <x v="0"/>
    <x v="2"/>
    <x v="10"/>
    <n v="0"/>
    <n v="0"/>
    <n v="938.06500000000005"/>
    <n v="938.06500000000005"/>
    <n v="938.06500000000005"/>
    <n v="938.06500000000005"/>
    <n v="2303"/>
    <x v="0"/>
    <n v="0"/>
    <n v="0"/>
    <n v="30"/>
    <n v="74"/>
    <n v="0"/>
    <n v="236.77"/>
    <n v="117.89"/>
    <m/>
    <n v="323.18581193481282"/>
    <n v="107.87938095628944"/>
    <n v="0"/>
    <n v="222105.65005000003"/>
    <n v="110588.48285"/>
    <n v="0"/>
    <n v="303169.29867263022"/>
    <n v="101197.87149676165"/>
  </r>
  <r>
    <s v="Refaturamento - Regular"/>
    <x v="3"/>
    <x v="3"/>
    <x v="6"/>
    <x v="0"/>
    <x v="0"/>
    <x v="0"/>
    <x v="2"/>
    <x v="10"/>
    <n v="0"/>
    <n v="0"/>
    <n v="-0.17199999999999999"/>
    <n v="-0.17199999999999999"/>
    <n v="-0.17199999999999999"/>
    <n v="-0.17199999999999999"/>
    <n v="0"/>
    <x v="0"/>
    <n v="0"/>
    <n v="0"/>
    <n v="30"/>
    <n v="74"/>
    <n v="0"/>
    <n v="236.77"/>
    <n v="117.89"/>
    <m/>
    <n v="323.18581193481282"/>
    <n v="107.87938095628944"/>
    <n v="0"/>
    <n v="-40.724440000000001"/>
    <n v="-20.277079999999998"/>
    <n v="0"/>
    <n v="-55.587959652787802"/>
    <n v="-18.555253524481781"/>
  </r>
  <r>
    <s v="Sistema de Compensação"/>
    <x v="3"/>
    <x v="3"/>
    <x v="6"/>
    <x v="0"/>
    <x v="0"/>
    <x v="0"/>
    <x v="2"/>
    <x v="10"/>
    <n v="0"/>
    <n v="0"/>
    <n v="35.591999999999999"/>
    <n v="35.591999999999999"/>
    <n v="35.591999999999999"/>
    <n v="35.591999999999999"/>
    <n v="49"/>
    <x v="0"/>
    <n v="0"/>
    <n v="0"/>
    <n v="30"/>
    <n v="74"/>
    <n v="0"/>
    <n v="236.77"/>
    <n v="117.89"/>
    <m/>
    <n v="323.18581193481282"/>
    <n v="107.87938095628944"/>
    <n v="0"/>
    <n v="8427.1178400000008"/>
    <n v="4195.9408800000001"/>
    <n v="0"/>
    <n v="11502.829418383857"/>
    <n v="3839.6429269962537"/>
  </r>
  <r>
    <s v="PROJETADO"/>
    <x v="3"/>
    <x v="3"/>
    <x v="6"/>
    <x v="0"/>
    <x v="0"/>
    <x v="0"/>
    <x v="2"/>
    <x v="11"/>
    <n v="0"/>
    <n v="0"/>
    <n v="938.06500000000005"/>
    <n v="938.06500000000005"/>
    <n v="938.06500000000005"/>
    <n v="938.06500000000005"/>
    <n v="2303"/>
    <x v="0"/>
    <n v="0"/>
    <n v="0"/>
    <n v="30"/>
    <n v="74"/>
    <n v="0"/>
    <n v="236.77"/>
    <n v="117.89"/>
    <m/>
    <n v="323.18581193481282"/>
    <n v="107.87938095628944"/>
    <n v="0"/>
    <n v="222105.65005000003"/>
    <n v="110588.48285"/>
    <n v="0"/>
    <n v="303169.29867263022"/>
    <n v="101197.87149676165"/>
  </r>
  <r>
    <s v="PROJETADO"/>
    <x v="3"/>
    <x v="3"/>
    <x v="6"/>
    <x v="0"/>
    <x v="0"/>
    <x v="0"/>
    <x v="2"/>
    <x v="11"/>
    <n v="0"/>
    <n v="0"/>
    <n v="-0.17199999999999999"/>
    <n v="-0.17199999999999999"/>
    <n v="-0.17199999999999999"/>
    <n v="-0.17199999999999999"/>
    <n v="0"/>
    <x v="0"/>
    <n v="0"/>
    <n v="0"/>
    <n v="30"/>
    <n v="74"/>
    <n v="0"/>
    <n v="236.77"/>
    <n v="117.89"/>
    <m/>
    <n v="323.18581193481282"/>
    <n v="107.87938095628944"/>
    <n v="0"/>
    <n v="-40.724440000000001"/>
    <n v="-20.277079999999998"/>
    <n v="0"/>
    <n v="-55.587959652787802"/>
    <n v="-18.555253524481781"/>
  </r>
  <r>
    <s v="PROJETADO"/>
    <x v="3"/>
    <x v="3"/>
    <x v="6"/>
    <x v="0"/>
    <x v="0"/>
    <x v="0"/>
    <x v="2"/>
    <x v="11"/>
    <n v="0"/>
    <n v="0"/>
    <n v="35.591999999999999"/>
    <n v="35.591999999999999"/>
    <n v="35.591999999999999"/>
    <n v="35.591999999999999"/>
    <n v="49"/>
    <x v="0"/>
    <n v="0"/>
    <n v="0"/>
    <n v="30"/>
    <n v="74"/>
    <n v="0"/>
    <n v="236.77"/>
    <n v="117.89"/>
    <m/>
    <n v="323.18581193481282"/>
    <n v="107.87938095628944"/>
    <n v="0"/>
    <n v="8427.1178400000008"/>
    <n v="4195.9408800000001"/>
    <n v="0"/>
    <n v="11502.829418383857"/>
    <n v="3839.6429269962537"/>
  </r>
  <r>
    <s v="Regular"/>
    <x v="4"/>
    <x v="3"/>
    <x v="2"/>
    <x v="0"/>
    <x v="0"/>
    <x v="0"/>
    <x v="2"/>
    <x v="0"/>
    <n v="0"/>
    <n v="0"/>
    <n v="1024.357"/>
    <n v="1024.357"/>
    <n v="1024.357"/>
    <n v="1024.357"/>
    <n v="1641"/>
    <x v="0"/>
    <n v="0"/>
    <n v="0"/>
    <n v="26"/>
    <n v="75"/>
    <n v="0"/>
    <n v="269.06"/>
    <n v="133.97"/>
    <m/>
    <n v="343.81469354767324"/>
    <n v="114.76529888966962"/>
    <n v="0"/>
    <n v="275613.49442"/>
    <n v="137233.10728999999"/>
    <n v="0"/>
    <n v="352188.98803841393"/>
    <n v="117560.6372747253"/>
  </r>
  <r>
    <s v="Sistema de Compensação"/>
    <x v="4"/>
    <x v="3"/>
    <x v="2"/>
    <x v="0"/>
    <x v="0"/>
    <x v="0"/>
    <x v="2"/>
    <x v="0"/>
    <n v="0"/>
    <n v="0"/>
    <n v="0.49"/>
    <n v="0.49"/>
    <n v="0.49"/>
    <n v="0.49"/>
    <n v="4"/>
    <x v="0"/>
    <n v="0"/>
    <n v="0"/>
    <n v="26"/>
    <n v="75"/>
    <n v="0"/>
    <n v="269.06"/>
    <n v="133.97"/>
    <m/>
    <n v="343.81469354767324"/>
    <n v="114.76529888966962"/>
    <n v="0"/>
    <n v="131.83940000000001"/>
    <n v="65.645299999999992"/>
    <n v="0"/>
    <n v="168.46919983835988"/>
    <n v="56.234996455938116"/>
  </r>
  <r>
    <s v="Regular"/>
    <x v="4"/>
    <x v="3"/>
    <x v="2"/>
    <x v="0"/>
    <x v="0"/>
    <x v="0"/>
    <x v="2"/>
    <x v="1"/>
    <n v="0"/>
    <n v="0"/>
    <n v="1033.7429999999999"/>
    <n v="1033.7429999999999"/>
    <n v="1033.7429999999999"/>
    <n v="1033.7429999999999"/>
    <n v="1652"/>
    <x v="0"/>
    <n v="0"/>
    <n v="0"/>
    <n v="26"/>
    <n v="75"/>
    <n v="0"/>
    <n v="269.06"/>
    <n v="133.97"/>
    <m/>
    <n v="343.81469354767324"/>
    <n v="114.76529888966962"/>
    <n v="0"/>
    <n v="278138.89158"/>
    <n v="138490.54970999999"/>
    <n v="0"/>
    <n v="355416.03275205236"/>
    <n v="118637.82437010374"/>
  </r>
  <r>
    <s v="Sistema de Compensação"/>
    <x v="4"/>
    <x v="3"/>
    <x v="2"/>
    <x v="0"/>
    <x v="0"/>
    <x v="0"/>
    <x v="2"/>
    <x v="1"/>
    <n v="0"/>
    <n v="0"/>
    <n v="0.69899999999999995"/>
    <n v="0.69899999999999995"/>
    <n v="0.69899999999999995"/>
    <n v="0.69899999999999995"/>
    <n v="4"/>
    <x v="0"/>
    <n v="0"/>
    <n v="0"/>
    <n v="26"/>
    <n v="75"/>
    <n v="0"/>
    <n v="269.06"/>
    <n v="133.97"/>
    <m/>
    <n v="343.81469354767324"/>
    <n v="114.76529888966962"/>
    <n v="0"/>
    <n v="188.07293999999999"/>
    <n v="93.645029999999991"/>
    <n v="0"/>
    <n v="240.32647078982359"/>
    <n v="80.220943923879062"/>
  </r>
  <r>
    <s v="Regular"/>
    <x v="4"/>
    <x v="3"/>
    <x v="2"/>
    <x v="0"/>
    <x v="0"/>
    <x v="0"/>
    <x v="2"/>
    <x v="2"/>
    <n v="0"/>
    <n v="0"/>
    <n v="1053.56"/>
    <n v="1053.56"/>
    <n v="1053.56"/>
    <n v="1053.56"/>
    <n v="1653"/>
    <x v="0"/>
    <n v="0"/>
    <n v="0"/>
    <n v="26"/>
    <n v="75"/>
    <n v="0"/>
    <n v="269.06"/>
    <n v="133.97"/>
    <m/>
    <n v="343.81469354767324"/>
    <n v="114.76529888966962"/>
    <n v="0"/>
    <n v="283470.85359999997"/>
    <n v="141145.4332"/>
    <n v="0"/>
    <n v="362229.4085340866"/>
    <n v="120912.12829820032"/>
  </r>
  <r>
    <s v="Refaturamento - Regular"/>
    <x v="4"/>
    <x v="3"/>
    <x v="2"/>
    <x v="0"/>
    <x v="0"/>
    <x v="0"/>
    <x v="2"/>
    <x v="2"/>
    <n v="0"/>
    <n v="0"/>
    <n v="0.08"/>
    <n v="0.08"/>
    <n v="0.08"/>
    <n v="0.08"/>
    <n v="0"/>
    <x v="0"/>
    <n v="0"/>
    <n v="0"/>
    <n v="26"/>
    <n v="75"/>
    <n v="0"/>
    <n v="269.06"/>
    <n v="133.97"/>
    <m/>
    <n v="343.81469354767324"/>
    <n v="114.76529888966962"/>
    <n v="0"/>
    <n v="21.524799999999999"/>
    <n v="10.717600000000001"/>
    <n v="0"/>
    <n v="27.505175483813861"/>
    <n v="9.1812239111735696"/>
  </r>
  <r>
    <s v="Sistema de Compensação"/>
    <x v="4"/>
    <x v="3"/>
    <x v="2"/>
    <x v="0"/>
    <x v="0"/>
    <x v="0"/>
    <x v="2"/>
    <x v="2"/>
    <n v="0"/>
    <n v="0"/>
    <n v="0.43"/>
    <n v="0.43"/>
    <n v="0.43"/>
    <n v="0.43"/>
    <n v="5"/>
    <x v="0"/>
    <n v="0"/>
    <n v="0"/>
    <n v="26"/>
    <n v="75"/>
    <n v="0"/>
    <n v="269.06"/>
    <n v="133.97"/>
    <m/>
    <n v="343.81469354767324"/>
    <n v="114.76529888966962"/>
    <n v="0"/>
    <n v="115.69580000000001"/>
    <n v="57.607099999999996"/>
    <n v="0"/>
    <n v="147.84031822549949"/>
    <n v="49.349078522557939"/>
  </r>
  <r>
    <s v="Regular"/>
    <x v="4"/>
    <x v="3"/>
    <x v="2"/>
    <x v="0"/>
    <x v="0"/>
    <x v="0"/>
    <x v="2"/>
    <x v="3"/>
    <n v="0"/>
    <n v="0"/>
    <n v="1147.079"/>
    <n v="1147.079"/>
    <n v="1147.079"/>
    <n v="1147.079"/>
    <n v="1660"/>
    <x v="0"/>
    <n v="0"/>
    <n v="0"/>
    <n v="26"/>
    <n v="75"/>
    <n v="0"/>
    <n v="269.06"/>
    <n v="133.97"/>
    <m/>
    <n v="343.81469354767324"/>
    <n v="114.76529888966962"/>
    <n v="0"/>
    <n v="308633.07574"/>
    <n v="153674.17363"/>
    <n v="0"/>
    <n v="394382.61485997145"/>
    <n v="131644.86428506335"/>
  </r>
  <r>
    <s v="Refaturamento - Regular"/>
    <x v="4"/>
    <x v="3"/>
    <x v="2"/>
    <x v="0"/>
    <x v="0"/>
    <x v="0"/>
    <x v="2"/>
    <x v="3"/>
    <n v="0"/>
    <n v="0"/>
    <n v="-0.29899999999999999"/>
    <n v="-0.29899999999999999"/>
    <n v="-0.29899999999999999"/>
    <n v="-0.29899999999999999"/>
    <n v="0"/>
    <x v="0"/>
    <n v="0"/>
    <n v="0"/>
    <n v="26"/>
    <n v="75"/>
    <n v="0"/>
    <n v="269.06"/>
    <n v="133.97"/>
    <m/>
    <n v="343.81469354767324"/>
    <n v="114.76529888966962"/>
    <n v="0"/>
    <n v="-80.448939999999993"/>
    <n v="-40.057029999999997"/>
    <n v="0"/>
    <n v="-102.8005933707543"/>
    <n v="-34.314824368011216"/>
  </r>
  <r>
    <s v="Sistema de Compensação"/>
    <x v="4"/>
    <x v="3"/>
    <x v="2"/>
    <x v="0"/>
    <x v="0"/>
    <x v="0"/>
    <x v="2"/>
    <x v="3"/>
    <n v="0"/>
    <n v="0"/>
    <n v="0.43"/>
    <n v="0.43"/>
    <n v="0.43"/>
    <n v="0.43"/>
    <n v="5"/>
    <x v="0"/>
    <n v="0"/>
    <n v="0"/>
    <n v="26"/>
    <n v="75"/>
    <n v="0"/>
    <n v="269.06"/>
    <n v="133.97"/>
    <m/>
    <n v="343.81469354767324"/>
    <n v="114.76529888966962"/>
    <n v="0"/>
    <n v="115.69580000000001"/>
    <n v="57.607099999999996"/>
    <n v="0"/>
    <n v="147.84031822549949"/>
    <n v="49.349078522557939"/>
  </r>
  <r>
    <s v="Regular"/>
    <x v="4"/>
    <x v="3"/>
    <x v="2"/>
    <x v="0"/>
    <x v="0"/>
    <x v="0"/>
    <x v="2"/>
    <x v="4"/>
    <n v="0"/>
    <n v="0"/>
    <n v="1327.3530000000001"/>
    <n v="1327.3530000000001"/>
    <n v="1327.3530000000001"/>
    <n v="1327.3530000000001"/>
    <n v="1661"/>
    <x v="0"/>
    <n v="0"/>
    <n v="0"/>
    <n v="26"/>
    <n v="75"/>
    <n v="0"/>
    <n v="269.06"/>
    <n v="133.97"/>
    <m/>
    <n v="343.81469354767324"/>
    <n v="114.76529888966962"/>
    <n v="0"/>
    <n v="357137.59818000003"/>
    <n v="177825.48141000001"/>
    <n v="0"/>
    <n v="456363.46492458472"/>
    <n v="152334.06377709965"/>
  </r>
  <r>
    <s v="Refaturamento - Regular"/>
    <x v="4"/>
    <x v="3"/>
    <x v="2"/>
    <x v="0"/>
    <x v="0"/>
    <x v="0"/>
    <x v="2"/>
    <x v="4"/>
    <n v="0"/>
    <n v="0"/>
    <n v="-9.4E-2"/>
    <n v="-9.4E-2"/>
    <n v="-9.4E-2"/>
    <n v="-9.4E-2"/>
    <n v="0"/>
    <x v="0"/>
    <n v="0"/>
    <n v="0"/>
    <n v="26"/>
    <n v="75"/>
    <n v="0"/>
    <n v="269.06"/>
    <n v="133.97"/>
    <m/>
    <n v="343.81469354767324"/>
    <n v="114.76529888966962"/>
    <n v="0"/>
    <n v="-25.291640000000001"/>
    <n v="-12.59318"/>
    <n v="0"/>
    <n v="-32.318581193481286"/>
    <n v="-10.787938095628945"/>
  </r>
  <r>
    <s v="Sistema de Compensação"/>
    <x v="4"/>
    <x v="3"/>
    <x v="2"/>
    <x v="0"/>
    <x v="0"/>
    <x v="0"/>
    <x v="2"/>
    <x v="4"/>
    <n v="0"/>
    <n v="0"/>
    <n v="0.53"/>
    <n v="0.53"/>
    <n v="0.53"/>
    <n v="0.53"/>
    <n v="6"/>
    <x v="0"/>
    <n v="0"/>
    <n v="0"/>
    <n v="26"/>
    <n v="75"/>
    <n v="0"/>
    <n v="269.06"/>
    <n v="133.97"/>
    <m/>
    <n v="343.81469354767324"/>
    <n v="114.76529888966962"/>
    <n v="0"/>
    <n v="142.6018"/>
    <n v="71.004100000000008"/>
    <n v="0"/>
    <n v="182.22178758026683"/>
    <n v="60.825608411524904"/>
  </r>
  <r>
    <s v="Regular"/>
    <x v="4"/>
    <x v="3"/>
    <x v="2"/>
    <x v="0"/>
    <x v="0"/>
    <x v="0"/>
    <x v="2"/>
    <x v="5"/>
    <n v="0"/>
    <n v="0"/>
    <n v="1387.9159999999999"/>
    <n v="1387.9159999999999"/>
    <n v="1387.9159999999999"/>
    <n v="1387.9159999999999"/>
    <n v="1662"/>
    <x v="0"/>
    <n v="0"/>
    <n v="0"/>
    <n v="26"/>
    <n v="75"/>
    <n v="0"/>
    <n v="269.06"/>
    <n v="133.97"/>
    <m/>
    <n v="343.81469354767324"/>
    <n v="114.76529888966962"/>
    <n v="0"/>
    <n v="373432.67895999999"/>
    <n v="185939.10652"/>
    <n v="0"/>
    <n v="477185.91420991241"/>
    <n v="159284.5945737547"/>
  </r>
  <r>
    <s v="Refaturamento - Regular"/>
    <x v="4"/>
    <x v="3"/>
    <x v="2"/>
    <x v="0"/>
    <x v="0"/>
    <x v="0"/>
    <x v="2"/>
    <x v="5"/>
    <n v="0"/>
    <n v="0"/>
    <n v="-4.7750000000000004"/>
    <n v="-4.7750000000000004"/>
    <n v="-4.7750000000000004"/>
    <n v="-4.7750000000000004"/>
    <n v="0"/>
    <x v="0"/>
    <n v="0"/>
    <n v="0"/>
    <n v="26"/>
    <n v="75"/>
    <n v="0"/>
    <n v="269.06"/>
    <n v="133.97"/>
    <m/>
    <n v="343.81469354767324"/>
    <n v="114.76529888966962"/>
    <n v="0"/>
    <n v="-1284.7615000000001"/>
    <n v="-639.70675000000006"/>
    <n v="0"/>
    <n v="-1641.7151616901399"/>
    <n v="-548.00430219817247"/>
  </r>
  <r>
    <s v="Sistema de Compensação"/>
    <x v="4"/>
    <x v="3"/>
    <x v="2"/>
    <x v="0"/>
    <x v="0"/>
    <x v="0"/>
    <x v="2"/>
    <x v="5"/>
    <n v="0"/>
    <n v="0"/>
    <n v="0.79"/>
    <n v="0.79"/>
    <n v="0.79"/>
    <n v="0.79"/>
    <n v="6"/>
    <x v="0"/>
    <n v="0"/>
    <n v="0"/>
    <n v="26"/>
    <n v="75"/>
    <n v="0"/>
    <n v="269.06"/>
    <n v="133.97"/>
    <m/>
    <n v="343.81469354767324"/>
    <n v="114.76529888966962"/>
    <n v="0"/>
    <n v="212.5574"/>
    <n v="105.83630000000001"/>
    <n v="0"/>
    <n v="271.6136079026619"/>
    <n v="90.664586122839012"/>
  </r>
  <r>
    <s v="Regular"/>
    <x v="4"/>
    <x v="3"/>
    <x v="2"/>
    <x v="0"/>
    <x v="0"/>
    <x v="0"/>
    <x v="2"/>
    <x v="6"/>
    <n v="0"/>
    <n v="0"/>
    <n v="1348.3889999999999"/>
    <n v="1348.3889999999999"/>
    <n v="1348.3889999999999"/>
    <n v="1348.3889999999999"/>
    <n v="1666"/>
    <x v="0"/>
    <n v="0"/>
    <n v="0"/>
    <n v="26"/>
    <n v="75"/>
    <n v="0"/>
    <n v="269.06"/>
    <n v="133.97"/>
    <m/>
    <n v="343.81469354767324"/>
    <n v="114.76529888966962"/>
    <n v="0"/>
    <n v="362797.54433999996"/>
    <n v="180643.67432999998"/>
    <n v="0"/>
    <n v="463595.95081805356"/>
    <n v="154748.26660454273"/>
  </r>
  <r>
    <s v="Sistema de Compensação"/>
    <x v="4"/>
    <x v="3"/>
    <x v="2"/>
    <x v="0"/>
    <x v="0"/>
    <x v="0"/>
    <x v="2"/>
    <x v="6"/>
    <n v="0"/>
    <n v="0"/>
    <n v="1.5609999999999999"/>
    <n v="1.5609999999999999"/>
    <n v="1.5609999999999999"/>
    <n v="1.5609999999999999"/>
    <n v="7"/>
    <x v="0"/>
    <n v="0"/>
    <n v="0"/>
    <n v="26"/>
    <n v="75"/>
    <n v="0"/>
    <n v="269.06"/>
    <n v="133.97"/>
    <m/>
    <n v="343.81469354767324"/>
    <n v="114.76529888966962"/>
    <n v="0"/>
    <n v="420.00265999999999"/>
    <n v="209.12716999999998"/>
    <n v="0"/>
    <n v="536.69473662791791"/>
    <n v="179.14863156677427"/>
  </r>
  <r>
    <s v="Regular"/>
    <x v="4"/>
    <x v="3"/>
    <x v="2"/>
    <x v="0"/>
    <x v="0"/>
    <x v="0"/>
    <x v="2"/>
    <x v="7"/>
    <n v="0"/>
    <n v="0"/>
    <n v="1182.068"/>
    <n v="1182.068"/>
    <n v="1182.068"/>
    <n v="1182.068"/>
    <n v="1667"/>
    <x v="0"/>
    <n v="0"/>
    <n v="0"/>
    <n v="26"/>
    <n v="75"/>
    <n v="0"/>
    <n v="269.06"/>
    <n v="133.97"/>
    <m/>
    <n v="343.81469354767324"/>
    <n v="114.76529888966962"/>
    <n v="0"/>
    <n v="318047.21607999998"/>
    <n v="158361.64996000001"/>
    <n v="0"/>
    <n v="406412.34717251098"/>
    <n v="135660.38732791398"/>
  </r>
  <r>
    <s v="Sistema de Compensação"/>
    <x v="4"/>
    <x v="3"/>
    <x v="2"/>
    <x v="0"/>
    <x v="0"/>
    <x v="0"/>
    <x v="2"/>
    <x v="7"/>
    <n v="0"/>
    <n v="0"/>
    <n v="2.09"/>
    <n v="2.09"/>
    <n v="2.09"/>
    <n v="2.09"/>
    <n v="9"/>
    <x v="0"/>
    <n v="0"/>
    <n v="0"/>
    <n v="26"/>
    <n v="75"/>
    <n v="0"/>
    <n v="269.06"/>
    <n v="133.97"/>
    <m/>
    <n v="343.81469354767324"/>
    <n v="114.76529888966962"/>
    <n v="0"/>
    <n v="562.33539999999994"/>
    <n v="279.9973"/>
    <n v="0"/>
    <n v="718.57270951463704"/>
    <n v="239.85947467940949"/>
  </r>
  <r>
    <s v="Regular"/>
    <x v="4"/>
    <x v="3"/>
    <x v="2"/>
    <x v="0"/>
    <x v="0"/>
    <x v="0"/>
    <x v="2"/>
    <x v="8"/>
    <n v="0"/>
    <n v="0"/>
    <n v="1003.98"/>
    <n v="1003.98"/>
    <n v="1003.98"/>
    <n v="1003.98"/>
    <n v="1672"/>
    <x v="0"/>
    <n v="0"/>
    <n v="0"/>
    <n v="26"/>
    <n v="75"/>
    <n v="0"/>
    <n v="269.06"/>
    <n v="133.97"/>
    <m/>
    <n v="343.81469354767324"/>
    <n v="114.76529888966962"/>
    <n v="0"/>
    <n v="270130.85879999999"/>
    <n v="134503.20060000001"/>
    <n v="0"/>
    <n v="345183.076027993"/>
    <n v="115222.0647792505"/>
  </r>
  <r>
    <s v="Refaturamento - Regular"/>
    <x v="4"/>
    <x v="3"/>
    <x v="2"/>
    <x v="0"/>
    <x v="0"/>
    <x v="0"/>
    <x v="2"/>
    <x v="8"/>
    <n v="0"/>
    <n v="0"/>
    <n v="-0.55600000000000005"/>
    <n v="-0.55600000000000005"/>
    <n v="-0.55600000000000005"/>
    <n v="-0.55600000000000005"/>
    <n v="0"/>
    <x v="0"/>
    <n v="0"/>
    <n v="0"/>
    <n v="26"/>
    <n v="75"/>
    <n v="0"/>
    <n v="269.06"/>
    <n v="133.97"/>
    <m/>
    <n v="343.81469354767324"/>
    <n v="114.76529888966962"/>
    <n v="0"/>
    <n v="-149.59736000000001"/>
    <n v="-74.487320000000011"/>
    <n v="0"/>
    <n v="-191.16096961250634"/>
    <n v="-63.809506182656314"/>
  </r>
  <r>
    <s v="Sistema de Compensação"/>
    <x v="4"/>
    <x v="3"/>
    <x v="2"/>
    <x v="0"/>
    <x v="0"/>
    <x v="0"/>
    <x v="2"/>
    <x v="8"/>
    <n v="0"/>
    <n v="0"/>
    <n v="2.069"/>
    <n v="2.069"/>
    <n v="2.069"/>
    <n v="2.069"/>
    <n v="9"/>
    <x v="0"/>
    <n v="0"/>
    <n v="0"/>
    <n v="26"/>
    <n v="75"/>
    <n v="0"/>
    <n v="269.06"/>
    <n v="133.97"/>
    <m/>
    <n v="343.81469354767324"/>
    <n v="114.76529888966962"/>
    <n v="0"/>
    <n v="556.68514000000005"/>
    <n v="277.18392999999998"/>
    <n v="0"/>
    <n v="711.35260095013598"/>
    <n v="237.44940340272643"/>
  </r>
  <r>
    <s v="Regular"/>
    <x v="4"/>
    <x v="3"/>
    <x v="2"/>
    <x v="0"/>
    <x v="0"/>
    <x v="0"/>
    <x v="2"/>
    <x v="9"/>
    <n v="0"/>
    <n v="0"/>
    <n v="989.36900000000003"/>
    <n v="989.36900000000003"/>
    <n v="989.36900000000003"/>
    <n v="989.36900000000003"/>
    <n v="1669"/>
    <x v="0"/>
    <n v="0"/>
    <n v="0"/>
    <n v="26"/>
    <n v="75"/>
    <n v="0"/>
    <n v="269.06"/>
    <n v="133.97"/>
    <m/>
    <n v="343.81469354767324"/>
    <n v="114.76529888966962"/>
    <n v="0"/>
    <n v="266199.62313999998"/>
    <n v="132545.76493"/>
    <n v="0"/>
    <n v="340159.59954056796"/>
    <n v="113545.22899717354"/>
  </r>
  <r>
    <s v="Refaturamento - Regular"/>
    <x v="4"/>
    <x v="3"/>
    <x v="2"/>
    <x v="0"/>
    <x v="0"/>
    <x v="0"/>
    <x v="2"/>
    <x v="9"/>
    <n v="0"/>
    <n v="0"/>
    <n v="-2.0790000000000002"/>
    <n v="-2.0790000000000002"/>
    <n v="-2.0790000000000002"/>
    <n v="-2.0790000000000002"/>
    <n v="0"/>
    <x v="0"/>
    <n v="0"/>
    <n v="0"/>
    <n v="26"/>
    <n v="75"/>
    <n v="0"/>
    <n v="269.06"/>
    <n v="133.97"/>
    <m/>
    <n v="343.81469354767324"/>
    <n v="114.76529888966962"/>
    <n v="0"/>
    <n v="-559.37574000000006"/>
    <n v="-278.52363000000003"/>
    <n v="0"/>
    <n v="-714.79074788561275"/>
    <n v="-238.59705639162317"/>
  </r>
  <r>
    <s v="Sistema de Compensação"/>
    <x v="4"/>
    <x v="3"/>
    <x v="2"/>
    <x v="0"/>
    <x v="0"/>
    <x v="0"/>
    <x v="2"/>
    <x v="9"/>
    <n v="0"/>
    <n v="0"/>
    <n v="8.2810000000000006"/>
    <n v="8.2810000000000006"/>
    <n v="8.2810000000000006"/>
    <n v="8.2810000000000006"/>
    <n v="15"/>
    <x v="0"/>
    <n v="0"/>
    <n v="0"/>
    <n v="26"/>
    <n v="75"/>
    <n v="0"/>
    <n v="269.06"/>
    <n v="133.97"/>
    <m/>
    <n v="343.81469354767324"/>
    <n v="114.76529888966962"/>
    <n v="0"/>
    <n v="2228.0858600000001"/>
    <n v="1109.4055700000001"/>
    <n v="0"/>
    <n v="2847.1294772682822"/>
    <n v="950.37144010535417"/>
  </r>
  <r>
    <s v="Regular"/>
    <x v="4"/>
    <x v="3"/>
    <x v="2"/>
    <x v="0"/>
    <x v="0"/>
    <x v="0"/>
    <x v="2"/>
    <x v="10"/>
    <n v="0"/>
    <n v="0"/>
    <n v="982.68499999999995"/>
    <n v="982.68499999999995"/>
    <n v="982.68499999999995"/>
    <n v="982.68499999999995"/>
    <n v="1676"/>
    <x v="0"/>
    <n v="0"/>
    <n v="0"/>
    <n v="26"/>
    <n v="75"/>
    <n v="0"/>
    <n v="269.06"/>
    <n v="133.97"/>
    <m/>
    <n v="343.81469354767324"/>
    <n v="114.76529888966962"/>
    <n v="0"/>
    <n v="264401.22609999997"/>
    <n v="131650.30945"/>
    <n v="0"/>
    <n v="337861.54212889523"/>
    <n v="112778.13773939498"/>
  </r>
  <r>
    <s v="Sistema de Compensação"/>
    <x v="4"/>
    <x v="3"/>
    <x v="2"/>
    <x v="0"/>
    <x v="0"/>
    <x v="0"/>
    <x v="2"/>
    <x v="10"/>
    <n v="0"/>
    <n v="0"/>
    <n v="8.9160000000000004"/>
    <n v="8.9160000000000004"/>
    <n v="8.9160000000000004"/>
    <n v="8.9160000000000004"/>
    <n v="17"/>
    <x v="0"/>
    <n v="0"/>
    <n v="0"/>
    <n v="26"/>
    <n v="75"/>
    <n v="0"/>
    <n v="269.06"/>
    <n v="133.97"/>
    <m/>
    <n v="343.81469354767324"/>
    <n v="114.76529888966962"/>
    <n v="0"/>
    <n v="2398.93896"/>
    <n v="1194.4765199999999"/>
    <n v="0"/>
    <n v="3065.4518076710547"/>
    <n v="1023.2474049002944"/>
  </r>
  <r>
    <s v="PROJETADO"/>
    <x v="4"/>
    <x v="3"/>
    <x v="2"/>
    <x v="0"/>
    <x v="0"/>
    <x v="0"/>
    <x v="2"/>
    <x v="11"/>
    <n v="0"/>
    <n v="0"/>
    <n v="982.68499999999995"/>
    <n v="982.68499999999995"/>
    <n v="982.68499999999995"/>
    <n v="982.68499999999995"/>
    <n v="1676"/>
    <x v="0"/>
    <n v="0"/>
    <n v="0"/>
    <n v="26"/>
    <n v="75"/>
    <n v="0"/>
    <n v="269.06"/>
    <n v="133.97"/>
    <m/>
    <n v="343.81469354767324"/>
    <n v="114.76529888966962"/>
    <n v="0"/>
    <n v="264401.22609999997"/>
    <n v="131650.30945"/>
    <n v="0"/>
    <n v="337861.54212889523"/>
    <n v="112778.13773939498"/>
  </r>
  <r>
    <s v="PROJETADO"/>
    <x v="4"/>
    <x v="3"/>
    <x v="2"/>
    <x v="0"/>
    <x v="0"/>
    <x v="0"/>
    <x v="2"/>
    <x v="11"/>
    <n v="0"/>
    <n v="0"/>
    <n v="8.9160000000000004"/>
    <n v="8.9160000000000004"/>
    <n v="8.9160000000000004"/>
    <n v="8.9160000000000004"/>
    <n v="17"/>
    <x v="0"/>
    <n v="0"/>
    <n v="0"/>
    <n v="26"/>
    <n v="75"/>
    <n v="0"/>
    <n v="269.06"/>
    <n v="133.97"/>
    <m/>
    <n v="343.81469354767324"/>
    <n v="114.76529888966962"/>
    <n v="0"/>
    <n v="2398.93896"/>
    <n v="1194.4765199999999"/>
    <n v="0"/>
    <n v="3065.4518076710547"/>
    <n v="1023.2474049002944"/>
  </r>
  <r>
    <s v="Regular"/>
    <x v="4"/>
    <x v="3"/>
    <x v="3"/>
    <x v="0"/>
    <x v="0"/>
    <x v="0"/>
    <x v="2"/>
    <x v="0"/>
    <n v="0"/>
    <n v="0"/>
    <n v="0.52"/>
    <n v="0.52"/>
    <n v="0.52"/>
    <n v="0.52"/>
    <n v="2"/>
    <x v="0"/>
    <n v="0"/>
    <n v="0"/>
    <n v="26"/>
    <n v="75"/>
    <n v="0"/>
    <n v="269.06"/>
    <n v="133.97"/>
    <m/>
    <n v="343.81469354767324"/>
    <n v="114.76529888966962"/>
    <n v="0"/>
    <n v="139.91120000000001"/>
    <n v="69.664400000000001"/>
    <n v="0"/>
    <n v="178.7836406447901"/>
    <n v="59.677955422628209"/>
  </r>
  <r>
    <s v="Regular"/>
    <x v="4"/>
    <x v="3"/>
    <x v="3"/>
    <x v="0"/>
    <x v="0"/>
    <x v="0"/>
    <x v="2"/>
    <x v="1"/>
    <n v="0"/>
    <n v="0"/>
    <n v="0.51800000000000002"/>
    <n v="0.51800000000000002"/>
    <n v="0.51800000000000002"/>
    <n v="0.51800000000000002"/>
    <n v="2"/>
    <x v="0"/>
    <n v="0"/>
    <n v="0"/>
    <n v="26"/>
    <n v="75"/>
    <n v="0"/>
    <n v="269.06"/>
    <n v="133.97"/>
    <m/>
    <n v="343.81469354767324"/>
    <n v="114.76529888966962"/>
    <n v="0"/>
    <n v="139.37308000000002"/>
    <n v="69.396460000000005"/>
    <n v="0"/>
    <n v="178.09601125769476"/>
    <n v="59.448424824848864"/>
  </r>
  <r>
    <s v="Regular"/>
    <x v="4"/>
    <x v="3"/>
    <x v="3"/>
    <x v="0"/>
    <x v="0"/>
    <x v="0"/>
    <x v="2"/>
    <x v="2"/>
    <n v="0"/>
    <n v="0"/>
    <n v="0.47199999999999998"/>
    <n v="0.47199999999999998"/>
    <n v="0.47199999999999998"/>
    <n v="0.47199999999999998"/>
    <n v="2"/>
    <x v="0"/>
    <n v="0"/>
    <n v="0"/>
    <n v="26"/>
    <n v="75"/>
    <n v="0"/>
    <n v="269.06"/>
    <n v="133.97"/>
    <m/>
    <n v="343.81469354767324"/>
    <n v="114.76529888966962"/>
    <n v="0"/>
    <n v="126.99632"/>
    <n v="63.233839999999994"/>
    <n v="0"/>
    <n v="162.28053535450175"/>
    <n v="54.169221075924057"/>
  </r>
  <r>
    <s v="Regular"/>
    <x v="4"/>
    <x v="3"/>
    <x v="3"/>
    <x v="0"/>
    <x v="0"/>
    <x v="0"/>
    <x v="2"/>
    <x v="3"/>
    <n v="0"/>
    <n v="0"/>
    <n v="0.76400000000000001"/>
    <n v="0.76400000000000001"/>
    <n v="0.76400000000000001"/>
    <n v="0.76400000000000001"/>
    <n v="2"/>
    <x v="0"/>
    <n v="0"/>
    <n v="0"/>
    <n v="26"/>
    <n v="75"/>
    <n v="0"/>
    <n v="269.06"/>
    <n v="133.97"/>
    <m/>
    <n v="343.81469354767324"/>
    <n v="114.76529888966962"/>
    <n v="0"/>
    <n v="205.56184000000002"/>
    <n v="102.35308000000001"/>
    <n v="0"/>
    <n v="262.67442587042234"/>
    <n v="87.680688351707587"/>
  </r>
  <r>
    <s v="Regular"/>
    <x v="4"/>
    <x v="3"/>
    <x v="3"/>
    <x v="0"/>
    <x v="0"/>
    <x v="0"/>
    <x v="2"/>
    <x v="4"/>
    <n v="0"/>
    <n v="0"/>
    <n v="0.78600000000000003"/>
    <n v="0.78600000000000003"/>
    <n v="0.78600000000000003"/>
    <n v="0.78600000000000003"/>
    <n v="2"/>
    <x v="0"/>
    <n v="0"/>
    <n v="0"/>
    <n v="26"/>
    <n v="75"/>
    <n v="0"/>
    <n v="269.06"/>
    <n v="133.97"/>
    <m/>
    <n v="343.81469354767324"/>
    <n v="114.76529888966962"/>
    <n v="0"/>
    <n v="211.48116000000002"/>
    <n v="105.30042"/>
    <n v="0"/>
    <n v="270.23834912847116"/>
    <n v="90.205524927280322"/>
  </r>
  <r>
    <s v="Regular"/>
    <x v="4"/>
    <x v="3"/>
    <x v="3"/>
    <x v="0"/>
    <x v="0"/>
    <x v="0"/>
    <x v="2"/>
    <x v="5"/>
    <n v="0"/>
    <n v="0"/>
    <n v="0.88100000000000001"/>
    <n v="0.88100000000000001"/>
    <n v="0.88100000000000001"/>
    <n v="0.88100000000000001"/>
    <n v="2"/>
    <x v="0"/>
    <n v="0"/>
    <n v="0"/>
    <n v="26"/>
    <n v="75"/>
    <n v="0"/>
    <n v="269.06"/>
    <n v="133.97"/>
    <m/>
    <n v="343.81469354767324"/>
    <n v="114.76529888966962"/>
    <n v="0"/>
    <n v="237.04186000000001"/>
    <n v="118.02757"/>
    <n v="0"/>
    <n v="302.90074501550015"/>
    <n v="101.10822832179893"/>
  </r>
  <r>
    <s v="Regular"/>
    <x v="4"/>
    <x v="3"/>
    <x v="3"/>
    <x v="0"/>
    <x v="0"/>
    <x v="0"/>
    <x v="2"/>
    <x v="6"/>
    <n v="0"/>
    <n v="0"/>
    <n v="1.0189999999999999"/>
    <n v="1.0189999999999999"/>
    <n v="1.0189999999999999"/>
    <n v="1.0189999999999999"/>
    <n v="3"/>
    <x v="0"/>
    <n v="0"/>
    <n v="0"/>
    <n v="26"/>
    <n v="75"/>
    <n v="0"/>
    <n v="269.06"/>
    <n v="133.97"/>
    <m/>
    <n v="343.81469354767324"/>
    <n v="114.76529888966962"/>
    <n v="0"/>
    <n v="274.17213999999996"/>
    <n v="136.51542999999998"/>
    <n v="0"/>
    <n v="350.34717272507902"/>
    <n v="116.94583956857333"/>
  </r>
  <r>
    <s v="Regular"/>
    <x v="4"/>
    <x v="3"/>
    <x v="3"/>
    <x v="0"/>
    <x v="0"/>
    <x v="0"/>
    <x v="2"/>
    <x v="7"/>
    <n v="0"/>
    <n v="0"/>
    <n v="1.4019999999999999"/>
    <n v="1.4019999999999999"/>
    <n v="1.4019999999999999"/>
    <n v="1.4019999999999999"/>
    <n v="2"/>
    <x v="0"/>
    <n v="0"/>
    <n v="0"/>
    <n v="26"/>
    <n v="75"/>
    <n v="0"/>
    <n v="269.06"/>
    <n v="133.97"/>
    <m/>
    <n v="343.81469354767324"/>
    <n v="114.76529888966962"/>
    <n v="0"/>
    <n v="377.22211999999996"/>
    <n v="187.82593999999997"/>
    <n v="0"/>
    <n v="482.02820035383786"/>
    <n v="160.90094904331681"/>
  </r>
  <r>
    <s v="Sistema de Compensação"/>
    <x v="4"/>
    <x v="3"/>
    <x v="3"/>
    <x v="0"/>
    <x v="0"/>
    <x v="0"/>
    <x v="2"/>
    <x v="7"/>
    <n v="0"/>
    <n v="0"/>
    <n v="0.03"/>
    <n v="0.03"/>
    <n v="0.03"/>
    <n v="0.03"/>
    <n v="1"/>
    <x v="0"/>
    <n v="0"/>
    <n v="0"/>
    <n v="26"/>
    <n v="75"/>
    <n v="0"/>
    <n v="269.06"/>
    <n v="133.97"/>
    <m/>
    <n v="343.81469354767324"/>
    <n v="114.76529888966962"/>
    <n v="0"/>
    <n v="8.0717999999999996"/>
    <n v="4.0190999999999999"/>
    <n v="0"/>
    <n v="10.314440806430197"/>
    <n v="3.4429589666900884"/>
  </r>
  <r>
    <s v="Regular"/>
    <x v="4"/>
    <x v="3"/>
    <x v="3"/>
    <x v="0"/>
    <x v="0"/>
    <x v="0"/>
    <x v="2"/>
    <x v="8"/>
    <n v="0"/>
    <n v="0"/>
    <n v="1.002"/>
    <n v="1.002"/>
    <n v="1.002"/>
    <n v="1.002"/>
    <n v="2"/>
    <x v="0"/>
    <n v="0"/>
    <n v="0"/>
    <n v="26"/>
    <n v="75"/>
    <n v="0"/>
    <n v="269.06"/>
    <n v="133.97"/>
    <m/>
    <n v="343.81469354767324"/>
    <n v="114.76529888966962"/>
    <n v="0"/>
    <n v="269.59811999999999"/>
    <n v="134.23794000000001"/>
    <n v="0"/>
    <n v="344.50232293476859"/>
    <n v="114.99482948744897"/>
  </r>
  <r>
    <s v="Sistema de Compensação"/>
    <x v="4"/>
    <x v="3"/>
    <x v="3"/>
    <x v="0"/>
    <x v="0"/>
    <x v="0"/>
    <x v="2"/>
    <x v="8"/>
    <n v="0"/>
    <n v="0"/>
    <n v="0.03"/>
    <n v="0.03"/>
    <n v="0.03"/>
    <n v="0.03"/>
    <n v="1"/>
    <x v="0"/>
    <n v="0"/>
    <n v="0"/>
    <n v="26"/>
    <n v="75"/>
    <n v="0"/>
    <n v="269.06"/>
    <n v="133.97"/>
    <m/>
    <n v="343.81469354767324"/>
    <n v="114.76529888966962"/>
    <n v="0"/>
    <n v="8.0717999999999996"/>
    <n v="4.0190999999999999"/>
    <n v="0"/>
    <n v="10.314440806430197"/>
    <n v="3.4429589666900884"/>
  </r>
  <r>
    <s v="Regular"/>
    <x v="4"/>
    <x v="3"/>
    <x v="3"/>
    <x v="0"/>
    <x v="0"/>
    <x v="0"/>
    <x v="2"/>
    <x v="9"/>
    <n v="0"/>
    <n v="0"/>
    <n v="0.999"/>
    <n v="0.999"/>
    <n v="0.999"/>
    <n v="0.999"/>
    <n v="2"/>
    <x v="0"/>
    <n v="0"/>
    <n v="0"/>
    <n v="26"/>
    <n v="75"/>
    <n v="0"/>
    <n v="269.06"/>
    <n v="133.97"/>
    <m/>
    <n v="343.81469354767324"/>
    <n v="114.76529888966962"/>
    <n v="0"/>
    <n v="268.79093999999998"/>
    <n v="133.83602999999999"/>
    <n v="0"/>
    <n v="343.47087885412554"/>
    <n v="114.65053359077996"/>
  </r>
  <r>
    <s v="Sistema de Compensação"/>
    <x v="4"/>
    <x v="3"/>
    <x v="3"/>
    <x v="0"/>
    <x v="0"/>
    <x v="0"/>
    <x v="2"/>
    <x v="9"/>
    <n v="0"/>
    <n v="0"/>
    <n v="0.03"/>
    <n v="0.03"/>
    <n v="0.03"/>
    <n v="0.03"/>
    <n v="1"/>
    <x v="0"/>
    <n v="0"/>
    <n v="0"/>
    <n v="26"/>
    <n v="75"/>
    <n v="0"/>
    <n v="269.06"/>
    <n v="133.97"/>
    <m/>
    <n v="343.81469354767324"/>
    <n v="114.76529888966962"/>
    <n v="0"/>
    <n v="8.0717999999999996"/>
    <n v="4.0190999999999999"/>
    <n v="0"/>
    <n v="10.314440806430197"/>
    <n v="3.4429589666900884"/>
  </r>
  <r>
    <s v="Regular"/>
    <x v="4"/>
    <x v="3"/>
    <x v="3"/>
    <x v="0"/>
    <x v="0"/>
    <x v="0"/>
    <x v="2"/>
    <x v="10"/>
    <n v="0"/>
    <n v="0"/>
    <n v="0.998"/>
    <n v="0.998"/>
    <n v="0.998"/>
    <n v="0.998"/>
    <n v="2"/>
    <x v="0"/>
    <n v="0"/>
    <n v="0"/>
    <n v="26"/>
    <n v="75"/>
    <n v="0"/>
    <n v="269.06"/>
    <n v="133.97"/>
    <m/>
    <n v="343.81469354767324"/>
    <n v="114.76529888966962"/>
    <n v="0"/>
    <n v="268.52188000000001"/>
    <n v="133.70205999999999"/>
    <n v="0"/>
    <n v="343.1270641605779"/>
    <n v="114.53576829189028"/>
  </r>
  <r>
    <s v="Sistema de Compensação"/>
    <x v="4"/>
    <x v="3"/>
    <x v="3"/>
    <x v="0"/>
    <x v="0"/>
    <x v="0"/>
    <x v="2"/>
    <x v="10"/>
    <n v="0"/>
    <n v="0"/>
    <n v="0.03"/>
    <n v="0.03"/>
    <n v="0.03"/>
    <n v="0.03"/>
    <n v="1"/>
    <x v="0"/>
    <n v="0"/>
    <n v="0"/>
    <n v="26"/>
    <n v="75"/>
    <n v="0"/>
    <n v="269.06"/>
    <n v="133.97"/>
    <m/>
    <n v="343.81469354767324"/>
    <n v="114.76529888966962"/>
    <n v="0"/>
    <n v="8.0717999999999996"/>
    <n v="4.0190999999999999"/>
    <n v="0"/>
    <n v="10.314440806430197"/>
    <n v="3.4429589666900884"/>
  </r>
  <r>
    <s v="PROJETADO"/>
    <x v="4"/>
    <x v="3"/>
    <x v="3"/>
    <x v="0"/>
    <x v="0"/>
    <x v="0"/>
    <x v="2"/>
    <x v="11"/>
    <n v="0"/>
    <n v="0"/>
    <n v="0.998"/>
    <n v="0.998"/>
    <n v="0.998"/>
    <n v="0.998"/>
    <n v="2"/>
    <x v="0"/>
    <n v="0"/>
    <n v="0"/>
    <n v="26"/>
    <n v="75"/>
    <n v="0"/>
    <n v="269.06"/>
    <n v="133.97"/>
    <m/>
    <n v="343.81469354767324"/>
    <n v="114.76529888966962"/>
    <n v="0"/>
    <n v="268.52188000000001"/>
    <n v="133.70205999999999"/>
    <n v="0"/>
    <n v="343.1270641605779"/>
    <n v="114.53576829189028"/>
  </r>
  <r>
    <s v="PROJETADO"/>
    <x v="4"/>
    <x v="3"/>
    <x v="3"/>
    <x v="0"/>
    <x v="0"/>
    <x v="0"/>
    <x v="2"/>
    <x v="11"/>
    <n v="0"/>
    <n v="0"/>
    <n v="0.03"/>
    <n v="0.03"/>
    <n v="0.03"/>
    <n v="0.03"/>
    <n v="1"/>
    <x v="0"/>
    <n v="0"/>
    <n v="0"/>
    <n v="26"/>
    <n v="75"/>
    <n v="0"/>
    <n v="269.06"/>
    <n v="133.97"/>
    <m/>
    <n v="343.81469354767324"/>
    <n v="114.76529888966962"/>
    <n v="0"/>
    <n v="8.0717999999999996"/>
    <n v="4.0190999999999999"/>
    <n v="0"/>
    <n v="10.314440806430197"/>
    <n v="3.4429589666900884"/>
  </r>
  <r>
    <s v="Regular"/>
    <x v="4"/>
    <x v="3"/>
    <x v="0"/>
    <x v="0"/>
    <x v="0"/>
    <x v="0"/>
    <x v="2"/>
    <x v="0"/>
    <n v="0"/>
    <n v="0"/>
    <n v="421.32799999999997"/>
    <n v="421.32799999999997"/>
    <n v="421.32799999999997"/>
    <n v="421.32799999999997"/>
    <n v="210"/>
    <x v="0"/>
    <n v="0"/>
    <n v="0"/>
    <n v="26"/>
    <n v="75"/>
    <n v="0"/>
    <n v="269.06"/>
    <n v="133.97"/>
    <m/>
    <n v="343.81469354767324"/>
    <n v="114.76529888966962"/>
    <n v="0"/>
    <n v="113362.51168"/>
    <n v="56445.312159999994"/>
    <n v="0"/>
    <n v="144858.75720305406"/>
    <n v="48353.833850586721"/>
  </r>
  <r>
    <s v="Sistema de Compensação"/>
    <x v="4"/>
    <x v="3"/>
    <x v="0"/>
    <x v="0"/>
    <x v="0"/>
    <x v="0"/>
    <x v="2"/>
    <x v="0"/>
    <n v="0"/>
    <n v="0"/>
    <n v="8.4740000000000002"/>
    <n v="8.4740000000000002"/>
    <n v="8.4740000000000002"/>
    <n v="8.4740000000000002"/>
    <n v="2"/>
    <x v="0"/>
    <n v="0"/>
    <n v="0"/>
    <n v="26"/>
    <n v="75"/>
    <n v="0"/>
    <n v="269.06"/>
    <n v="133.97"/>
    <m/>
    <n v="343.81469354767324"/>
    <n v="114.76529888966962"/>
    <n v="0"/>
    <n v="2280.0144399999999"/>
    <n v="1135.26178"/>
    <n v="0"/>
    <n v="2913.4857131229833"/>
    <n v="972.52114279106036"/>
  </r>
  <r>
    <s v="Regular"/>
    <x v="4"/>
    <x v="3"/>
    <x v="0"/>
    <x v="0"/>
    <x v="0"/>
    <x v="0"/>
    <x v="2"/>
    <x v="1"/>
    <n v="0"/>
    <n v="0"/>
    <n v="403.44600000000003"/>
    <n v="403.44600000000003"/>
    <n v="403.44600000000003"/>
    <n v="403.44600000000003"/>
    <n v="208"/>
    <x v="0"/>
    <n v="0"/>
    <n v="0"/>
    <n v="26"/>
    <n v="75"/>
    <n v="0"/>
    <n v="269.06"/>
    <n v="133.97"/>
    <m/>
    <n v="343.81469354767324"/>
    <n v="114.76529888966962"/>
    <n v="0"/>
    <n v="108551.18076"/>
    <n v="54049.660620000002"/>
    <n v="0"/>
    <n v="138710.66285303459"/>
    <n v="46301.600775841653"/>
  </r>
  <r>
    <s v="Sistema de Compensação"/>
    <x v="4"/>
    <x v="3"/>
    <x v="0"/>
    <x v="0"/>
    <x v="0"/>
    <x v="0"/>
    <x v="2"/>
    <x v="1"/>
    <n v="0"/>
    <n v="0"/>
    <n v="7.7519999999999998"/>
    <n v="7.7519999999999998"/>
    <n v="7.7519999999999998"/>
    <n v="7.7519999999999998"/>
    <n v="2"/>
    <x v="0"/>
    <n v="0"/>
    <n v="0"/>
    <n v="26"/>
    <n v="75"/>
    <n v="0"/>
    <n v="269.06"/>
    <n v="133.97"/>
    <m/>
    <n v="343.81469354767324"/>
    <n v="114.76529888966962"/>
    <n v="0"/>
    <n v="2085.7531199999999"/>
    <n v="1038.5354399999999"/>
    <n v="0"/>
    <n v="2665.2515043815629"/>
    <n v="889.66059699271887"/>
  </r>
  <r>
    <s v="Regular"/>
    <x v="4"/>
    <x v="3"/>
    <x v="0"/>
    <x v="0"/>
    <x v="0"/>
    <x v="0"/>
    <x v="2"/>
    <x v="2"/>
    <n v="0"/>
    <n v="0"/>
    <n v="396.29"/>
    <n v="396.29"/>
    <n v="396.29"/>
    <n v="396.29"/>
    <n v="211"/>
    <x v="0"/>
    <n v="0"/>
    <n v="0"/>
    <n v="26"/>
    <n v="75"/>
    <n v="0"/>
    <n v="269.06"/>
    <n v="133.97"/>
    <m/>
    <n v="343.81469354767324"/>
    <n v="114.76529888966962"/>
    <n v="0"/>
    <n v="106625.7874"/>
    <n v="53090.971300000005"/>
    <n v="0"/>
    <n v="136250.32490600744"/>
    <n v="45480.340296987175"/>
  </r>
  <r>
    <s v="Sistema de Compensação"/>
    <x v="4"/>
    <x v="3"/>
    <x v="0"/>
    <x v="0"/>
    <x v="0"/>
    <x v="0"/>
    <x v="2"/>
    <x v="2"/>
    <n v="0"/>
    <n v="0"/>
    <n v="2.9119999999999999"/>
    <n v="2.9119999999999999"/>
    <n v="2.9119999999999999"/>
    <n v="2.9119999999999999"/>
    <n v="2"/>
    <x v="0"/>
    <n v="0"/>
    <n v="0"/>
    <n v="26"/>
    <n v="75"/>
    <n v="0"/>
    <n v="269.06"/>
    <n v="133.97"/>
    <m/>
    <n v="343.81469354767324"/>
    <n v="114.76529888966962"/>
    <n v="0"/>
    <n v="783.50271999999995"/>
    <n v="390.12063999999998"/>
    <n v="0"/>
    <n v="1001.1883876108244"/>
    <n v="334.19655036671793"/>
  </r>
  <r>
    <s v="Regular"/>
    <x v="4"/>
    <x v="3"/>
    <x v="0"/>
    <x v="0"/>
    <x v="0"/>
    <x v="0"/>
    <x v="2"/>
    <x v="3"/>
    <n v="0"/>
    <n v="0"/>
    <n v="408.26499999999999"/>
    <n v="408.26499999999999"/>
    <n v="408.26499999999999"/>
    <n v="408.26499999999999"/>
    <n v="216"/>
    <x v="0"/>
    <n v="0"/>
    <n v="0"/>
    <n v="26"/>
    <n v="75"/>
    <n v="0"/>
    <n v="269.06"/>
    <n v="133.97"/>
    <m/>
    <n v="343.81469354767324"/>
    <n v="114.76529888966962"/>
    <n v="0"/>
    <n v="109847.7809"/>
    <n v="54695.262049999998"/>
    <n v="0"/>
    <n v="140367.50586124082"/>
    <n v="46854.654751190967"/>
  </r>
  <r>
    <s v="Sistema de Compensação"/>
    <x v="4"/>
    <x v="3"/>
    <x v="0"/>
    <x v="0"/>
    <x v="0"/>
    <x v="0"/>
    <x v="2"/>
    <x v="3"/>
    <n v="0"/>
    <n v="0"/>
    <n v="2.2069999999999999"/>
    <n v="2.2069999999999999"/>
    <n v="2.2069999999999999"/>
    <n v="2.2069999999999999"/>
    <n v="2"/>
    <x v="0"/>
    <n v="0"/>
    <n v="0"/>
    <n v="26"/>
    <n v="75"/>
    <n v="0"/>
    <n v="269.06"/>
    <n v="133.97"/>
    <m/>
    <n v="343.81469354767324"/>
    <n v="114.76529888966962"/>
    <n v="0"/>
    <n v="593.81542000000002"/>
    <n v="295.67178999999999"/>
    <n v="0"/>
    <n v="758.79902865971485"/>
    <n v="253.28701464950083"/>
  </r>
  <r>
    <s v="Regular"/>
    <x v="4"/>
    <x v="3"/>
    <x v="0"/>
    <x v="0"/>
    <x v="0"/>
    <x v="0"/>
    <x v="2"/>
    <x v="4"/>
    <n v="0"/>
    <n v="0"/>
    <n v="360.74799999999999"/>
    <n v="360.74799999999999"/>
    <n v="360.74799999999999"/>
    <n v="360.74799999999999"/>
    <n v="218"/>
    <x v="0"/>
    <n v="0"/>
    <n v="0"/>
    <n v="26"/>
    <n v="75"/>
    <n v="0"/>
    <n v="269.06"/>
    <n v="133.97"/>
    <m/>
    <n v="343.81469354767324"/>
    <n v="114.76529888966962"/>
    <n v="0"/>
    <n v="97062.856879999992"/>
    <n v="48329.40956"/>
    <n v="0"/>
    <n v="124030.46306793603"/>
    <n v="41401.352043850537"/>
  </r>
  <r>
    <s v="Sistema de Compensação"/>
    <x v="4"/>
    <x v="3"/>
    <x v="0"/>
    <x v="0"/>
    <x v="0"/>
    <x v="0"/>
    <x v="2"/>
    <x v="4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0"/>
    <x v="0"/>
    <x v="0"/>
    <x v="0"/>
    <x v="2"/>
    <x v="5"/>
    <n v="0"/>
    <n v="0"/>
    <n v="452.41800000000001"/>
    <n v="452.41800000000001"/>
    <n v="452.41800000000001"/>
    <n v="452.41800000000001"/>
    <n v="225"/>
    <x v="0"/>
    <n v="0"/>
    <n v="0"/>
    <n v="26"/>
    <n v="75"/>
    <n v="0"/>
    <n v="269.06"/>
    <n v="133.97"/>
    <m/>
    <n v="343.81469354767324"/>
    <n v="114.76529888966962"/>
    <n v="0"/>
    <n v="121727.58708"/>
    <n v="60610.439460000001"/>
    <n v="0"/>
    <n v="155547.95602545125"/>
    <n v="51921.886993066553"/>
  </r>
  <r>
    <s v="Sistema de Compensação"/>
    <x v="4"/>
    <x v="3"/>
    <x v="0"/>
    <x v="0"/>
    <x v="0"/>
    <x v="0"/>
    <x v="2"/>
    <x v="5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0"/>
    <x v="0"/>
    <x v="0"/>
    <x v="0"/>
    <x v="2"/>
    <x v="6"/>
    <n v="0"/>
    <n v="0"/>
    <n v="456.41500000000002"/>
    <n v="456.41500000000002"/>
    <n v="456.41500000000002"/>
    <n v="456.41500000000002"/>
    <n v="227"/>
    <x v="0"/>
    <n v="0"/>
    <n v="0"/>
    <n v="26"/>
    <n v="75"/>
    <n v="0"/>
    <n v="269.06"/>
    <n v="133.97"/>
    <m/>
    <n v="343.81469354767324"/>
    <n v="114.76529888966962"/>
    <n v="0"/>
    <n v="122803.0199"/>
    <n v="61145.917550000006"/>
    <n v="0"/>
    <n v="156922.18335556128"/>
    <n v="52380.603892728563"/>
  </r>
  <r>
    <s v="Sistema de Compensação"/>
    <x v="4"/>
    <x v="3"/>
    <x v="0"/>
    <x v="0"/>
    <x v="0"/>
    <x v="0"/>
    <x v="2"/>
    <x v="6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0"/>
    <x v="0"/>
    <x v="0"/>
    <x v="0"/>
    <x v="2"/>
    <x v="7"/>
    <n v="0"/>
    <n v="0"/>
    <n v="439.601"/>
    <n v="439.601"/>
    <n v="439.601"/>
    <n v="439.601"/>
    <n v="229"/>
    <x v="0"/>
    <n v="0"/>
    <n v="0"/>
    <n v="26"/>
    <n v="75"/>
    <n v="0"/>
    <n v="269.06"/>
    <n v="133.97"/>
    <m/>
    <n v="343.81469354767324"/>
    <n v="114.76529888966962"/>
    <n v="0"/>
    <n v="118279.04506"/>
    <n v="58893.345970000002"/>
    <n v="0"/>
    <n v="151141.28309825071"/>
    <n v="50450.940157197656"/>
  </r>
  <r>
    <s v="Sistema de Compensação"/>
    <x v="4"/>
    <x v="3"/>
    <x v="0"/>
    <x v="0"/>
    <x v="0"/>
    <x v="0"/>
    <x v="2"/>
    <x v="7"/>
    <n v="0"/>
    <n v="0"/>
    <n v="2.9140000000000001"/>
    <n v="2.9140000000000001"/>
    <n v="2.9140000000000001"/>
    <n v="2.9140000000000001"/>
    <n v="2"/>
    <x v="0"/>
    <n v="0"/>
    <n v="0"/>
    <n v="26"/>
    <n v="75"/>
    <n v="0"/>
    <n v="269.06"/>
    <n v="133.97"/>
    <m/>
    <n v="343.81469354767324"/>
    <n v="114.76529888966962"/>
    <n v="0"/>
    <n v="784.04084"/>
    <n v="390.38857999999999"/>
    <n v="0"/>
    <n v="1001.8760169979199"/>
    <n v="334.42608096449732"/>
  </r>
  <r>
    <s v="Regular"/>
    <x v="4"/>
    <x v="3"/>
    <x v="0"/>
    <x v="0"/>
    <x v="0"/>
    <x v="0"/>
    <x v="2"/>
    <x v="8"/>
    <n v="0"/>
    <n v="0"/>
    <n v="401.34"/>
    <n v="401.34"/>
    <n v="401.34"/>
    <n v="401.34"/>
    <n v="228"/>
    <x v="0"/>
    <n v="0"/>
    <n v="0"/>
    <n v="26"/>
    <n v="75"/>
    <n v="0"/>
    <n v="269.06"/>
    <n v="133.97"/>
    <m/>
    <n v="343.81469354767324"/>
    <n v="114.76529888966962"/>
    <n v="0"/>
    <n v="107984.5404"/>
    <n v="53767.519799999995"/>
    <n v="0"/>
    <n v="137986.58910842318"/>
    <n v="46059.905056380005"/>
  </r>
  <r>
    <s v="Sistema de Compensação"/>
    <x v="4"/>
    <x v="3"/>
    <x v="0"/>
    <x v="0"/>
    <x v="0"/>
    <x v="0"/>
    <x v="2"/>
    <x v="8"/>
    <n v="0"/>
    <n v="0"/>
    <n v="6.3070000000000004"/>
    <n v="6.3070000000000004"/>
    <n v="6.3070000000000004"/>
    <n v="6.3070000000000004"/>
    <n v="3"/>
    <x v="0"/>
    <n v="0"/>
    <n v="0"/>
    <n v="26"/>
    <n v="75"/>
    <n v="0"/>
    <n v="269.06"/>
    <n v="133.97"/>
    <m/>
    <n v="343.81469354767324"/>
    <n v="114.76529888966962"/>
    <n v="0"/>
    <n v="1696.9614200000001"/>
    <n v="844.94879000000003"/>
    <n v="0"/>
    <n v="2168.4392722051753"/>
    <n v="723.82474009714633"/>
  </r>
  <r>
    <s v="Regular"/>
    <x v="4"/>
    <x v="3"/>
    <x v="0"/>
    <x v="0"/>
    <x v="0"/>
    <x v="0"/>
    <x v="2"/>
    <x v="9"/>
    <n v="0"/>
    <n v="0"/>
    <n v="391.52"/>
    <n v="391.52"/>
    <n v="391.52"/>
    <n v="391.52"/>
    <n v="226"/>
    <x v="0"/>
    <n v="0"/>
    <n v="0"/>
    <n v="26"/>
    <n v="75"/>
    <n v="0"/>
    <n v="269.06"/>
    <n v="133.97"/>
    <m/>
    <n v="343.81469354767324"/>
    <n v="114.76529888966962"/>
    <n v="0"/>
    <n v="105342.37119999999"/>
    <n v="52451.934399999998"/>
    <n v="0"/>
    <n v="134610.32881778502"/>
    <n v="44932.909821283451"/>
  </r>
  <r>
    <s v="Sistema de Compensação"/>
    <x v="4"/>
    <x v="3"/>
    <x v="0"/>
    <x v="0"/>
    <x v="0"/>
    <x v="0"/>
    <x v="2"/>
    <x v="9"/>
    <n v="0"/>
    <n v="0"/>
    <n v="12.25"/>
    <n v="12.25"/>
    <n v="12.25"/>
    <n v="12.25"/>
    <n v="5"/>
    <x v="0"/>
    <n v="0"/>
    <n v="0"/>
    <n v="26"/>
    <n v="75"/>
    <n v="0"/>
    <n v="269.06"/>
    <n v="133.97"/>
    <m/>
    <n v="343.81469354767324"/>
    <n v="114.76529888966962"/>
    <n v="0"/>
    <n v="3295.9850000000001"/>
    <n v="1641.1324999999999"/>
    <n v="0"/>
    <n v="4211.7299959589973"/>
    <n v="1405.8749113984529"/>
  </r>
  <r>
    <s v="Regular"/>
    <x v="4"/>
    <x v="3"/>
    <x v="0"/>
    <x v="0"/>
    <x v="0"/>
    <x v="0"/>
    <x v="2"/>
    <x v="10"/>
    <n v="0"/>
    <n v="0"/>
    <n v="377.15899999999999"/>
    <n v="377.15899999999999"/>
    <n v="377.15899999999999"/>
    <n v="377.15899999999999"/>
    <n v="224"/>
    <x v="0"/>
    <n v="0"/>
    <n v="0"/>
    <n v="26"/>
    <n v="75"/>
    <n v="0"/>
    <n v="269.06"/>
    <n v="133.97"/>
    <m/>
    <n v="343.81469354767324"/>
    <n v="114.76529888966962"/>
    <n v="0"/>
    <n v="101478.40054"/>
    <n v="50527.99123"/>
    <n v="0"/>
    <n v="129672.8060037469"/>
    <n v="43284.765363928906"/>
  </r>
  <r>
    <s v="Sistema de Compensação"/>
    <x v="4"/>
    <x v="3"/>
    <x v="0"/>
    <x v="0"/>
    <x v="0"/>
    <x v="0"/>
    <x v="2"/>
    <x v="10"/>
    <n v="0"/>
    <n v="0"/>
    <n v="10.179"/>
    <n v="10.179"/>
    <n v="10.179"/>
    <n v="10.179"/>
    <n v="5"/>
    <x v="0"/>
    <n v="0"/>
    <n v="0"/>
    <n v="26"/>
    <n v="75"/>
    <n v="0"/>
    <n v="269.06"/>
    <n v="133.97"/>
    <m/>
    <n v="343.81469354767324"/>
    <n v="114.76529888966962"/>
    <n v="0"/>
    <n v="2738.7617399999999"/>
    <n v="1363.6806300000001"/>
    <n v="0"/>
    <n v="3499.6897656217661"/>
    <n v="1168.1959773979472"/>
  </r>
  <r>
    <s v="PROJETADO"/>
    <x v="4"/>
    <x v="3"/>
    <x v="0"/>
    <x v="0"/>
    <x v="0"/>
    <x v="0"/>
    <x v="2"/>
    <x v="11"/>
    <n v="0"/>
    <n v="0"/>
    <n v="377.15899999999999"/>
    <n v="377.15899999999999"/>
    <n v="377.15899999999999"/>
    <n v="377.15899999999999"/>
    <n v="224"/>
    <x v="0"/>
    <n v="0"/>
    <n v="0"/>
    <n v="26"/>
    <n v="75"/>
    <n v="0"/>
    <n v="269.06"/>
    <n v="133.97"/>
    <m/>
    <n v="343.81469354767324"/>
    <n v="114.76529888966962"/>
    <n v="0"/>
    <n v="101478.40054"/>
    <n v="50527.99123"/>
    <n v="0"/>
    <n v="129672.8060037469"/>
    <n v="43284.765363928906"/>
  </r>
  <r>
    <s v="PROJETADO"/>
    <x v="4"/>
    <x v="3"/>
    <x v="0"/>
    <x v="0"/>
    <x v="0"/>
    <x v="0"/>
    <x v="2"/>
    <x v="11"/>
    <n v="0"/>
    <n v="0"/>
    <n v="10.179"/>
    <n v="10.179"/>
    <n v="10.179"/>
    <n v="10.179"/>
    <n v="5"/>
    <x v="0"/>
    <n v="0"/>
    <n v="0"/>
    <n v="26"/>
    <n v="75"/>
    <n v="0"/>
    <n v="269.06"/>
    <n v="133.97"/>
    <m/>
    <n v="343.81469354767324"/>
    <n v="114.76529888966962"/>
    <n v="0"/>
    <n v="2738.7617399999999"/>
    <n v="1363.6806300000001"/>
    <n v="0"/>
    <n v="3499.6897656217661"/>
    <n v="1168.1959773979472"/>
  </r>
  <r>
    <s v="Regular"/>
    <x v="4"/>
    <x v="3"/>
    <x v="4"/>
    <x v="0"/>
    <x v="0"/>
    <x v="0"/>
    <x v="2"/>
    <x v="0"/>
    <n v="0"/>
    <n v="0"/>
    <n v="164.27799999999999"/>
    <n v="164.27799999999999"/>
    <n v="164.27799999999999"/>
    <n v="164.27799999999999"/>
    <n v="208"/>
    <x v="0"/>
    <n v="0"/>
    <n v="0"/>
    <n v="26"/>
    <n v="75"/>
    <n v="0"/>
    <n v="269.06"/>
    <n v="133.97"/>
    <m/>
    <n v="343.81469354767324"/>
    <n v="114.76529888966962"/>
    <n v="0"/>
    <n v="44200.638679999996"/>
    <n v="22008.323659999998"/>
    <n v="0"/>
    <n v="56481.190226624662"/>
    <n v="18853.413770997144"/>
  </r>
  <r>
    <s v="Regular"/>
    <x v="4"/>
    <x v="3"/>
    <x v="4"/>
    <x v="0"/>
    <x v="0"/>
    <x v="0"/>
    <x v="2"/>
    <x v="1"/>
    <n v="0"/>
    <n v="0"/>
    <n v="160.94"/>
    <n v="160.94"/>
    <n v="160.94"/>
    <n v="160.94"/>
    <n v="210"/>
    <x v="0"/>
    <n v="0"/>
    <n v="0"/>
    <n v="26"/>
    <n v="75"/>
    <n v="0"/>
    <n v="269.06"/>
    <n v="133.97"/>
    <m/>
    <n v="343.81469354767324"/>
    <n v="114.76529888966962"/>
    <n v="0"/>
    <n v="43302.5164"/>
    <n v="21561.131799999999"/>
    <n v="0"/>
    <n v="55333.536779562528"/>
    <n v="18470.32720330343"/>
  </r>
  <r>
    <s v="Regular"/>
    <x v="4"/>
    <x v="3"/>
    <x v="4"/>
    <x v="0"/>
    <x v="0"/>
    <x v="0"/>
    <x v="2"/>
    <x v="2"/>
    <n v="0"/>
    <n v="0"/>
    <n v="183.25700000000001"/>
    <n v="183.25700000000001"/>
    <n v="183.25700000000001"/>
    <n v="183.25700000000001"/>
    <n v="210"/>
    <x v="0"/>
    <n v="0"/>
    <n v="0"/>
    <n v="26"/>
    <n v="75"/>
    <n v="0"/>
    <n v="269.06"/>
    <n v="133.97"/>
    <m/>
    <n v="343.81469354767324"/>
    <n v="114.76529888966962"/>
    <n v="0"/>
    <n v="49307.128420000001"/>
    <n v="24550.940290000002"/>
    <n v="0"/>
    <n v="63006.449295465958"/>
    <n v="21031.544378624185"/>
  </r>
  <r>
    <s v="Regular"/>
    <x v="4"/>
    <x v="3"/>
    <x v="4"/>
    <x v="0"/>
    <x v="0"/>
    <x v="0"/>
    <x v="2"/>
    <x v="3"/>
    <n v="0"/>
    <n v="0"/>
    <n v="203.458"/>
    <n v="203.458"/>
    <n v="203.458"/>
    <n v="203.458"/>
    <n v="211"/>
    <x v="0"/>
    <n v="0"/>
    <n v="0"/>
    <n v="26"/>
    <n v="75"/>
    <n v="0"/>
    <n v="269.06"/>
    <n v="133.97"/>
    <m/>
    <n v="343.81469354767324"/>
    <n v="114.76529888966962"/>
    <n v="0"/>
    <n v="54742.409480000002"/>
    <n v="27257.268260000001"/>
    <n v="0"/>
    <n v="69951.849919822504"/>
    <n v="23349.918181494402"/>
  </r>
  <r>
    <s v="Regular"/>
    <x v="4"/>
    <x v="3"/>
    <x v="4"/>
    <x v="0"/>
    <x v="0"/>
    <x v="0"/>
    <x v="2"/>
    <x v="4"/>
    <n v="0"/>
    <n v="0"/>
    <n v="168.26599999999999"/>
    <n v="168.26599999999999"/>
    <n v="168.26599999999999"/>
    <n v="168.26599999999999"/>
    <n v="211"/>
    <x v="0"/>
    <n v="0"/>
    <n v="0"/>
    <n v="26"/>
    <n v="75"/>
    <n v="0"/>
    <n v="269.06"/>
    <n v="133.97"/>
    <m/>
    <n v="343.81469354767324"/>
    <n v="114.76529888966962"/>
    <n v="0"/>
    <n v="45273.649959999995"/>
    <n v="22542.596019999997"/>
    <n v="0"/>
    <n v="57852.323224492786"/>
    <n v="19311.097782969147"/>
  </r>
  <r>
    <s v="Regular"/>
    <x v="4"/>
    <x v="3"/>
    <x v="4"/>
    <x v="0"/>
    <x v="0"/>
    <x v="0"/>
    <x v="2"/>
    <x v="5"/>
    <n v="0"/>
    <n v="0"/>
    <n v="190.214"/>
    <n v="190.214"/>
    <n v="190.214"/>
    <n v="190.214"/>
    <n v="211"/>
    <x v="0"/>
    <n v="0"/>
    <n v="0"/>
    <n v="26"/>
    <n v="75"/>
    <n v="0"/>
    <n v="269.06"/>
    <n v="133.97"/>
    <m/>
    <n v="343.81469354767324"/>
    <n v="114.76529888966962"/>
    <n v="0"/>
    <n v="51178.978840000003"/>
    <n v="25482.969580000001"/>
    <n v="0"/>
    <n v="65398.368118477119"/>
    <n v="21829.966562999616"/>
  </r>
  <r>
    <s v="Regular"/>
    <x v="4"/>
    <x v="3"/>
    <x v="4"/>
    <x v="0"/>
    <x v="0"/>
    <x v="0"/>
    <x v="2"/>
    <x v="6"/>
    <n v="0"/>
    <n v="0"/>
    <n v="271.21300000000002"/>
    <n v="271.21300000000002"/>
    <n v="271.21300000000002"/>
    <n v="271.21300000000002"/>
    <n v="210"/>
    <x v="0"/>
    <n v="0"/>
    <n v="0"/>
    <n v="26"/>
    <n v="75"/>
    <n v="0"/>
    <n v="269.06"/>
    <n v="133.97"/>
    <m/>
    <n v="343.81469354767324"/>
    <n v="114.76529888966962"/>
    <n v="0"/>
    <n v="72972.569780000005"/>
    <n v="36334.405610000002"/>
    <n v="0"/>
    <n v="93247.014481145117"/>
    <n v="31125.841007763971"/>
  </r>
  <r>
    <s v="Regular"/>
    <x v="4"/>
    <x v="3"/>
    <x v="4"/>
    <x v="0"/>
    <x v="0"/>
    <x v="0"/>
    <x v="2"/>
    <x v="7"/>
    <n v="0"/>
    <n v="0"/>
    <n v="203.14"/>
    <n v="203.14"/>
    <n v="203.14"/>
    <n v="203.14"/>
    <n v="219"/>
    <x v="0"/>
    <n v="0"/>
    <n v="0"/>
    <n v="26"/>
    <n v="75"/>
    <n v="0"/>
    <n v="269.06"/>
    <n v="133.97"/>
    <m/>
    <n v="343.81469354767324"/>
    <n v="114.76529888966962"/>
    <n v="0"/>
    <n v="54656.848399999995"/>
    <n v="27214.665799999999"/>
    <n v="0"/>
    <n v="69842.516847274339"/>
    <n v="23313.422816447484"/>
  </r>
  <r>
    <s v="Regular"/>
    <x v="4"/>
    <x v="3"/>
    <x v="4"/>
    <x v="0"/>
    <x v="0"/>
    <x v="0"/>
    <x v="2"/>
    <x v="8"/>
    <n v="0"/>
    <n v="0"/>
    <n v="152.38800000000001"/>
    <n v="152.38800000000001"/>
    <n v="152.38800000000001"/>
    <n v="152.38800000000001"/>
    <n v="218"/>
    <x v="0"/>
    <n v="0"/>
    <n v="0"/>
    <n v="26"/>
    <n v="75"/>
    <n v="0"/>
    <n v="269.06"/>
    <n v="133.97"/>
    <m/>
    <n v="343.81469354767324"/>
    <n v="114.76529888966962"/>
    <n v="0"/>
    <n v="41001.51528"/>
    <n v="20415.42036"/>
    <n v="0"/>
    <n v="52393.23352034283"/>
    <n v="17488.854367198976"/>
  </r>
  <r>
    <s v="Sistema de Compensação"/>
    <x v="4"/>
    <x v="3"/>
    <x v="4"/>
    <x v="0"/>
    <x v="0"/>
    <x v="0"/>
    <x v="2"/>
    <x v="8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4"/>
    <x v="0"/>
    <x v="0"/>
    <x v="0"/>
    <x v="2"/>
    <x v="9"/>
    <n v="0"/>
    <n v="0"/>
    <n v="151.66300000000001"/>
    <n v="151.66300000000001"/>
    <n v="151.66300000000001"/>
    <n v="151.66300000000001"/>
    <n v="217"/>
    <x v="0"/>
    <n v="0"/>
    <n v="0"/>
    <n v="26"/>
    <n v="75"/>
    <n v="0"/>
    <n v="269.06"/>
    <n v="133.97"/>
    <m/>
    <n v="343.81469354767324"/>
    <n v="114.76529888966962"/>
    <n v="0"/>
    <n v="40806.446780000006"/>
    <n v="20318.292110000002"/>
    <n v="0"/>
    <n v="52143.967867520769"/>
    <n v="17405.649525503966"/>
  </r>
  <r>
    <s v="Sistema de Compensação"/>
    <x v="4"/>
    <x v="3"/>
    <x v="4"/>
    <x v="0"/>
    <x v="0"/>
    <x v="0"/>
    <x v="2"/>
    <x v="9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4"/>
    <x v="0"/>
    <x v="0"/>
    <x v="0"/>
    <x v="2"/>
    <x v="10"/>
    <n v="0"/>
    <n v="0"/>
    <n v="155.661"/>
    <n v="155.661"/>
    <n v="155.661"/>
    <n v="155.661"/>
    <n v="217"/>
    <x v="0"/>
    <n v="0"/>
    <n v="0"/>
    <n v="26"/>
    <n v="75"/>
    <n v="0"/>
    <n v="269.06"/>
    <n v="133.97"/>
    <m/>
    <n v="343.81469354767324"/>
    <n v="114.76529888966962"/>
    <n v="0"/>
    <n v="41882.148659999999"/>
    <n v="20853.904170000002"/>
    <n v="0"/>
    <n v="53518.539012324363"/>
    <n v="17864.481190464863"/>
  </r>
  <r>
    <s v="Sistema de Compensação"/>
    <x v="4"/>
    <x v="3"/>
    <x v="4"/>
    <x v="0"/>
    <x v="0"/>
    <x v="0"/>
    <x v="2"/>
    <x v="10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PROJETADO"/>
    <x v="4"/>
    <x v="3"/>
    <x v="4"/>
    <x v="0"/>
    <x v="0"/>
    <x v="0"/>
    <x v="2"/>
    <x v="11"/>
    <n v="0"/>
    <n v="0"/>
    <n v="155.661"/>
    <n v="155.661"/>
    <n v="155.661"/>
    <n v="155.661"/>
    <n v="217"/>
    <x v="0"/>
    <n v="0"/>
    <n v="0"/>
    <n v="26"/>
    <n v="75"/>
    <n v="0"/>
    <n v="269.06"/>
    <n v="133.97"/>
    <m/>
    <n v="343.81469354767324"/>
    <n v="114.76529888966962"/>
    <n v="0"/>
    <n v="41882.148659999999"/>
    <n v="20853.904170000002"/>
    <n v="0"/>
    <n v="53518.539012324363"/>
    <n v="17864.481190464863"/>
  </r>
  <r>
    <s v="PROJETADO"/>
    <x v="4"/>
    <x v="3"/>
    <x v="4"/>
    <x v="0"/>
    <x v="0"/>
    <x v="0"/>
    <x v="2"/>
    <x v="11"/>
    <n v="0"/>
    <n v="0"/>
    <n v="0.2"/>
    <n v="0.2"/>
    <n v="0.2"/>
    <n v="0.2"/>
    <n v="2"/>
    <x v="0"/>
    <n v="0"/>
    <n v="0"/>
    <n v="26"/>
    <n v="75"/>
    <n v="0"/>
    <n v="269.06"/>
    <n v="133.97"/>
    <m/>
    <n v="343.81469354767324"/>
    <n v="114.76529888966962"/>
    <n v="0"/>
    <n v="53.812000000000005"/>
    <n v="26.794"/>
    <n v="0"/>
    <n v="68.762938709534652"/>
    <n v="22.953059777933927"/>
  </r>
  <r>
    <s v="Regular"/>
    <x v="4"/>
    <x v="3"/>
    <x v="1"/>
    <x v="1"/>
    <x v="0"/>
    <x v="0"/>
    <x v="2"/>
    <x v="0"/>
    <n v="0"/>
    <n v="0"/>
    <n v="76.369"/>
    <n v="71.78685999999999"/>
    <n v="76.369"/>
    <n v="71.78685999999999"/>
    <n v="29"/>
    <x v="0"/>
    <n v="0"/>
    <n v="0"/>
    <n v="26"/>
    <n v="75"/>
    <n v="0"/>
    <n v="269.06"/>
    <n v="133.97"/>
    <m/>
    <n v="343.81469354767324"/>
    <n v="114.76529888966962"/>
    <n v="0"/>
    <n v="19314.972551599996"/>
    <n v="9617.2856341999977"/>
    <n v="0"/>
    <n v="24681.377271649719"/>
    <n v="8238.6404442508683"/>
  </r>
  <r>
    <s v="Regular"/>
    <x v="4"/>
    <x v="3"/>
    <x v="1"/>
    <x v="1"/>
    <x v="0"/>
    <x v="0"/>
    <x v="2"/>
    <x v="1"/>
    <n v="0"/>
    <n v="0"/>
    <n v="77.210999999999999"/>
    <n v="72.578339999999997"/>
    <n v="77.210999999999999"/>
    <n v="72.578339999999997"/>
    <n v="28"/>
    <x v="0"/>
    <n v="0"/>
    <n v="0"/>
    <n v="26"/>
    <n v="75"/>
    <n v="0"/>
    <n v="269.06"/>
    <n v="133.97"/>
    <m/>
    <n v="343.81469354767324"/>
    <n v="114.76529888966962"/>
    <n v="0"/>
    <n v="19527.928160399999"/>
    <n v="9723.3202098000002"/>
    <n v="0"/>
    <n v="24953.499725298832"/>
    <n v="8329.4748830160643"/>
  </r>
  <r>
    <s v="Regular"/>
    <x v="4"/>
    <x v="3"/>
    <x v="1"/>
    <x v="1"/>
    <x v="0"/>
    <x v="0"/>
    <x v="2"/>
    <x v="2"/>
    <n v="0"/>
    <n v="0"/>
    <n v="74.158000000000001"/>
    <n v="69.708519999999993"/>
    <n v="74.158000000000001"/>
    <n v="69.708519999999993"/>
    <n v="28"/>
    <x v="0"/>
    <n v="0"/>
    <n v="0"/>
    <n v="26"/>
    <n v="75"/>
    <n v="0"/>
    <n v="269.06"/>
    <n v="133.97"/>
    <m/>
    <n v="343.81469354767324"/>
    <n v="114.76529888966962"/>
    <n v="0"/>
    <n v="18755.774391199997"/>
    <n v="9338.8504243999996"/>
    <n v="0"/>
    <n v="23966.813441461847"/>
    <n v="8000.1191329565117"/>
  </r>
  <r>
    <s v="Regular"/>
    <x v="4"/>
    <x v="3"/>
    <x v="1"/>
    <x v="1"/>
    <x v="0"/>
    <x v="0"/>
    <x v="2"/>
    <x v="3"/>
    <n v="0"/>
    <n v="0"/>
    <n v="73.266000000000005"/>
    <n v="68.870040000000003"/>
    <n v="73.266000000000005"/>
    <n v="68.870040000000003"/>
    <n v="28"/>
    <x v="0"/>
    <n v="0"/>
    <n v="0"/>
    <n v="26"/>
    <n v="75"/>
    <n v="0"/>
    <n v="269.06"/>
    <n v="133.97"/>
    <m/>
    <n v="343.81469354767324"/>
    <n v="114.76529888966962"/>
    <n v="0"/>
    <n v="18530.1729624"/>
    <n v="9226.5192588000009"/>
    <n v="0"/>
    <n v="23678.531697216"/>
    <n v="7903.890725143503"/>
  </r>
  <r>
    <s v="Regular"/>
    <x v="4"/>
    <x v="3"/>
    <x v="1"/>
    <x v="1"/>
    <x v="0"/>
    <x v="0"/>
    <x v="2"/>
    <x v="4"/>
    <n v="0"/>
    <n v="0"/>
    <n v="77.051000000000002"/>
    <n v="72.427940000000007"/>
    <n v="77.051000000000002"/>
    <n v="72.427940000000007"/>
    <n v="28"/>
    <x v="0"/>
    <n v="0"/>
    <n v="0"/>
    <n v="26"/>
    <n v="75"/>
    <n v="0"/>
    <n v="269.06"/>
    <n v="133.97"/>
    <m/>
    <n v="343.81469354767324"/>
    <n v="114.76529888966962"/>
    <n v="0"/>
    <n v="19487.461536400002"/>
    <n v="9703.1711218"/>
    <n v="0"/>
    <n v="24901.789995389267"/>
    <n v="8312.2141820630586"/>
  </r>
  <r>
    <s v="Regular"/>
    <x v="4"/>
    <x v="3"/>
    <x v="1"/>
    <x v="1"/>
    <x v="0"/>
    <x v="0"/>
    <x v="2"/>
    <x v="5"/>
    <n v="0"/>
    <n v="0"/>
    <n v="70.441000000000003"/>
    <n v="66.21454"/>
    <n v="70.441000000000003"/>
    <n v="66.21454"/>
    <n v="28"/>
    <x v="0"/>
    <n v="0"/>
    <n v="0"/>
    <n v="26"/>
    <n v="75"/>
    <n v="0"/>
    <n v="269.06"/>
    <n v="133.97"/>
    <m/>
    <n v="343.81469354767324"/>
    <n v="114.76529888966962"/>
    <n v="0"/>
    <n v="17815.684132400002"/>
    <n v="8870.7619238000007"/>
    <n v="0"/>
    <n v="22765.531778500153"/>
    <n v="7599.131473941985"/>
  </r>
  <r>
    <s v="Regular"/>
    <x v="4"/>
    <x v="3"/>
    <x v="1"/>
    <x v="1"/>
    <x v="0"/>
    <x v="0"/>
    <x v="2"/>
    <x v="6"/>
    <n v="0"/>
    <n v="0"/>
    <n v="73.941999999999993"/>
    <n v="69.505480000000006"/>
    <n v="73.941999999999993"/>
    <n v="69.505480000000006"/>
    <n v="28"/>
    <x v="0"/>
    <n v="0"/>
    <n v="0"/>
    <n v="26"/>
    <n v="75"/>
    <n v="0"/>
    <n v="269.06"/>
    <n v="133.97"/>
    <m/>
    <n v="343.81469354767324"/>
    <n v="114.76529888966962"/>
    <n v="0"/>
    <n v="18701.144448800002"/>
    <n v="9311.6491556000001"/>
    <n v="0"/>
    <n v="23897.005306083935"/>
    <n v="7976.8171866699549"/>
  </r>
  <r>
    <s v="Regular"/>
    <x v="4"/>
    <x v="3"/>
    <x v="1"/>
    <x v="1"/>
    <x v="0"/>
    <x v="0"/>
    <x v="2"/>
    <x v="7"/>
    <n v="0"/>
    <n v="0"/>
    <n v="75.911000000000001"/>
    <n v="71.356340000000003"/>
    <n v="75.911000000000001"/>
    <n v="71.356340000000003"/>
    <n v="27"/>
    <x v="0"/>
    <n v="0"/>
    <n v="0"/>
    <n v="26"/>
    <n v="75"/>
    <n v="0"/>
    <n v="269.06"/>
    <n v="133.97"/>
    <m/>
    <n v="343.81469354767324"/>
    <n v="114.76529888966962"/>
    <n v="0"/>
    <n v="19199.136840400002"/>
    <n v="9559.6088698000003"/>
    <n v="0"/>
    <n v="24533.35816978358"/>
    <n v="8189.2316877728881"/>
  </r>
  <r>
    <s v="Regular"/>
    <x v="4"/>
    <x v="3"/>
    <x v="1"/>
    <x v="1"/>
    <x v="0"/>
    <x v="0"/>
    <x v="2"/>
    <x v="8"/>
    <n v="0"/>
    <n v="0"/>
    <n v="72.224999999999994"/>
    <n v="67.891499999999994"/>
    <n v="72.224999999999994"/>
    <n v="67.891499999999994"/>
    <n v="27"/>
    <x v="0"/>
    <n v="0"/>
    <n v="0"/>
    <n v="26"/>
    <n v="75"/>
    <n v="0"/>
    <n v="269.06"/>
    <n v="133.97"/>
    <m/>
    <n v="343.81469354767324"/>
    <n v="114.76529888966962"/>
    <n v="0"/>
    <n v="18266.886989999999"/>
    <n v="9095.4242549999999"/>
    <n v="0"/>
    <n v="23342.095266991855"/>
    <n v="7791.5882895680043"/>
  </r>
  <r>
    <s v="Regular"/>
    <x v="4"/>
    <x v="3"/>
    <x v="1"/>
    <x v="1"/>
    <x v="0"/>
    <x v="0"/>
    <x v="2"/>
    <x v="9"/>
    <n v="0"/>
    <n v="0"/>
    <n v="75.765000000000001"/>
    <n v="71.219099999999997"/>
    <n v="75.765000000000001"/>
    <n v="71.219099999999997"/>
    <n v="27"/>
    <x v="0"/>
    <n v="0"/>
    <n v="0"/>
    <n v="26"/>
    <n v="75"/>
    <n v="0"/>
    <n v="269.06"/>
    <n v="133.97"/>
    <m/>
    <n v="343.81469354767324"/>
    <n v="114.76529888966962"/>
    <n v="0"/>
    <n v="19162.211046"/>
    <n v="9541.2228269999996"/>
    <n v="0"/>
    <n v="24486.173041241094"/>
    <n v="8173.4812981532696"/>
  </r>
  <r>
    <s v="Regular"/>
    <x v="4"/>
    <x v="3"/>
    <x v="1"/>
    <x v="1"/>
    <x v="0"/>
    <x v="0"/>
    <x v="2"/>
    <x v="10"/>
    <n v="0"/>
    <n v="0"/>
    <n v="71.58"/>
    <n v="67.285200000000003"/>
    <n v="71.58"/>
    <n v="67.285200000000003"/>
    <n v="27"/>
    <x v="0"/>
    <n v="0"/>
    <n v="0"/>
    <n v="26"/>
    <n v="75"/>
    <n v="0"/>
    <n v="269.06"/>
    <n v="133.97"/>
    <m/>
    <n v="343.81469354767324"/>
    <n v="114.76529888966962"/>
    <n v="0"/>
    <n v="18103.755912000001"/>
    <n v="9014.1982440000011"/>
    <n v="0"/>
    <n v="23133.640418293904"/>
    <n v="7722.0060888511989"/>
  </r>
  <r>
    <s v="PROJETADO"/>
    <x v="4"/>
    <x v="3"/>
    <x v="1"/>
    <x v="1"/>
    <x v="0"/>
    <x v="0"/>
    <x v="2"/>
    <x v="11"/>
    <n v="0"/>
    <n v="0"/>
    <n v="71.58"/>
    <n v="67.285200000000003"/>
    <n v="71.58"/>
    <n v="67.285200000000003"/>
    <n v="27"/>
    <x v="0"/>
    <n v="0"/>
    <n v="0"/>
    <n v="26"/>
    <n v="75"/>
    <n v="0"/>
    <n v="269.06"/>
    <n v="133.97"/>
    <m/>
    <n v="343.81469354767324"/>
    <n v="114.76529888966962"/>
    <n v="0"/>
    <n v="18103.755912000001"/>
    <n v="9014.1982440000011"/>
    <n v="0"/>
    <n v="23133.640418293904"/>
    <n v="7722.0060888511989"/>
  </r>
  <r>
    <s v="Regular"/>
    <x v="5"/>
    <x v="3"/>
    <x v="7"/>
    <x v="9"/>
    <x v="0"/>
    <x v="0"/>
    <x v="2"/>
    <x v="0"/>
    <n v="0"/>
    <n v="0"/>
    <n v="859.23299999999995"/>
    <n v="859.23299999999995"/>
    <n v="859.23299999999995"/>
    <n v="859.23299999999995"/>
    <n v="13"/>
    <x v="0"/>
    <n v="0"/>
    <n v="0"/>
    <n v="59"/>
    <n v="66"/>
    <n v="0"/>
    <n v="147.97999999999999"/>
    <n v="73.680000000000007"/>
    <m/>
    <n v="189.09808145122028"/>
    <n v="63.120914389318308"/>
    <n v="0"/>
    <n v="127149.29933999998"/>
    <n v="63308.28744"/>
    <n v="0"/>
    <n v="162479.31181957634"/>
    <n v="54235.572633477132"/>
  </r>
  <r>
    <s v="Regular"/>
    <x v="5"/>
    <x v="3"/>
    <x v="7"/>
    <x v="9"/>
    <x v="0"/>
    <x v="0"/>
    <x v="2"/>
    <x v="1"/>
    <n v="0"/>
    <n v="0"/>
    <n v="817.678"/>
    <n v="817.678"/>
    <n v="817.678"/>
    <n v="817.678"/>
    <n v="13"/>
    <x v="0"/>
    <n v="0"/>
    <n v="0"/>
    <n v="59"/>
    <n v="66"/>
    <n v="0"/>
    <n v="147.97999999999999"/>
    <n v="73.680000000000007"/>
    <m/>
    <n v="189.09808145122028"/>
    <n v="63.120914389318308"/>
    <n v="0"/>
    <n v="120999.99043999999"/>
    <n v="60246.515040000006"/>
    <n v="0"/>
    <n v="154621.3410448709"/>
    <n v="51612.583036029013"/>
  </r>
  <r>
    <s v="Regular"/>
    <x v="5"/>
    <x v="3"/>
    <x v="7"/>
    <x v="9"/>
    <x v="0"/>
    <x v="0"/>
    <x v="2"/>
    <x v="2"/>
    <n v="0"/>
    <n v="0"/>
    <n v="736.83299999999997"/>
    <n v="736.83299999999997"/>
    <n v="736.83299999999997"/>
    <n v="736.83299999999997"/>
    <n v="13"/>
    <x v="0"/>
    <n v="0"/>
    <n v="0"/>
    <n v="59"/>
    <n v="66"/>
    <n v="0"/>
    <n v="147.97999999999999"/>
    <n v="73.680000000000007"/>
    <m/>
    <n v="189.09808145122028"/>
    <n v="63.120914389318308"/>
    <n v="0"/>
    <n v="109036.54733999999"/>
    <n v="54289.855439999999"/>
    <n v="0"/>
    <n v="139333.70664994698"/>
    <n v="46509.572712224573"/>
  </r>
  <r>
    <s v="Regular"/>
    <x v="5"/>
    <x v="3"/>
    <x v="7"/>
    <x v="9"/>
    <x v="0"/>
    <x v="0"/>
    <x v="2"/>
    <x v="3"/>
    <n v="0"/>
    <n v="0"/>
    <n v="747.09400000000005"/>
    <n v="747.09400000000005"/>
    <n v="747.09400000000005"/>
    <n v="747.09400000000005"/>
    <n v="13"/>
    <x v="0"/>
    <n v="0"/>
    <n v="0"/>
    <n v="59"/>
    <n v="66"/>
    <n v="0"/>
    <n v="147.97999999999999"/>
    <n v="73.680000000000007"/>
    <m/>
    <n v="189.09808145122028"/>
    <n v="63.120914389318308"/>
    <n v="0"/>
    <n v="110554.97012"/>
    <n v="55045.885920000008"/>
    <n v="0"/>
    <n v="141274.04206371796"/>
    <n v="47157.256414773372"/>
  </r>
  <r>
    <s v="Regular"/>
    <x v="5"/>
    <x v="3"/>
    <x v="7"/>
    <x v="9"/>
    <x v="0"/>
    <x v="0"/>
    <x v="2"/>
    <x v="4"/>
    <n v="0"/>
    <n v="0"/>
    <n v="766.45399999999995"/>
    <n v="766.45399999999995"/>
    <n v="766.45399999999995"/>
    <n v="766.45399999999995"/>
    <n v="13"/>
    <x v="0"/>
    <n v="0"/>
    <n v="0"/>
    <n v="59"/>
    <n v="66"/>
    <n v="0"/>
    <n v="147.97999999999999"/>
    <n v="73.680000000000007"/>
    <m/>
    <n v="189.09808145122028"/>
    <n v="63.120914389318308"/>
    <n v="0"/>
    <n v="113419.86291999999"/>
    <n v="56472.330719999998"/>
    <n v="0"/>
    <n v="144934.98092061357"/>
    <n v="48379.27731735057"/>
  </r>
  <r>
    <s v="Regular"/>
    <x v="5"/>
    <x v="3"/>
    <x v="7"/>
    <x v="9"/>
    <x v="0"/>
    <x v="0"/>
    <x v="2"/>
    <x v="5"/>
    <n v="0"/>
    <n v="0"/>
    <n v="738.93299999999999"/>
    <n v="738.93299999999999"/>
    <n v="738.93299999999999"/>
    <n v="738.93299999999999"/>
    <n v="13"/>
    <x v="0"/>
    <n v="0"/>
    <n v="0"/>
    <n v="59"/>
    <n v="66"/>
    <n v="0"/>
    <n v="147.97999999999999"/>
    <n v="73.680000000000007"/>
    <m/>
    <n v="189.09808145122028"/>
    <n v="63.120914389318308"/>
    <n v="0"/>
    <n v="109347.30533999999"/>
    <n v="54444.583440000002"/>
    <n v="0"/>
    <n v="139730.81262099455"/>
    <n v="46642.126632442145"/>
  </r>
  <r>
    <s v="Regular"/>
    <x v="5"/>
    <x v="3"/>
    <x v="7"/>
    <x v="9"/>
    <x v="0"/>
    <x v="0"/>
    <x v="2"/>
    <x v="6"/>
    <n v="0"/>
    <n v="0"/>
    <n v="880.73500000000001"/>
    <n v="880.73500000000001"/>
    <n v="880.73500000000001"/>
    <n v="880.73500000000001"/>
    <n v="13"/>
    <x v="0"/>
    <n v="0"/>
    <n v="0"/>
    <n v="59"/>
    <n v="66"/>
    <n v="0"/>
    <n v="147.97999999999999"/>
    <n v="73.680000000000007"/>
    <m/>
    <n v="189.09808145122028"/>
    <n v="63.120914389318308"/>
    <n v="0"/>
    <n v="130331.16529999999"/>
    <n v="64892.554800000005"/>
    <n v="0"/>
    <n v="166545.29876694048"/>
    <n v="55592.798534676258"/>
  </r>
  <r>
    <s v="Regular"/>
    <x v="5"/>
    <x v="3"/>
    <x v="7"/>
    <x v="9"/>
    <x v="0"/>
    <x v="0"/>
    <x v="2"/>
    <x v="7"/>
    <n v="0"/>
    <n v="0"/>
    <n v="916.23199999999997"/>
    <n v="916.23199999999997"/>
    <n v="916.23199999999997"/>
    <n v="916.23199999999997"/>
    <n v="5"/>
    <x v="0"/>
    <n v="0"/>
    <n v="0"/>
    <n v="59"/>
    <n v="66"/>
    <n v="0"/>
    <n v="147.97999999999999"/>
    <n v="73.680000000000007"/>
    <m/>
    <n v="189.09808145122028"/>
    <n v="63.120914389318308"/>
    <n v="0"/>
    <n v="135584.01135999997"/>
    <n v="67507.973760000008"/>
    <n v="0"/>
    <n v="173257.71336421446"/>
    <n v="57833.401632753892"/>
  </r>
  <r>
    <s v="Regular"/>
    <x v="5"/>
    <x v="3"/>
    <x v="7"/>
    <x v="9"/>
    <x v="0"/>
    <x v="0"/>
    <x v="2"/>
    <x v="8"/>
    <n v="0"/>
    <n v="0"/>
    <n v="1000.045"/>
    <n v="1000.045"/>
    <n v="1000.045"/>
    <n v="1000.045"/>
    <n v="5"/>
    <x v="0"/>
    <n v="0"/>
    <n v="0"/>
    <n v="59"/>
    <n v="66"/>
    <n v="0"/>
    <n v="147.97999999999999"/>
    <n v="73.680000000000007"/>
    <m/>
    <n v="189.09808145122028"/>
    <n v="63.120914389318308"/>
    <n v="0"/>
    <n v="147986.65909999999"/>
    <n v="73683.315600000002"/>
    <n v="0"/>
    <n v="189106.59086488557"/>
    <n v="63123.754830465827"/>
  </r>
  <r>
    <s v="Regular"/>
    <x v="5"/>
    <x v="3"/>
    <x v="7"/>
    <x v="9"/>
    <x v="0"/>
    <x v="0"/>
    <x v="2"/>
    <x v="9"/>
    <n v="0"/>
    <n v="0"/>
    <n v="993.78499999999997"/>
    <n v="993.78499999999997"/>
    <n v="993.78499999999997"/>
    <n v="993.78499999999997"/>
    <n v="5"/>
    <x v="0"/>
    <n v="0"/>
    <n v="0"/>
    <n v="59"/>
    <n v="66"/>
    <n v="0"/>
    <n v="147.97999999999999"/>
    <n v="73.680000000000007"/>
    <m/>
    <n v="189.09808145122028"/>
    <n v="63.120914389318308"/>
    <n v="0"/>
    <n v="147060.30429999999"/>
    <n v="73222.078800000003"/>
    <n v="0"/>
    <n v="187922.83687500094"/>
    <n v="62728.617906388696"/>
  </r>
  <r>
    <s v="Regular"/>
    <x v="5"/>
    <x v="3"/>
    <x v="7"/>
    <x v="9"/>
    <x v="0"/>
    <x v="0"/>
    <x v="2"/>
    <x v="10"/>
    <n v="0"/>
    <n v="0"/>
    <n v="1011.848"/>
    <n v="1011.848"/>
    <n v="1011.848"/>
    <n v="1011.848"/>
    <n v="5"/>
    <x v="0"/>
    <n v="0"/>
    <n v="0"/>
    <n v="59"/>
    <n v="66"/>
    <n v="0"/>
    <n v="147.97999999999999"/>
    <n v="73.680000000000007"/>
    <m/>
    <n v="189.09808145122028"/>
    <n v="63.120914389318308"/>
    <n v="0"/>
    <n v="149733.26703999998"/>
    <n v="74552.960640000005"/>
    <n v="0"/>
    <n v="191338.51552025432"/>
    <n v="63868.770983002949"/>
  </r>
  <r>
    <s v="PROJETADO"/>
    <x v="5"/>
    <x v="3"/>
    <x v="7"/>
    <x v="9"/>
    <x v="0"/>
    <x v="0"/>
    <x v="2"/>
    <x v="11"/>
    <n v="0"/>
    <n v="0"/>
    <n v="1011.848"/>
    <n v="1011.848"/>
    <n v="1011.848"/>
    <n v="1011.848"/>
    <n v="5"/>
    <x v="0"/>
    <n v="0"/>
    <n v="0"/>
    <n v="59"/>
    <n v="66"/>
    <n v="0"/>
    <n v="147.97999999999999"/>
    <n v="73.680000000000007"/>
    <m/>
    <n v="189.09808145122028"/>
    <n v="63.120914389318308"/>
    <n v="0"/>
    <n v="149733.26703999998"/>
    <n v="74552.960640000005"/>
    <n v="0"/>
    <n v="191338.51552025432"/>
    <n v="63868.7709830029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s v="Regular"/>
    <x v="0"/>
    <x v="0"/>
    <x v="0"/>
    <x v="0"/>
    <x v="0"/>
    <x v="0"/>
    <x v="0"/>
    <x v="0"/>
    <n v="505"/>
    <n v="429.25"/>
    <n v="145.86699999999999"/>
    <n v="137.11497999999997"/>
    <n v="145.86699999999999"/>
    <n v="137.11497999999997"/>
    <n v="0"/>
    <s v="CATIVO"/>
    <n v="0"/>
    <n v="12"/>
    <n v="10"/>
    <n v="85"/>
    <n v="14.45"/>
    <n v="90.67"/>
    <n v="133.97"/>
    <n v="18.372313529244348"/>
    <n v="121.64342985575733"/>
    <n v="114.76529888966962"/>
    <n v="1094.5874999999999"/>
    <n v="1966.0537728000036"/>
    <n v="1391.7027498402595"/>
    <n v="2069.053922154555"/>
    <x v="0"/>
  </r>
  <r>
    <s v="Regular"/>
    <x v="0"/>
    <x v="0"/>
    <x v="0"/>
    <x v="0"/>
    <x v="0"/>
    <x v="0"/>
    <x v="0"/>
    <x v="1"/>
    <n v="447"/>
    <n v="379.95"/>
    <n v="144.97499999999999"/>
    <n v="136.2765"/>
    <n v="144.97499999999999"/>
    <n v="136.2765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1954.0310399999992"/>
    <n v="1231.8636221358338"/>
    <n v="2056.4013269920952"/>
    <x v="0"/>
  </r>
  <r>
    <s v="Regular"/>
    <x v="0"/>
    <x v="0"/>
    <x v="0"/>
    <x v="0"/>
    <x v="0"/>
    <x v="0"/>
    <x v="0"/>
    <x v="2"/>
    <n v="447"/>
    <n v="379.95"/>
    <n v="146.18100000000001"/>
    <n v="137.41014000000001"/>
    <n v="146.18100000000001"/>
    <n v="137.41014000000001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1970.2859903999997"/>
    <n v="1231.8636221358338"/>
    <n v="2073.507862604115"/>
    <x v="0"/>
  </r>
  <r>
    <s v="Regular"/>
    <x v="0"/>
    <x v="0"/>
    <x v="0"/>
    <x v="0"/>
    <x v="0"/>
    <x v="0"/>
    <x v="0"/>
    <x v="3"/>
    <n v="447"/>
    <n v="379.95"/>
    <n v="145.358"/>
    <n v="136.63651999999999"/>
    <n v="145.358"/>
    <n v="136.63651999999999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1959.193267200003"/>
    <n v="1231.8636221358338"/>
    <n v="2061.8339995786696"/>
    <x v="0"/>
  </r>
  <r>
    <s v="Regular"/>
    <x v="0"/>
    <x v="0"/>
    <x v="0"/>
    <x v="0"/>
    <x v="0"/>
    <x v="0"/>
    <x v="0"/>
    <x v="4"/>
    <n v="447"/>
    <n v="379.95"/>
    <n v="150.84800000000001"/>
    <n v="141.79712000000001"/>
    <n v="150.84800000000001"/>
    <n v="141.79712000000001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2033.1896832000014"/>
    <n v="1231.8636221358338"/>
    <n v="2139.7070348274115"/>
    <x v="0"/>
  </r>
  <r>
    <s v="Regular"/>
    <x v="0"/>
    <x v="0"/>
    <x v="0"/>
    <x v="0"/>
    <x v="0"/>
    <x v="0"/>
    <x v="0"/>
    <x v="5"/>
    <n v="447"/>
    <n v="379.95"/>
    <n v="148.161"/>
    <n v="139.27134000000001"/>
    <n v="148.161"/>
    <n v="139.27134000000001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1996.9732223999981"/>
    <n v="1231.8636221358338"/>
    <n v="2101.5932195790701"/>
    <x v="0"/>
  </r>
  <r>
    <s v="Regular"/>
    <x v="0"/>
    <x v="0"/>
    <x v="0"/>
    <x v="0"/>
    <x v="0"/>
    <x v="0"/>
    <x v="0"/>
    <x v="6"/>
    <n v="447"/>
    <n v="379.95"/>
    <n v="160.24100000000001"/>
    <n v="150.62654000000001"/>
    <n v="160.24100000000001"/>
    <n v="150.62654000000001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2159.792294400002"/>
    <n v="1231.8636221358338"/>
    <n v="2272.9422661737599"/>
    <x v="0"/>
  </r>
  <r>
    <s v="Regular"/>
    <x v="0"/>
    <x v="0"/>
    <x v="0"/>
    <x v="0"/>
    <x v="0"/>
    <x v="0"/>
    <x v="0"/>
    <x v="7"/>
    <n v="447"/>
    <n v="379.95"/>
    <n v="137.077"/>
    <n v="128.85238000000001"/>
    <n v="137.077"/>
    <n v="128.85238000000001"/>
    <n v="0"/>
    <s v="CATIVO"/>
    <n v="0"/>
    <n v="12"/>
    <n v="10"/>
    <n v="85"/>
    <n v="14.45"/>
    <n v="90.67"/>
    <n v="133.97"/>
    <n v="18.372313529244348"/>
    <n v="121.64342985575733"/>
    <n v="114.76529888966962"/>
    <n v="968.87250000000017"/>
    <n v="1847.5786367999972"/>
    <n v="1231.8636221358338"/>
    <n v="1944.3719586142106"/>
    <x v="0"/>
  </r>
  <r>
    <s v="Regular"/>
    <x v="0"/>
    <x v="0"/>
    <x v="0"/>
    <x v="0"/>
    <x v="0"/>
    <x v="0"/>
    <x v="0"/>
    <x v="8"/>
    <n v="497"/>
    <n v="422.45"/>
    <n v="130.45599999999999"/>
    <n v="122.62864"/>
    <n v="130.45599999999999"/>
    <n v="122.62864"/>
    <n v="0"/>
    <s v="CATIVO"/>
    <n v="0"/>
    <n v="12"/>
    <n v="10"/>
    <n v="85"/>
    <n v="14.45"/>
    <n v="90.67"/>
    <n v="133.97"/>
    <n v="18.372313529244348"/>
    <n v="121.64342985575733"/>
    <n v="114.76529888966962"/>
    <n v="1077.2475000000002"/>
    <n v="1758.3381503999965"/>
    <n v="1369.6559736051663"/>
    <n v="1850.4562270328015"/>
    <x v="0"/>
  </r>
  <r>
    <s v="Regular"/>
    <x v="0"/>
    <x v="0"/>
    <x v="0"/>
    <x v="0"/>
    <x v="0"/>
    <x v="0"/>
    <x v="0"/>
    <x v="9"/>
    <n v="497"/>
    <n v="422.45"/>
    <n v="136.583"/>
    <n v="128.38802000000001"/>
    <n v="136.583"/>
    <n v="128.38802000000001"/>
    <n v="0"/>
    <s v="CATIVO"/>
    <n v="0"/>
    <n v="12"/>
    <n v="10"/>
    <n v="85"/>
    <n v="14.45"/>
    <n v="90.67"/>
    <n v="133.97"/>
    <n v="18.372313529244348"/>
    <n v="121.64342985575733"/>
    <n v="114.76529888966962"/>
    <n v="1077.2475000000002"/>
    <n v="1840.9203071999971"/>
    <n v="1369.6559736051663"/>
    <n v="1937.364803894196"/>
    <x v="0"/>
  </r>
  <r>
    <s v="Regular"/>
    <x v="0"/>
    <x v="0"/>
    <x v="0"/>
    <x v="0"/>
    <x v="0"/>
    <x v="0"/>
    <x v="0"/>
    <x v="10"/>
    <n v="497"/>
    <n v="422.45"/>
    <n v="162.51599999999999"/>
    <n v="152.76504"/>
    <n v="162.51599999999999"/>
    <n v="152.76504"/>
    <n v="0"/>
    <s v="CATIVO"/>
    <n v="0"/>
    <n v="12"/>
    <n v="10"/>
    <n v="85"/>
    <n v="14.45"/>
    <n v="90.67"/>
    <n v="133.97"/>
    <n v="18.372313529244348"/>
    <n v="121.64342985575733"/>
    <n v="114.76529888966962"/>
    <n v="1077.2475000000002"/>
    <n v="2190.4556543999979"/>
    <n v="1369.6559736051663"/>
    <n v="2305.2120576475063"/>
    <x v="0"/>
  </r>
  <r>
    <s v="PROJETADO"/>
    <x v="0"/>
    <x v="0"/>
    <x v="0"/>
    <x v="0"/>
    <x v="0"/>
    <x v="0"/>
    <x v="0"/>
    <x v="11"/>
    <n v="497"/>
    <n v="422.45"/>
    <n v="162.51599999999999"/>
    <n v="152.76504"/>
    <n v="162.51599999999999"/>
    <n v="152.76504"/>
    <n v="0"/>
    <s v="CATIVO"/>
    <n v="0"/>
    <n v="12"/>
    <n v="10"/>
    <n v="85"/>
    <n v="14.45"/>
    <n v="90.67"/>
    <n v="133.97"/>
    <n v="18.372313529244348"/>
    <n v="121.64342985575733"/>
    <n v="114.76529888966962"/>
    <n v="1077.2475000000002"/>
    <n v="2190.4556543999979"/>
    <n v="1369.6559736051663"/>
    <n v="2305.2120576475063"/>
    <x v="0"/>
  </r>
  <r>
    <s v="Regular"/>
    <x v="0"/>
    <x v="0"/>
    <x v="0"/>
    <x v="0"/>
    <x v="0"/>
    <x v="0"/>
    <x v="1"/>
    <x v="0"/>
    <n v="507"/>
    <n v="430.95"/>
    <n v="18.385000000000002"/>
    <n v="17.2819"/>
    <n v="18.385000000000002"/>
    <n v="17.2819"/>
    <n v="0"/>
    <s v="CATIVO"/>
    <n v="0"/>
    <n v="17"/>
    <n v="10"/>
    <n v="64"/>
    <n v="38.14"/>
    <n v="90.67"/>
    <n v="133.97"/>
    <n v="47.10799658431754"/>
    <n v="121.64342985575733"/>
    <n v="114.76529888966962"/>
    <n v="2900.5470000000005"/>
    <n v="247.80038400000029"/>
    <n v="3582.5631402373497"/>
    <n v="260.78246867908081"/>
    <x v="0"/>
  </r>
  <r>
    <s v="Regular"/>
    <x v="0"/>
    <x v="0"/>
    <x v="0"/>
    <x v="0"/>
    <x v="0"/>
    <x v="0"/>
    <x v="1"/>
    <x v="1"/>
    <n v="403"/>
    <n v="342.55"/>
    <n v="19.538"/>
    <n v="18.36572"/>
    <n v="19.538"/>
    <n v="18.36572"/>
    <n v="0"/>
    <s v="CATIVO"/>
    <n v="0"/>
    <n v="17"/>
    <n v="10"/>
    <n v="64"/>
    <n v="38.14"/>
    <n v="90.67"/>
    <n v="133.97"/>
    <n v="47.10799658431754"/>
    <n v="121.64342985575733"/>
    <n v="114.76529888966962"/>
    <n v="2305.5629999999996"/>
    <n v="263.34097920000016"/>
    <n v="2847.6783935219946"/>
    <n v="277.13722453368928"/>
    <x v="0"/>
  </r>
  <r>
    <s v="Regular"/>
    <x v="0"/>
    <x v="0"/>
    <x v="0"/>
    <x v="0"/>
    <x v="0"/>
    <x v="0"/>
    <x v="1"/>
    <x v="2"/>
    <n v="401"/>
    <n v="340.84999999999997"/>
    <n v="18.024000000000001"/>
    <n v="16.94256"/>
    <n v="18.024000000000001"/>
    <n v="16.94256"/>
    <n v="0"/>
    <s v="CATIVO"/>
    <n v="0"/>
    <n v="17"/>
    <n v="10"/>
    <n v="64"/>
    <n v="38.14"/>
    <n v="90.67"/>
    <n v="133.97"/>
    <n v="47.10799658431754"/>
    <n v="121.64342985575733"/>
    <n v="114.76529888966962"/>
    <n v="2294.1210000000015"/>
    <n v="242.93468160000015"/>
    <n v="2833.5459945467014"/>
    <n v="255.66185561445468"/>
    <x v="0"/>
  </r>
  <r>
    <s v="Regular"/>
    <x v="0"/>
    <x v="0"/>
    <x v="0"/>
    <x v="0"/>
    <x v="0"/>
    <x v="0"/>
    <x v="1"/>
    <x v="3"/>
    <n v="386"/>
    <n v="328.09999999999997"/>
    <n v="21.445"/>
    <n v="20.158300000000001"/>
    <n v="21.445"/>
    <n v="20.158300000000001"/>
    <n v="0"/>
    <s v="CATIVO"/>
    <n v="0"/>
    <n v="17"/>
    <n v="10"/>
    <n v="64"/>
    <n v="38.14"/>
    <n v="90.67"/>
    <n v="133.97"/>
    <n v="47.10799658431754"/>
    <n v="121.64342985575733"/>
    <n v="114.76529888966962"/>
    <n v="2208.3060000000014"/>
    <n v="289.04428799999994"/>
    <n v="2727.5530022319872"/>
    <n v="304.18711127674078"/>
    <x v="0"/>
  </r>
  <r>
    <s v="Regular"/>
    <x v="0"/>
    <x v="0"/>
    <x v="0"/>
    <x v="0"/>
    <x v="0"/>
    <x v="0"/>
    <x v="1"/>
    <x v="4"/>
    <n v="387"/>
    <n v="328.95"/>
    <n v="18.664000000000001"/>
    <n v="17.544160000000002"/>
    <n v="18.664000000000001"/>
    <n v="17.544160000000002"/>
    <n v="0"/>
    <s v="CATIVO"/>
    <n v="0"/>
    <n v="17"/>
    <n v="10"/>
    <n v="64"/>
    <n v="38.14"/>
    <n v="90.67"/>
    <n v="133.97"/>
    <n v="47.10799658431754"/>
    <n v="121.64342985575733"/>
    <n v="114.76529888966962"/>
    <n v="2214.0270000000005"/>
    <n v="251.56085759999999"/>
    <n v="2734.6192017196336"/>
    <n v="264.73995079827887"/>
    <x v="0"/>
  </r>
  <r>
    <s v="Regular"/>
    <x v="0"/>
    <x v="0"/>
    <x v="0"/>
    <x v="0"/>
    <x v="0"/>
    <x v="0"/>
    <x v="1"/>
    <x v="5"/>
    <n v="405"/>
    <n v="344.25"/>
    <n v="17.995000000000001"/>
    <n v="16.915299999999998"/>
    <n v="17.995000000000001"/>
    <n v="16.915299999999998"/>
    <n v="0"/>
    <s v="CATIVO"/>
    <n v="0"/>
    <n v="17"/>
    <n v="10"/>
    <n v="64"/>
    <n v="38.14"/>
    <n v="90.67"/>
    <n v="133.97"/>
    <n v="47.10799658431754"/>
    <n v="121.64342985575733"/>
    <n v="114.76529888966962"/>
    <n v="2317.0050000000001"/>
    <n v="242.54380800000058"/>
    <n v="2861.8107924972905"/>
    <n v="255.25050442643811"/>
    <x v="0"/>
  </r>
  <r>
    <s v="Regular"/>
    <x v="0"/>
    <x v="0"/>
    <x v="0"/>
    <x v="0"/>
    <x v="0"/>
    <x v="0"/>
    <x v="1"/>
    <x v="6"/>
    <n v="415"/>
    <n v="352.75"/>
    <n v="21.170999999999999"/>
    <n v="19.900739999999999"/>
    <n v="21.170999999999999"/>
    <n v="19.900739999999999"/>
    <n v="0"/>
    <s v="CATIVO"/>
    <n v="0"/>
    <n v="17"/>
    <n v="10"/>
    <n v="64"/>
    <n v="38.14"/>
    <n v="90.67"/>
    <n v="133.97"/>
    <n v="47.10799658431754"/>
    <n v="121.64342985575733"/>
    <n v="114.76529888966962"/>
    <n v="2374.2150000000001"/>
    <n v="285.35120640000008"/>
    <n v="2932.472787373767"/>
    <n v="300.30055177616612"/>
    <x v="0"/>
  </r>
  <r>
    <s v="Regular"/>
    <x v="0"/>
    <x v="0"/>
    <x v="0"/>
    <x v="0"/>
    <x v="0"/>
    <x v="0"/>
    <x v="1"/>
    <x v="7"/>
    <n v="382"/>
    <n v="324.7"/>
    <n v="17.343"/>
    <n v="16.302420000000001"/>
    <n v="17.343"/>
    <n v="16.302420000000001"/>
    <n v="0"/>
    <s v="CATIVO"/>
    <n v="0"/>
    <n v="17"/>
    <n v="10"/>
    <n v="64"/>
    <n v="38.14"/>
    <n v="90.67"/>
    <n v="133.97"/>
    <n v="47.10799658431754"/>
    <n v="121.64342985575733"/>
    <n v="114.76529888966962"/>
    <n v="2185.4220000000005"/>
    <n v="233.75589119999967"/>
    <n v="2699.2882042813958"/>
    <n v="246.00219495791603"/>
    <x v="0"/>
  </r>
  <r>
    <s v="Regular"/>
    <x v="0"/>
    <x v="0"/>
    <x v="0"/>
    <x v="0"/>
    <x v="0"/>
    <x v="0"/>
    <x v="1"/>
    <x v="8"/>
    <n v="497"/>
    <n v="422.45"/>
    <n v="15.837999999999999"/>
    <n v="14.88772"/>
    <n v="15.837999999999999"/>
    <n v="14.88772"/>
    <n v="0"/>
    <s v="CATIVO"/>
    <n v="0"/>
    <n v="17"/>
    <n v="10"/>
    <n v="64"/>
    <n v="38.14"/>
    <n v="90.67"/>
    <n v="133.97"/>
    <n v="47.10799658431754"/>
    <n v="121.64342985575733"/>
    <n v="114.76529888966962"/>
    <n v="2843.3370000000004"/>
    <n v="213.47089919999985"/>
    <n v="3511.9011453608732"/>
    <n v="224.65448675220418"/>
    <x v="0"/>
  </r>
  <r>
    <s v="Regular"/>
    <x v="0"/>
    <x v="0"/>
    <x v="0"/>
    <x v="0"/>
    <x v="0"/>
    <x v="0"/>
    <x v="1"/>
    <x v="9"/>
    <n v="497"/>
    <n v="422.45"/>
    <n v="15.795"/>
    <n v="14.847300000000001"/>
    <n v="15.795"/>
    <n v="14.847300000000001"/>
    <n v="0"/>
    <s v="CATIVO"/>
    <n v="0"/>
    <n v="17"/>
    <n v="10"/>
    <n v="64"/>
    <n v="38.14"/>
    <n v="90.67"/>
    <n v="133.97"/>
    <n v="47.10799658431754"/>
    <n v="121.64342985575733"/>
    <n v="114.76529888966962"/>
    <n v="2843.3370000000004"/>
    <n v="212.89132799999987"/>
    <n v="3511.9011453608732"/>
    <n v="224.04455223204096"/>
    <x v="0"/>
  </r>
  <r>
    <s v="Regular"/>
    <x v="0"/>
    <x v="0"/>
    <x v="0"/>
    <x v="0"/>
    <x v="0"/>
    <x v="0"/>
    <x v="1"/>
    <x v="10"/>
    <n v="497"/>
    <n v="422.45"/>
    <n v="20.617999999999999"/>
    <n v="19.38092"/>
    <n v="20.617999999999999"/>
    <n v="19.38092"/>
    <n v="0"/>
    <s v="CATIVO"/>
    <n v="0"/>
    <n v="17"/>
    <n v="10"/>
    <n v="64"/>
    <n v="38.14"/>
    <n v="90.67"/>
    <n v="133.97"/>
    <n v="47.10799658431754"/>
    <n v="121.64342985575733"/>
    <n v="114.76529888966962"/>
    <n v="2843.3370000000004"/>
    <n v="277.89765119999976"/>
    <n v="3511.9011453608732"/>
    <n v="292.45651015639248"/>
    <x v="0"/>
  </r>
  <r>
    <s v="PROJETADO"/>
    <x v="0"/>
    <x v="0"/>
    <x v="0"/>
    <x v="0"/>
    <x v="0"/>
    <x v="0"/>
    <x v="1"/>
    <x v="11"/>
    <n v="497"/>
    <n v="422.45"/>
    <n v="20.617999999999999"/>
    <n v="19.38092"/>
    <n v="20.617999999999999"/>
    <n v="19.38092"/>
    <n v="0"/>
    <s v="CATIVO"/>
    <n v="0"/>
    <n v="17"/>
    <n v="10"/>
    <n v="64"/>
    <n v="38.14"/>
    <n v="90.67"/>
    <n v="133.97"/>
    <n v="47.10799658431754"/>
    <n v="121.64342985575733"/>
    <n v="114.76529888966962"/>
    <n v="2843.3370000000004"/>
    <n v="277.89765119999976"/>
    <n v="3511.9011453608732"/>
    <n v="292.45651015639248"/>
    <x v="0"/>
  </r>
  <r>
    <s v="Regular"/>
    <x v="1"/>
    <x v="1"/>
    <x v="1"/>
    <x v="1"/>
    <x v="0"/>
    <x v="0"/>
    <x v="2"/>
    <x v="0"/>
    <n v="0"/>
    <n v="0"/>
    <n v="4595.1440000000002"/>
    <n v="4595.1440000000002"/>
    <n v="4595.1440000000002"/>
    <n v="4595.1440000000002"/>
    <n v="20586"/>
    <s v="CATIVO"/>
    <n v="0"/>
    <n v="0"/>
    <n v="11"/>
    <n v="88"/>
    <n v="0"/>
    <n v="269.06"/>
    <n v="133.97"/>
    <m/>
    <n v="343.81469354767324"/>
    <n v="114.76529888966962"/>
    <n v="0"/>
    <n v="0"/>
    <n v="0"/>
    <n v="0"/>
    <x v="1"/>
  </r>
  <r>
    <s v="Regular"/>
    <x v="1"/>
    <x v="1"/>
    <x v="1"/>
    <x v="2"/>
    <x v="0"/>
    <x v="0"/>
    <x v="2"/>
    <x v="0"/>
    <n v="0"/>
    <n v="0"/>
    <n v="12.63"/>
    <n v="12.63"/>
    <n v="12.63"/>
    <n v="12.63"/>
    <n v="10"/>
    <s v="CATIVO"/>
    <n v="0"/>
    <n v="0"/>
    <n v="6"/>
    <n v="67"/>
    <n v="0"/>
    <n v="60.53"/>
    <n v="46.89"/>
    <m/>
    <n v="72.700315363205746"/>
    <n v="40.167854611384364"/>
    <n v="0"/>
    <n v="2519.4323999999997"/>
    <n v="0"/>
    <n v="2647.4035468754223"/>
    <x v="2"/>
  </r>
  <r>
    <s v="Regular"/>
    <x v="1"/>
    <x v="1"/>
    <x v="1"/>
    <x v="2"/>
    <x v="0"/>
    <x v="0"/>
    <x v="2"/>
    <x v="1"/>
    <n v="0"/>
    <n v="0"/>
    <n v="12.9"/>
    <n v="12.9"/>
    <n v="12.9"/>
    <n v="12.9"/>
    <n v="9"/>
    <s v="CATIVO"/>
    <n v="0"/>
    <n v="0"/>
    <n v="6"/>
    <n v="67"/>
    <n v="0"/>
    <n v="60.53"/>
    <n v="46.89"/>
    <m/>
    <n v="72.700315363205746"/>
    <n v="40.167854611384364"/>
    <n v="0"/>
    <n v="2573.2919999999995"/>
    <n v="0"/>
    <n v="2703.9988721055379"/>
    <x v="2"/>
  </r>
  <r>
    <s v="Regular"/>
    <x v="1"/>
    <x v="1"/>
    <x v="1"/>
    <x v="2"/>
    <x v="0"/>
    <x v="0"/>
    <x v="2"/>
    <x v="2"/>
    <n v="0"/>
    <n v="0"/>
    <n v="13.145"/>
    <n v="13.145"/>
    <n v="13.145"/>
    <n v="13.145"/>
    <n v="10"/>
    <s v="CATIVO"/>
    <n v="0"/>
    <n v="0"/>
    <n v="6"/>
    <n v="67"/>
    <n v="0"/>
    <n v="60.53"/>
    <n v="46.89"/>
    <m/>
    <n v="72.700315363205746"/>
    <n v="40.167854611384364"/>
    <n v="0"/>
    <n v="2622.1645999999996"/>
    <n v="0"/>
    <n v="2755.3538894439766"/>
    <x v="2"/>
  </r>
  <r>
    <s v="Regular"/>
    <x v="1"/>
    <x v="1"/>
    <x v="1"/>
    <x v="2"/>
    <x v="0"/>
    <x v="0"/>
    <x v="2"/>
    <x v="3"/>
    <n v="0"/>
    <n v="0"/>
    <n v="13.44"/>
    <n v="13.44"/>
    <n v="13.44"/>
    <n v="13.44"/>
    <n v="13"/>
    <s v="CATIVO"/>
    <n v="0"/>
    <n v="0"/>
    <n v="6"/>
    <n v="67"/>
    <n v="0"/>
    <n v="60.53"/>
    <n v="46.89"/>
    <m/>
    <n v="72.700315363205746"/>
    <n v="40.167854611384364"/>
    <n v="0"/>
    <n v="2681.0111999999995"/>
    <n v="0"/>
    <n v="2817.1895225657699"/>
    <x v="2"/>
  </r>
  <r>
    <s v="Regular"/>
    <x v="1"/>
    <x v="1"/>
    <x v="1"/>
    <x v="2"/>
    <x v="0"/>
    <x v="0"/>
    <x v="2"/>
    <x v="4"/>
    <n v="0"/>
    <n v="0"/>
    <n v="13.53"/>
    <n v="13.53"/>
    <n v="13.53"/>
    <n v="13.53"/>
    <n v="7"/>
    <s v="CATIVO"/>
    <n v="0"/>
    <n v="0"/>
    <n v="6"/>
    <n v="67"/>
    <n v="0"/>
    <n v="60.53"/>
    <n v="46.89"/>
    <m/>
    <n v="72.700315363205746"/>
    <n v="40.167854611384364"/>
    <n v="0"/>
    <n v="2698.9643999999994"/>
    <n v="0"/>
    <n v="2836.0546309758083"/>
    <x v="2"/>
  </r>
  <r>
    <s v="Regular"/>
    <x v="1"/>
    <x v="1"/>
    <x v="1"/>
    <x v="2"/>
    <x v="0"/>
    <x v="0"/>
    <x v="2"/>
    <x v="5"/>
    <n v="0"/>
    <n v="0"/>
    <n v="14.97"/>
    <n v="14.97"/>
    <n v="14.97"/>
    <n v="14.97"/>
    <n v="9"/>
    <s v="CATIVO"/>
    <n v="0"/>
    <n v="0"/>
    <n v="6"/>
    <n v="67"/>
    <n v="0"/>
    <n v="60.53"/>
    <n v="46.89"/>
    <m/>
    <n v="72.700315363205746"/>
    <n v="40.167854611384364"/>
    <n v="0"/>
    <n v="2986.2155999999995"/>
    <n v="0"/>
    <n v="3137.8963655364269"/>
    <x v="2"/>
  </r>
  <r>
    <s v="Regular"/>
    <x v="1"/>
    <x v="1"/>
    <x v="1"/>
    <x v="2"/>
    <x v="0"/>
    <x v="0"/>
    <x v="2"/>
    <x v="6"/>
    <n v="0"/>
    <n v="0"/>
    <n v="19.440000000000001"/>
    <n v="19.440000000000001"/>
    <n v="19.440000000000001"/>
    <n v="19.440000000000001"/>
    <n v="12"/>
    <s v="CATIVO"/>
    <n v="0"/>
    <n v="0"/>
    <n v="6"/>
    <n v="67"/>
    <n v="0"/>
    <n v="60.53"/>
    <n v="46.89"/>
    <m/>
    <n v="72.700315363205746"/>
    <n v="40.167854611384364"/>
    <n v="0"/>
    <n v="3877.8911999999996"/>
    <n v="0"/>
    <n v="4074.8634165683461"/>
    <x v="2"/>
  </r>
  <r>
    <s v="Regular"/>
    <x v="1"/>
    <x v="1"/>
    <x v="1"/>
    <x v="2"/>
    <x v="0"/>
    <x v="0"/>
    <x v="2"/>
    <x v="7"/>
    <n v="0"/>
    <n v="0"/>
    <n v="21.99"/>
    <n v="21.99"/>
    <n v="21.99"/>
    <n v="21.99"/>
    <n v="17"/>
    <s v="CATIVO"/>
    <n v="0"/>
    <n v="0"/>
    <n v="6"/>
    <n v="67"/>
    <n v="0"/>
    <n v="60.53"/>
    <n v="46.89"/>
    <m/>
    <n v="72.700315363205746"/>
    <n v="40.167854611384364"/>
    <n v="0"/>
    <n v="4386.5651999999991"/>
    <n v="0"/>
    <n v="4609.37482151944"/>
    <x v="2"/>
  </r>
  <r>
    <s v="Regular"/>
    <x v="1"/>
    <x v="1"/>
    <x v="1"/>
    <x v="2"/>
    <x v="0"/>
    <x v="0"/>
    <x v="2"/>
    <x v="8"/>
    <n v="0"/>
    <n v="0"/>
    <n v="22.77"/>
    <n v="22.77"/>
    <n v="22.77"/>
    <n v="22.77"/>
    <n v="26"/>
    <s v="CATIVO"/>
    <n v="0"/>
    <n v="0"/>
    <n v="6"/>
    <n v="67"/>
    <n v="0"/>
    <n v="60.53"/>
    <n v="46.89"/>
    <m/>
    <n v="72.700315363205746"/>
    <n v="40.167854611384364"/>
    <n v="0"/>
    <n v="4542.159599999999"/>
    <n v="0"/>
    <n v="4772.872427739775"/>
    <x v="2"/>
  </r>
  <r>
    <s v="Regular"/>
    <x v="1"/>
    <x v="1"/>
    <x v="1"/>
    <x v="2"/>
    <x v="0"/>
    <x v="0"/>
    <x v="2"/>
    <x v="9"/>
    <n v="0"/>
    <n v="0"/>
    <n v="22.44"/>
    <n v="22.44"/>
    <n v="22.44"/>
    <n v="22.44"/>
    <n v="23"/>
    <s v="CATIVO"/>
    <n v="0"/>
    <n v="0"/>
    <n v="6"/>
    <n v="67"/>
    <n v="0"/>
    <n v="60.53"/>
    <n v="46.89"/>
    <m/>
    <n v="72.700315363205746"/>
    <n v="40.167854611384364"/>
    <n v="0"/>
    <n v="4476.3311999999996"/>
    <n v="0"/>
    <n v="4703.7003635696337"/>
    <x v="2"/>
  </r>
  <r>
    <s v="Regular"/>
    <x v="1"/>
    <x v="1"/>
    <x v="1"/>
    <x v="2"/>
    <x v="0"/>
    <x v="0"/>
    <x v="2"/>
    <x v="10"/>
    <n v="0"/>
    <n v="0"/>
    <n v="21.09"/>
    <n v="21.09"/>
    <n v="21.09"/>
    <n v="21.09"/>
    <n v="21"/>
    <s v="CATIVO"/>
    <n v="0"/>
    <n v="0"/>
    <n v="6"/>
    <n v="67"/>
    <n v="0"/>
    <n v="60.53"/>
    <n v="46.89"/>
    <m/>
    <n v="72.700315363205746"/>
    <n v="40.167854611384364"/>
    <n v="0"/>
    <n v="4207.0331999999989"/>
    <n v="0"/>
    <n v="4420.7237374190536"/>
    <x v="2"/>
  </r>
  <r>
    <s v="PROJETADO"/>
    <x v="1"/>
    <x v="1"/>
    <x v="1"/>
    <x v="2"/>
    <x v="0"/>
    <x v="0"/>
    <x v="2"/>
    <x v="11"/>
    <n v="0"/>
    <n v="0"/>
    <n v="21.09"/>
    <n v="21.09"/>
    <n v="21.09"/>
    <n v="21.09"/>
    <n v="21"/>
    <s v="CATIVO"/>
    <n v="0"/>
    <n v="0"/>
    <n v="6"/>
    <n v="67"/>
    <n v="0"/>
    <n v="60.53"/>
    <n v="46.89"/>
    <m/>
    <n v="72.700315363205746"/>
    <n v="40.167854611384364"/>
    <n v="0"/>
    <n v="4207.0331999999989"/>
    <n v="0"/>
    <n v="4420.7237374190536"/>
    <x v="2"/>
  </r>
  <r>
    <s v="Regular"/>
    <x v="1"/>
    <x v="1"/>
    <x v="1"/>
    <x v="3"/>
    <x v="0"/>
    <x v="0"/>
    <x v="2"/>
    <x v="0"/>
    <n v="0"/>
    <n v="0"/>
    <n v="27.273"/>
    <n v="27.273"/>
    <n v="27.273"/>
    <n v="27.273"/>
    <n v="56"/>
    <s v="CATIVO"/>
    <n v="0"/>
    <n v="0"/>
    <n v="24"/>
    <n v="50"/>
    <n v="0"/>
    <n v="103.76"/>
    <n v="80.38"/>
    <m/>
    <n v="124.62911205120986"/>
    <n v="68.859179333801777"/>
    <n v="0"/>
    <n v="3348.0334799999996"/>
    <n v="0"/>
    <n v="3518.0041139622822"/>
    <x v="2"/>
  </r>
  <r>
    <s v="Regular"/>
    <x v="1"/>
    <x v="1"/>
    <x v="1"/>
    <x v="3"/>
    <x v="0"/>
    <x v="0"/>
    <x v="2"/>
    <x v="1"/>
    <n v="0"/>
    <n v="0"/>
    <n v="27.638999999999999"/>
    <n v="27.638999999999999"/>
    <n v="27.638999999999999"/>
    <n v="27.638999999999999"/>
    <n v="63"/>
    <s v="CATIVO"/>
    <n v="0"/>
    <n v="0"/>
    <n v="24"/>
    <n v="50"/>
    <n v="0"/>
    <n v="103.76"/>
    <n v="80.38"/>
    <m/>
    <n v="124.62911205120986"/>
    <n v="68.859179333801777"/>
    <n v="0"/>
    <n v="3392.9636399999995"/>
    <n v="0"/>
    <n v="3565.2152570602252"/>
    <x v="2"/>
  </r>
  <r>
    <s v="Regular"/>
    <x v="1"/>
    <x v="1"/>
    <x v="1"/>
    <x v="3"/>
    <x v="0"/>
    <x v="0"/>
    <x v="2"/>
    <x v="2"/>
    <n v="0"/>
    <n v="0"/>
    <n v="28.382000000000001"/>
    <n v="28.382000000000001"/>
    <n v="28.382000000000001"/>
    <n v="28.382000000000001"/>
    <n v="60"/>
    <s v="CATIVO"/>
    <n v="0"/>
    <n v="0"/>
    <n v="24"/>
    <n v="50"/>
    <n v="0"/>
    <n v="103.76"/>
    <n v="80.38"/>
    <m/>
    <n v="124.62911205120986"/>
    <n v="68.859179333801777"/>
    <n v="0"/>
    <n v="3484.1743200000001"/>
    <n v="0"/>
    <n v="3661.0564573929346"/>
    <x v="2"/>
  </r>
  <r>
    <s v="Regular"/>
    <x v="1"/>
    <x v="1"/>
    <x v="1"/>
    <x v="3"/>
    <x v="0"/>
    <x v="0"/>
    <x v="2"/>
    <x v="3"/>
    <n v="0"/>
    <n v="0"/>
    <n v="28.824999999999999"/>
    <n v="28.824999999999999"/>
    <n v="28.824999999999999"/>
    <n v="28.824999999999999"/>
    <n v="59"/>
    <s v="CATIVO"/>
    <n v="0"/>
    <n v="0"/>
    <n v="24"/>
    <n v="50"/>
    <n v="0"/>
    <n v="103.76"/>
    <n v="80.38"/>
    <m/>
    <n v="124.62911205120986"/>
    <n v="68.859179333801777"/>
    <n v="0"/>
    <n v="3538.5569999999998"/>
    <n v="0"/>
    <n v="3718.1999994486409"/>
    <x v="2"/>
  </r>
  <r>
    <s v="Regular"/>
    <x v="1"/>
    <x v="1"/>
    <x v="1"/>
    <x v="3"/>
    <x v="0"/>
    <x v="0"/>
    <x v="2"/>
    <x v="4"/>
    <n v="0"/>
    <n v="0"/>
    <n v="29.748000000000001"/>
    <n v="29.748000000000001"/>
    <n v="29.748000000000001"/>
    <n v="29.748000000000001"/>
    <n v="45"/>
    <s v="CATIVO"/>
    <n v="0"/>
    <n v="0"/>
    <n v="24"/>
    <n v="50"/>
    <n v="0"/>
    <n v="103.76"/>
    <n v="80.38"/>
    <m/>
    <n v="124.62911205120986"/>
    <n v="68.859179333801777"/>
    <n v="0"/>
    <n v="3651.8644799999997"/>
    <n v="0"/>
    <n v="3837.259794747552"/>
    <x v="2"/>
  </r>
  <r>
    <s v="Regular"/>
    <x v="1"/>
    <x v="1"/>
    <x v="1"/>
    <x v="3"/>
    <x v="0"/>
    <x v="0"/>
    <x v="2"/>
    <x v="5"/>
    <n v="0"/>
    <n v="0"/>
    <n v="33.079000000000001"/>
    <n v="33.079000000000001"/>
    <n v="33.079000000000001"/>
    <n v="33.079000000000001"/>
    <n v="54"/>
    <s v="CATIVO"/>
    <n v="0"/>
    <n v="0"/>
    <n v="24"/>
    <n v="50"/>
    <n v="0"/>
    <n v="103.76"/>
    <n v="80.38"/>
    <m/>
    <n v="124.62911205120986"/>
    <n v="68.859179333801777"/>
    <n v="0"/>
    <n v="4060.7780399999997"/>
    <n v="0"/>
    <n v="4266.9327938165343"/>
    <x v="2"/>
  </r>
  <r>
    <s v="Regular"/>
    <x v="1"/>
    <x v="1"/>
    <x v="1"/>
    <x v="3"/>
    <x v="0"/>
    <x v="0"/>
    <x v="2"/>
    <x v="6"/>
    <n v="0"/>
    <n v="0"/>
    <n v="42.780999999999999"/>
    <n v="42.780999999999999"/>
    <n v="42.780999999999999"/>
    <n v="42.780999999999999"/>
    <n v="66"/>
    <s v="CATIVO"/>
    <n v="0"/>
    <n v="0"/>
    <n v="24"/>
    <n v="50"/>
    <n v="0"/>
    <n v="103.76"/>
    <n v="80.38"/>
    <m/>
    <n v="124.62911205120986"/>
    <n v="68.859179333801777"/>
    <n v="0"/>
    <n v="5251.7955599999996"/>
    <n v="0"/>
    <n v="5518.4150624947897"/>
    <x v="2"/>
  </r>
  <r>
    <s v="Regular"/>
    <x v="1"/>
    <x v="1"/>
    <x v="1"/>
    <x v="3"/>
    <x v="0"/>
    <x v="0"/>
    <x v="2"/>
    <x v="7"/>
    <n v="0"/>
    <n v="0"/>
    <n v="47.735999999999997"/>
    <n v="47.735999999999997"/>
    <n v="47.735999999999997"/>
    <n v="47.735999999999997"/>
    <n v="101"/>
    <s v="CATIVO"/>
    <n v="0"/>
    <n v="0"/>
    <n v="24"/>
    <n v="50"/>
    <n v="0"/>
    <n v="103.76"/>
    <n v="80.38"/>
    <m/>
    <n v="124.62911205120986"/>
    <n v="68.859179333801777"/>
    <n v="0"/>
    <n v="5860.071359999999"/>
    <n v="0"/>
    <n v="6157.571385036611"/>
    <x v="2"/>
  </r>
  <r>
    <s v="Regular"/>
    <x v="1"/>
    <x v="1"/>
    <x v="1"/>
    <x v="3"/>
    <x v="0"/>
    <x v="0"/>
    <x v="2"/>
    <x v="8"/>
    <n v="0"/>
    <n v="0"/>
    <n v="48.088000000000001"/>
    <n v="48.088000000000001"/>
    <n v="48.088000000000001"/>
    <n v="48.088000000000001"/>
    <n v="127"/>
    <s v="CATIVO"/>
    <n v="0"/>
    <n v="0"/>
    <n v="24"/>
    <n v="50"/>
    <n v="0"/>
    <n v="103.76"/>
    <n v="80.38"/>
    <m/>
    <n v="124.62911205120986"/>
    <n v="68.859179333801777"/>
    <n v="0"/>
    <n v="5903.2828799999997"/>
    <n v="0"/>
    <n v="6202.9766374149613"/>
    <x v="2"/>
  </r>
  <r>
    <s v="Regular"/>
    <x v="1"/>
    <x v="1"/>
    <x v="1"/>
    <x v="3"/>
    <x v="0"/>
    <x v="0"/>
    <x v="2"/>
    <x v="9"/>
    <n v="0"/>
    <n v="0"/>
    <n v="47.252000000000002"/>
    <n v="47.252000000000002"/>
    <n v="47.252000000000002"/>
    <n v="47.252000000000002"/>
    <n v="133"/>
    <s v="CATIVO"/>
    <n v="0"/>
    <n v="0"/>
    <n v="24"/>
    <n v="50"/>
    <n v="0"/>
    <n v="103.76"/>
    <n v="80.38"/>
    <m/>
    <n v="124.62911205120986"/>
    <n v="68.859179333801777"/>
    <n v="0"/>
    <n v="5800.6555200000003"/>
    <n v="0"/>
    <n v="6095.1391630163816"/>
    <x v="2"/>
  </r>
  <r>
    <s v="Regular"/>
    <x v="1"/>
    <x v="1"/>
    <x v="1"/>
    <x v="3"/>
    <x v="0"/>
    <x v="0"/>
    <x v="2"/>
    <x v="10"/>
    <n v="0"/>
    <n v="0"/>
    <n v="44.747999999999998"/>
    <n v="44.747999999999998"/>
    <n v="44.747999999999998"/>
    <n v="44.747999999999998"/>
    <n v="109"/>
    <s v="CATIVO"/>
    <n v="0"/>
    <n v="0"/>
    <n v="24"/>
    <n v="50"/>
    <n v="0"/>
    <n v="103.76"/>
    <n v="80.38"/>
    <m/>
    <n v="124.62911205120986"/>
    <n v="68.859179333801777"/>
    <n v="0"/>
    <n v="5493.2644799999989"/>
    <n v="0"/>
    <n v="5772.1427085976684"/>
    <x v="2"/>
  </r>
  <r>
    <s v="PROJETADO"/>
    <x v="1"/>
    <x v="1"/>
    <x v="1"/>
    <x v="3"/>
    <x v="0"/>
    <x v="0"/>
    <x v="2"/>
    <x v="11"/>
    <n v="0"/>
    <n v="0"/>
    <n v="44.747999999999998"/>
    <n v="44.747999999999998"/>
    <n v="44.747999999999998"/>
    <n v="44.747999999999998"/>
    <n v="109"/>
    <s v="CATIVO"/>
    <n v="0"/>
    <n v="0"/>
    <n v="24"/>
    <n v="50"/>
    <n v="0"/>
    <n v="103.76"/>
    <n v="80.38"/>
    <m/>
    <n v="124.62911205120986"/>
    <n v="68.859179333801777"/>
    <n v="0"/>
    <n v="5493.2644799999989"/>
    <n v="0"/>
    <n v="5772.1427085976684"/>
    <x v="2"/>
  </r>
  <r>
    <s v="Regular"/>
    <x v="1"/>
    <x v="1"/>
    <x v="1"/>
    <x v="4"/>
    <x v="0"/>
    <x v="0"/>
    <x v="2"/>
    <x v="0"/>
    <n v="0"/>
    <n v="0"/>
    <n v="31.975999999999999"/>
    <n v="31.975999999999999"/>
    <n v="31.975999999999999"/>
    <n v="31.975999999999999"/>
    <n v="186"/>
    <s v="CATIVO"/>
    <n v="0"/>
    <n v="0"/>
    <n v="29"/>
    <n v="46"/>
    <n v="0"/>
    <n v="155.63999999999999"/>
    <n v="120.57"/>
    <m/>
    <n v="186.94366807681482"/>
    <n v="103.28876900070266"/>
    <n v="0"/>
    <n v="981.34343999999987"/>
    <n v="0"/>
    <n v="1031.1636008878552"/>
    <x v="2"/>
  </r>
  <r>
    <s v="Regular"/>
    <x v="1"/>
    <x v="1"/>
    <x v="1"/>
    <x v="4"/>
    <x v="0"/>
    <x v="0"/>
    <x v="2"/>
    <x v="1"/>
    <n v="0"/>
    <n v="0"/>
    <n v="32.045999999999999"/>
    <n v="32.045999999999999"/>
    <n v="32.045999999999999"/>
    <n v="32.045999999999999"/>
    <n v="202"/>
    <s v="CATIVO"/>
    <n v="0"/>
    <n v="0"/>
    <n v="29"/>
    <n v="46"/>
    <n v="0"/>
    <n v="155.63999999999999"/>
    <n v="120.57"/>
    <m/>
    <n v="186.94366807681482"/>
    <n v="103.28876900070266"/>
    <n v="0"/>
    <n v="983.49173999999994"/>
    <n v="0"/>
    <n v="1033.4209642873468"/>
    <x v="2"/>
  </r>
  <r>
    <s v="Regular"/>
    <x v="1"/>
    <x v="1"/>
    <x v="1"/>
    <x v="4"/>
    <x v="0"/>
    <x v="0"/>
    <x v="2"/>
    <x v="2"/>
    <n v="0"/>
    <n v="0"/>
    <n v="32.201000000000001"/>
    <n v="32.201000000000001"/>
    <n v="32.201000000000001"/>
    <n v="32.201000000000001"/>
    <n v="224"/>
    <s v="CATIVO"/>
    <n v="0"/>
    <n v="0"/>
    <n v="29"/>
    <n v="46"/>
    <n v="0"/>
    <n v="155.63999999999999"/>
    <n v="120.57"/>
    <m/>
    <n v="186.94366807681482"/>
    <n v="103.28876900070266"/>
    <n v="0"/>
    <n v="988.2486899999999"/>
    <n v="0"/>
    <n v="1038.419411814793"/>
    <x v="2"/>
  </r>
  <r>
    <s v="Regular"/>
    <x v="1"/>
    <x v="1"/>
    <x v="1"/>
    <x v="4"/>
    <x v="0"/>
    <x v="0"/>
    <x v="2"/>
    <x v="3"/>
    <n v="0"/>
    <n v="0"/>
    <n v="33.396999999999998"/>
    <n v="33.396999999999998"/>
    <n v="33.396999999999998"/>
    <n v="33.396999999999998"/>
    <n v="211"/>
    <s v="CATIVO"/>
    <n v="0"/>
    <n v="0"/>
    <n v="29"/>
    <n v="46"/>
    <n v="0"/>
    <n v="155.63999999999999"/>
    <n v="120.57"/>
    <m/>
    <n v="186.94366807681482"/>
    <n v="103.28876900070266"/>
    <n v="0"/>
    <n v="1024.9539299999999"/>
    <n v="0"/>
    <n v="1076.9880778975387"/>
    <x v="2"/>
  </r>
  <r>
    <s v="Regular"/>
    <x v="1"/>
    <x v="1"/>
    <x v="1"/>
    <x v="4"/>
    <x v="0"/>
    <x v="0"/>
    <x v="2"/>
    <x v="4"/>
    <n v="0"/>
    <n v="0"/>
    <n v="39.515000000000001"/>
    <n v="39.515000000000001"/>
    <n v="39.515000000000001"/>
    <n v="39.515000000000001"/>
    <n v="156"/>
    <s v="CATIVO"/>
    <n v="0"/>
    <n v="0"/>
    <n v="29"/>
    <n v="46"/>
    <n v="0"/>
    <n v="155.63999999999999"/>
    <n v="120.57"/>
    <m/>
    <n v="186.94366807681482"/>
    <n v="103.28876900070266"/>
    <n v="0"/>
    <n v="1212.7153499999999"/>
    <n v="0"/>
    <n v="1274.2816390131222"/>
    <x v="2"/>
  </r>
  <r>
    <s v="Regular"/>
    <x v="1"/>
    <x v="1"/>
    <x v="1"/>
    <x v="4"/>
    <x v="0"/>
    <x v="0"/>
    <x v="2"/>
    <x v="5"/>
    <n v="0"/>
    <n v="0"/>
    <n v="42.531999999999996"/>
    <n v="42.531999999999996"/>
    <n v="42.531999999999996"/>
    <n v="42.531999999999996"/>
    <n v="178"/>
    <s v="CATIVO"/>
    <n v="0"/>
    <n v="0"/>
    <n v="29"/>
    <n v="46"/>
    <n v="0"/>
    <n v="155.63999999999999"/>
    <n v="120.57"/>
    <m/>
    <n v="186.94366807681482"/>
    <n v="103.28876900070266"/>
    <n v="0"/>
    <n v="1305.3070799999998"/>
    <n v="0"/>
    <n v="1371.5740015312188"/>
    <x v="2"/>
  </r>
  <r>
    <s v="Refaturamento - Regular"/>
    <x v="1"/>
    <x v="1"/>
    <x v="1"/>
    <x v="4"/>
    <x v="0"/>
    <x v="0"/>
    <x v="2"/>
    <x v="5"/>
    <n v="0"/>
    <n v="0"/>
    <n v="-2E-3"/>
    <n v="-2E-3"/>
    <n v="-2E-3"/>
    <n v="-2E-3"/>
    <n v="0"/>
    <s v="CATIVO"/>
    <n v="0"/>
    <n v="0"/>
    <n v="29"/>
    <n v="46"/>
    <n v="0"/>
    <n v="155.63999999999999"/>
    <n v="120.57"/>
    <m/>
    <n v="186.94366807681482"/>
    <n v="103.28876900070266"/>
    <n v="0"/>
    <n v="-6.1379999999999997E-2"/>
    <n v="0"/>
    <n v="-6.4496097128337204E-2"/>
    <x v="2"/>
  </r>
  <r>
    <s v="Regular"/>
    <x v="1"/>
    <x v="1"/>
    <x v="1"/>
    <x v="4"/>
    <x v="0"/>
    <x v="0"/>
    <x v="2"/>
    <x v="6"/>
    <n v="0"/>
    <n v="0"/>
    <n v="53.284999999999997"/>
    <n v="53.284999999999997"/>
    <n v="53.284999999999997"/>
    <n v="53.284999999999997"/>
    <n v="261"/>
    <s v="CATIVO"/>
    <n v="0"/>
    <n v="0"/>
    <n v="29"/>
    <n v="46"/>
    <n v="0"/>
    <n v="155.63999999999999"/>
    <n v="120.57"/>
    <m/>
    <n v="186.94366807681482"/>
    <n v="103.28876900070266"/>
    <n v="0"/>
    <n v="1635.3166499999998"/>
    <n v="0"/>
    <n v="1718.3372677417237"/>
    <x v="2"/>
  </r>
  <r>
    <s v="Regular"/>
    <x v="1"/>
    <x v="1"/>
    <x v="1"/>
    <x v="4"/>
    <x v="0"/>
    <x v="0"/>
    <x v="2"/>
    <x v="7"/>
    <n v="0"/>
    <n v="0"/>
    <n v="54.87"/>
    <n v="54.87"/>
    <n v="54.87"/>
    <n v="54.87"/>
    <n v="331"/>
    <s v="CATIVO"/>
    <n v="0"/>
    <n v="0"/>
    <n v="29"/>
    <n v="46"/>
    <n v="0"/>
    <n v="155.63999999999999"/>
    <n v="120.57"/>
    <m/>
    <n v="186.94366807681482"/>
    <n v="103.28876900070266"/>
    <n v="0"/>
    <n v="1683.9602999999997"/>
    <n v="0"/>
    <n v="1769.4504247159309"/>
    <x v="2"/>
  </r>
  <r>
    <s v="Regular"/>
    <x v="1"/>
    <x v="1"/>
    <x v="1"/>
    <x v="4"/>
    <x v="0"/>
    <x v="0"/>
    <x v="2"/>
    <x v="8"/>
    <n v="0"/>
    <n v="0"/>
    <n v="48.58"/>
    <n v="48.58"/>
    <n v="48.58"/>
    <n v="48.58"/>
    <n v="387"/>
    <s v="CATIVO"/>
    <n v="0"/>
    <n v="0"/>
    <n v="29"/>
    <n v="46"/>
    <n v="0"/>
    <n v="155.63999999999999"/>
    <n v="120.57"/>
    <m/>
    <n v="186.94366807681482"/>
    <n v="103.28876900070266"/>
    <n v="0"/>
    <n v="1490.9201999999998"/>
    <n v="0"/>
    <n v="1566.6101992473104"/>
    <x v="2"/>
  </r>
  <r>
    <s v="Regular"/>
    <x v="1"/>
    <x v="1"/>
    <x v="1"/>
    <x v="4"/>
    <x v="0"/>
    <x v="0"/>
    <x v="2"/>
    <x v="9"/>
    <n v="0"/>
    <n v="0"/>
    <n v="49.460999999999999"/>
    <n v="49.460999999999999"/>
    <n v="49.460999999999999"/>
    <n v="49.460999999999999"/>
    <n v="349"/>
    <s v="CATIVO"/>
    <n v="0"/>
    <n v="0"/>
    <n v="29"/>
    <n v="46"/>
    <n v="0"/>
    <n v="155.63999999999999"/>
    <n v="120.57"/>
    <m/>
    <n v="186.94366807681482"/>
    <n v="103.28876900070266"/>
    <n v="0"/>
    <n v="1517.9580899999999"/>
    <n v="0"/>
    <n v="1595.020730032343"/>
    <x v="2"/>
  </r>
  <r>
    <s v="Regular"/>
    <x v="1"/>
    <x v="1"/>
    <x v="1"/>
    <x v="4"/>
    <x v="0"/>
    <x v="0"/>
    <x v="2"/>
    <x v="10"/>
    <n v="0"/>
    <n v="0"/>
    <n v="48.317999999999998"/>
    <n v="48.317999999999998"/>
    <n v="48.317999999999998"/>
    <n v="48.317999999999998"/>
    <n v="332"/>
    <s v="CATIVO"/>
    <n v="0"/>
    <n v="0"/>
    <n v="29"/>
    <n v="46"/>
    <n v="0"/>
    <n v="155.63999999999999"/>
    <n v="120.57"/>
    <m/>
    <n v="186.94366807681482"/>
    <n v="103.28876900070266"/>
    <n v="0"/>
    <n v="1482.8794199999998"/>
    <n v="0"/>
    <n v="1558.1612105234983"/>
    <x v="2"/>
  </r>
  <r>
    <s v="PROJETADO"/>
    <x v="1"/>
    <x v="1"/>
    <x v="1"/>
    <x v="4"/>
    <x v="0"/>
    <x v="0"/>
    <x v="2"/>
    <x v="11"/>
    <n v="0"/>
    <n v="0"/>
    <n v="48.317999999999998"/>
    <n v="48.317999999999998"/>
    <n v="48.317999999999998"/>
    <n v="48.317999999999998"/>
    <n v="332"/>
    <s v="CATIVO"/>
    <n v="0"/>
    <n v="0"/>
    <n v="29"/>
    <n v="46"/>
    <n v="0"/>
    <n v="155.63999999999999"/>
    <n v="120.57"/>
    <m/>
    <n v="186.94366807681482"/>
    <n v="103.28876900070266"/>
    <n v="0"/>
    <n v="1482.8794199999998"/>
    <n v="0"/>
    <n v="1558.1612105234983"/>
    <x v="2"/>
  </r>
  <r>
    <s v="Regular"/>
    <x v="1"/>
    <x v="1"/>
    <x v="1"/>
    <x v="5"/>
    <x v="0"/>
    <x v="0"/>
    <x v="2"/>
    <x v="0"/>
    <n v="0"/>
    <n v="0"/>
    <n v="11.452"/>
    <n v="11.452"/>
    <n v="11.452"/>
    <n v="11.452"/>
    <n v="169"/>
    <s v="CATIVO"/>
    <n v="0"/>
    <n v="0"/>
    <n v="19"/>
    <n v="57"/>
    <n v="0"/>
    <n v="172.93"/>
    <n v="133.97"/>
    <m/>
    <n v="207.71518675201645"/>
    <n v="114.76529888966962"/>
    <n v="0"/>
    <n v="-3.2548541639698669E-13"/>
    <n v="0"/>
    <n v="0"/>
    <x v="2"/>
  </r>
  <r>
    <s v="Regular"/>
    <x v="1"/>
    <x v="1"/>
    <x v="1"/>
    <x v="5"/>
    <x v="0"/>
    <x v="0"/>
    <x v="2"/>
    <x v="1"/>
    <n v="0"/>
    <n v="0"/>
    <n v="11.125999999999999"/>
    <n v="11.125999999999999"/>
    <n v="11.125999999999999"/>
    <n v="11.125999999999999"/>
    <n v="156"/>
    <s v="CATIVO"/>
    <n v="0"/>
    <n v="0"/>
    <n v="19"/>
    <n v="57"/>
    <n v="0"/>
    <n v="172.93"/>
    <n v="133.97"/>
    <m/>
    <n v="207.71518675201645"/>
    <n v="114.76529888966962"/>
    <n v="0"/>
    <n v="-3.1621993912267497E-13"/>
    <n v="0"/>
    <n v="0"/>
    <x v="2"/>
  </r>
  <r>
    <s v="Regular"/>
    <x v="1"/>
    <x v="1"/>
    <x v="1"/>
    <x v="5"/>
    <x v="0"/>
    <x v="0"/>
    <x v="2"/>
    <x v="2"/>
    <n v="0"/>
    <n v="0"/>
    <n v="10.77"/>
    <n v="10.77"/>
    <n v="10.77"/>
    <n v="10.77"/>
    <n v="144"/>
    <s v="CATIVO"/>
    <n v="0"/>
    <n v="0"/>
    <n v="19"/>
    <n v="57"/>
    <n v="0"/>
    <n v="172.93"/>
    <n v="133.97"/>
    <m/>
    <n v="207.71518675201645"/>
    <n v="114.76529888966962"/>
    <n v="0"/>
    <n v="-3.0610181056545115E-13"/>
    <n v="0"/>
    <n v="0"/>
    <x v="2"/>
  </r>
  <r>
    <s v="Refaturamento - Regular"/>
    <x v="1"/>
    <x v="1"/>
    <x v="1"/>
    <x v="5"/>
    <x v="0"/>
    <x v="0"/>
    <x v="2"/>
    <x v="2"/>
    <n v="0"/>
    <n v="0"/>
    <n v="0.23300000000000001"/>
    <n v="0.23300000000000001"/>
    <n v="0.23300000000000001"/>
    <n v="0.23300000000000001"/>
    <n v="0"/>
    <s v="CATIVO"/>
    <n v="0"/>
    <n v="0"/>
    <n v="19"/>
    <n v="57"/>
    <n v="0"/>
    <n v="172.93"/>
    <n v="133.97"/>
    <m/>
    <n v="207.71518675201645"/>
    <n v="114.76529888966962"/>
    <n v="0"/>
    <n v="-6.6222582972841341E-15"/>
    <n v="0"/>
    <n v="0"/>
    <x v="2"/>
  </r>
  <r>
    <s v="Regular"/>
    <x v="1"/>
    <x v="1"/>
    <x v="1"/>
    <x v="5"/>
    <x v="0"/>
    <x v="0"/>
    <x v="2"/>
    <x v="3"/>
    <n v="0"/>
    <n v="0"/>
    <n v="13.891"/>
    <n v="13.891"/>
    <n v="13.891"/>
    <n v="13.891"/>
    <n v="165"/>
    <s v="CATIVO"/>
    <n v="0"/>
    <n v="0"/>
    <n v="19"/>
    <n v="57"/>
    <n v="0"/>
    <n v="172.93"/>
    <n v="133.97"/>
    <m/>
    <n v="207.71518675201645"/>
    <n v="114.76529888966962"/>
    <n v="0"/>
    <n v="-3.9480596569774207E-13"/>
    <n v="0"/>
    <n v="0"/>
    <x v="2"/>
  </r>
  <r>
    <s v="Regular"/>
    <x v="1"/>
    <x v="1"/>
    <x v="1"/>
    <x v="5"/>
    <x v="0"/>
    <x v="0"/>
    <x v="2"/>
    <x v="4"/>
    <n v="0"/>
    <n v="0"/>
    <n v="31.126999999999999"/>
    <n v="31.126999999999999"/>
    <n v="31.126999999999999"/>
    <n v="31.126999999999999"/>
    <n v="243"/>
    <s v="CATIVO"/>
    <n v="0"/>
    <n v="0"/>
    <n v="19"/>
    <n v="57"/>
    <n v="0"/>
    <n v="172.93"/>
    <n v="133.97"/>
    <m/>
    <n v="207.71518675201645"/>
    <n v="114.76529888966962"/>
    <n v="0"/>
    <n v="-8.8468254944018551E-13"/>
    <n v="0"/>
    <n v="0"/>
    <x v="2"/>
  </r>
  <r>
    <s v="Regular"/>
    <x v="1"/>
    <x v="1"/>
    <x v="1"/>
    <x v="5"/>
    <x v="0"/>
    <x v="0"/>
    <x v="2"/>
    <x v="5"/>
    <n v="0"/>
    <n v="0"/>
    <n v="35.345999999999997"/>
    <n v="35.345999999999997"/>
    <n v="35.345999999999997"/>
    <n v="35.345999999999997"/>
    <n v="258"/>
    <s v="CATIVO"/>
    <n v="0"/>
    <n v="0"/>
    <n v="19"/>
    <n v="57"/>
    <n v="0"/>
    <n v="172.93"/>
    <n v="133.97"/>
    <m/>
    <n v="207.71518675201645"/>
    <n v="114.76529888966962"/>
    <n v="0"/>
    <n v="-1.0045937415270599E-12"/>
    <n v="0"/>
    <n v="0"/>
    <x v="2"/>
  </r>
  <r>
    <s v="Refaturamento - Regular"/>
    <x v="1"/>
    <x v="1"/>
    <x v="1"/>
    <x v="5"/>
    <x v="0"/>
    <x v="0"/>
    <x v="2"/>
    <x v="5"/>
    <n v="0"/>
    <n v="0"/>
    <n v="-0.26100000000000001"/>
    <n v="-0.26100000000000001"/>
    <n v="-0.26100000000000001"/>
    <n v="-0.26100000000000001"/>
    <n v="0"/>
    <s v="CATIVO"/>
    <n v="0"/>
    <n v="0"/>
    <n v="19"/>
    <n v="57"/>
    <n v="0"/>
    <n v="172.93"/>
    <n v="133.97"/>
    <m/>
    <n v="207.71518675201645"/>
    <n v="114.76529888966962"/>
    <n v="0"/>
    <n v="7.4180661613354462E-15"/>
    <n v="0"/>
    <n v="0"/>
    <x v="2"/>
  </r>
  <r>
    <s v="Regular"/>
    <x v="1"/>
    <x v="1"/>
    <x v="1"/>
    <x v="5"/>
    <x v="0"/>
    <x v="0"/>
    <x v="2"/>
    <x v="6"/>
    <n v="0"/>
    <n v="0"/>
    <n v="40.997999999999998"/>
    <n v="40.997999999999998"/>
    <n v="40.997999999999998"/>
    <n v="40.997999999999998"/>
    <n v="309"/>
    <s v="CATIVO"/>
    <n v="0"/>
    <n v="0"/>
    <n v="19"/>
    <n v="57"/>
    <n v="0"/>
    <n v="172.93"/>
    <n v="133.97"/>
    <m/>
    <n v="207.71518675201645"/>
    <n v="114.76529888966962"/>
    <n v="0"/>
    <n v="-1.1652332432277034E-12"/>
    <n v="0"/>
    <n v="0"/>
    <x v="2"/>
  </r>
  <r>
    <s v="Regular"/>
    <x v="1"/>
    <x v="1"/>
    <x v="1"/>
    <x v="5"/>
    <x v="0"/>
    <x v="0"/>
    <x v="2"/>
    <x v="7"/>
    <n v="0"/>
    <n v="0"/>
    <n v="28.201000000000001"/>
    <n v="28.201000000000001"/>
    <n v="28.201000000000001"/>
    <n v="28.201000000000001"/>
    <n v="284"/>
    <s v="CATIVO"/>
    <n v="0"/>
    <n v="0"/>
    <n v="19"/>
    <n v="57"/>
    <n v="0"/>
    <n v="172.93"/>
    <n v="133.97"/>
    <m/>
    <n v="207.71518675201645"/>
    <n v="114.76529888966962"/>
    <n v="0"/>
    <n v="-8.0152062764682343E-13"/>
    <n v="0"/>
    <n v="0"/>
    <x v="2"/>
  </r>
  <r>
    <s v="Regular"/>
    <x v="1"/>
    <x v="1"/>
    <x v="1"/>
    <x v="5"/>
    <x v="0"/>
    <x v="0"/>
    <x v="2"/>
    <x v="8"/>
    <n v="0"/>
    <n v="0"/>
    <n v="19.608000000000001"/>
    <n v="19.608000000000001"/>
    <n v="19.608000000000001"/>
    <n v="19.608000000000001"/>
    <n v="219"/>
    <s v="CATIVO"/>
    <n v="0"/>
    <n v="0"/>
    <n v="19"/>
    <n v="57"/>
    <n v="0"/>
    <n v="172.93"/>
    <n v="133.97"/>
    <m/>
    <n v="207.71518675201645"/>
    <n v="114.76529888966962"/>
    <n v="0"/>
    <n v="-5.5729287851136179E-13"/>
    <n v="0"/>
    <n v="0"/>
    <x v="2"/>
  </r>
  <r>
    <s v="Regular"/>
    <x v="1"/>
    <x v="1"/>
    <x v="1"/>
    <x v="5"/>
    <x v="0"/>
    <x v="0"/>
    <x v="2"/>
    <x v="9"/>
    <n v="0"/>
    <n v="0"/>
    <n v="25.545999999999999"/>
    <n v="25.545999999999999"/>
    <n v="25.545999999999999"/>
    <n v="25.545999999999999"/>
    <n v="243"/>
    <s v="CATIVO"/>
    <n v="0"/>
    <n v="0"/>
    <n v="19"/>
    <n v="57"/>
    <n v="0"/>
    <n v="172.93"/>
    <n v="133.97"/>
    <m/>
    <n v="207.71518675201645"/>
    <n v="114.76529888966962"/>
    <n v="0"/>
    <n v="-7.2606098910910076E-13"/>
    <n v="0"/>
    <n v="0"/>
    <x v="2"/>
  </r>
  <r>
    <s v="Regular"/>
    <x v="1"/>
    <x v="1"/>
    <x v="1"/>
    <x v="5"/>
    <x v="0"/>
    <x v="0"/>
    <x v="2"/>
    <x v="10"/>
    <n v="0"/>
    <n v="0"/>
    <n v="24.925999999999998"/>
    <n v="24.925999999999998"/>
    <n v="24.925999999999998"/>
    <n v="24.925999999999998"/>
    <n v="241"/>
    <s v="CATIVO"/>
    <n v="0"/>
    <n v="0"/>
    <n v="19"/>
    <n v="57"/>
    <n v="0"/>
    <n v="172.93"/>
    <n v="133.97"/>
    <m/>
    <n v="207.71518675201645"/>
    <n v="114.76529888966962"/>
    <n v="0"/>
    <n v="-7.0843952926225024E-13"/>
    <n v="0"/>
    <n v="0"/>
    <x v="2"/>
  </r>
  <r>
    <s v="PROJETADO"/>
    <x v="1"/>
    <x v="1"/>
    <x v="1"/>
    <x v="5"/>
    <x v="0"/>
    <x v="0"/>
    <x v="2"/>
    <x v="11"/>
    <n v="0"/>
    <n v="0"/>
    <n v="24.925999999999998"/>
    <n v="24.925999999999998"/>
    <n v="24.925999999999998"/>
    <n v="24.925999999999998"/>
    <n v="241"/>
    <s v="CATIVO"/>
    <n v="0"/>
    <n v="0"/>
    <n v="19"/>
    <n v="57"/>
    <n v="0"/>
    <n v="172.93"/>
    <n v="133.97"/>
    <m/>
    <n v="207.71518675201645"/>
    <n v="114.76529888966962"/>
    <n v="0"/>
    <n v="-7.0843952926225024E-13"/>
    <n v="0"/>
    <n v="0"/>
    <x v="2"/>
  </r>
  <r>
    <s v="Regular"/>
    <x v="2"/>
    <x v="1"/>
    <x v="2"/>
    <x v="6"/>
    <x v="1"/>
    <x v="0"/>
    <x v="2"/>
    <x v="0"/>
    <n v="0"/>
    <n v="0"/>
    <n v="218.55099999999999"/>
    <n v="218.55099999999999"/>
    <n v="218.55099999999999"/>
    <n v="218.55099999999999"/>
    <n v="0"/>
    <s v="CATIVO"/>
    <n v="0"/>
    <n v="0"/>
    <n v="30"/>
    <n v="74"/>
    <n v="0"/>
    <n v="236.77"/>
    <n v="117.89"/>
    <m/>
    <n v="323.18581193481282"/>
    <n v="107.87938095628944"/>
    <n v="0"/>
    <n v="10571.31186999999"/>
    <n v="0"/>
    <n v="6013.3869556304317"/>
    <x v="3"/>
  </r>
  <r>
    <s v="Regular"/>
    <x v="2"/>
    <x v="1"/>
    <x v="2"/>
    <x v="6"/>
    <x v="1"/>
    <x v="0"/>
    <x v="2"/>
    <x v="1"/>
    <n v="0"/>
    <n v="0"/>
    <n v="139.84200000000001"/>
    <n v="139.84200000000001"/>
    <n v="139.84200000000001"/>
    <n v="139.84200000000001"/>
    <n v="0"/>
    <s v="CATIVO"/>
    <n v="0"/>
    <n v="0"/>
    <n v="30"/>
    <n v="74"/>
    <n v="0"/>
    <n v="236.77"/>
    <n v="117.89"/>
    <m/>
    <n v="323.18581193481282"/>
    <n v="107.87938095628944"/>
    <n v="0"/>
    <n v="6764.1575399999956"/>
    <n v="0"/>
    <n v="3847.7245981453798"/>
    <x v="3"/>
  </r>
  <r>
    <s v="Regular"/>
    <x v="2"/>
    <x v="1"/>
    <x v="2"/>
    <x v="6"/>
    <x v="1"/>
    <x v="0"/>
    <x v="2"/>
    <x v="2"/>
    <n v="0"/>
    <n v="0"/>
    <n v="171.75"/>
    <n v="171.75"/>
    <n v="171.75"/>
    <n v="171.75"/>
    <n v="0"/>
    <s v="CATIVO"/>
    <n v="0"/>
    <n v="0"/>
    <n v="30"/>
    <n v="74"/>
    <n v="0"/>
    <n v="236.77"/>
    <n v="117.89"/>
    <m/>
    <n v="323.18581193481282"/>
    <n v="107.87938095628944"/>
    <n v="0"/>
    <n v="8307.5474999999933"/>
    <n v="0"/>
    <n v="4725.6668220668244"/>
    <x v="3"/>
  </r>
  <r>
    <s v="Regular"/>
    <x v="2"/>
    <x v="1"/>
    <x v="2"/>
    <x v="6"/>
    <x v="1"/>
    <x v="0"/>
    <x v="2"/>
    <x v="3"/>
    <n v="0"/>
    <n v="0"/>
    <n v="163.185"/>
    <n v="163.185"/>
    <n v="163.185"/>
    <n v="163.185"/>
    <n v="0"/>
    <s v="CATIVO"/>
    <n v="0"/>
    <n v="0"/>
    <n v="30"/>
    <n v="74"/>
    <n v="0"/>
    <n v="236.77"/>
    <n v="117.89"/>
    <m/>
    <n v="323.18581193481282"/>
    <n v="107.87938095628944"/>
    <n v="0"/>
    <n v="7893.2584499999939"/>
    <n v="0"/>
    <n v="4490.0025639532741"/>
    <x v="3"/>
  </r>
  <r>
    <s v="Regular"/>
    <x v="2"/>
    <x v="1"/>
    <x v="2"/>
    <x v="6"/>
    <x v="1"/>
    <x v="0"/>
    <x v="2"/>
    <x v="4"/>
    <n v="0"/>
    <n v="0"/>
    <n v="200.428"/>
    <n v="200.428"/>
    <n v="200.428"/>
    <n v="200.428"/>
    <n v="0"/>
    <s v="CATIVO"/>
    <n v="0"/>
    <n v="0"/>
    <n v="30"/>
    <n v="74"/>
    <n v="0"/>
    <n v="236.77"/>
    <n v="117.89"/>
    <m/>
    <n v="323.18581193481282"/>
    <n v="107.87938095628944"/>
    <n v="0"/>
    <n v="9694.702359999992"/>
    <n v="0"/>
    <n v="5514.7362434539127"/>
    <x v="3"/>
  </r>
  <r>
    <s v="Regular"/>
    <x v="2"/>
    <x v="1"/>
    <x v="2"/>
    <x v="6"/>
    <x v="1"/>
    <x v="0"/>
    <x v="2"/>
    <x v="5"/>
    <n v="0"/>
    <n v="0"/>
    <n v="50.792999999999999"/>
    <n v="50.792999999999999"/>
    <n v="50.792999999999999"/>
    <n v="50.792999999999999"/>
    <n v="0"/>
    <s v="CATIVO"/>
    <n v="0"/>
    <n v="0"/>
    <n v="30"/>
    <n v="74"/>
    <n v="0"/>
    <n v="236.77"/>
    <n v="117.89"/>
    <m/>
    <n v="323.18581193481282"/>
    <n v="107.87938095628944"/>
    <n v="0"/>
    <n v="2456.8574099999983"/>
    <n v="0"/>
    <n v="1397.5592133521993"/>
    <x v="3"/>
  </r>
  <r>
    <s v="Sistema de Compensação"/>
    <x v="2"/>
    <x v="1"/>
    <x v="2"/>
    <x v="6"/>
    <x v="1"/>
    <x v="0"/>
    <x v="2"/>
    <x v="5"/>
    <n v="0"/>
    <n v="0"/>
    <n v="0.1"/>
    <n v="0.1"/>
    <n v="0.1"/>
    <n v="0.1"/>
    <n v="0"/>
    <s v="CATIVO"/>
    <n v="0"/>
    <n v="0"/>
    <n v="30"/>
    <n v="74"/>
    <n v="0"/>
    <n v="236.77"/>
    <n v="117.89"/>
    <m/>
    <n v="323.18581193481282"/>
    <n v="107.87938095628944"/>
    <n v="0"/>
    <n v="4.8369999999999962"/>
    <n v="0"/>
    <n v="2.7514799546240614"/>
    <x v="3"/>
  </r>
  <r>
    <s v="Regular"/>
    <x v="2"/>
    <x v="1"/>
    <x v="2"/>
    <x v="6"/>
    <x v="1"/>
    <x v="0"/>
    <x v="2"/>
    <x v="6"/>
    <n v="0"/>
    <n v="0"/>
    <n v="23.201000000000001"/>
    <n v="23.201000000000001"/>
    <n v="23.201000000000001"/>
    <n v="23.201000000000001"/>
    <n v="0"/>
    <s v="CATIVO"/>
    <n v="0"/>
    <n v="0"/>
    <n v="30"/>
    <n v="74"/>
    <n v="0"/>
    <n v="236.77"/>
    <n v="117.89"/>
    <m/>
    <n v="323.18581193481282"/>
    <n v="107.87938095628944"/>
    <n v="0"/>
    <n v="1122.232369999999"/>
    <n v="0"/>
    <n v="638.37086427232839"/>
    <x v="3"/>
  </r>
  <r>
    <s v="Sistema de Compensação"/>
    <x v="2"/>
    <x v="1"/>
    <x v="2"/>
    <x v="6"/>
    <x v="1"/>
    <x v="0"/>
    <x v="2"/>
    <x v="6"/>
    <n v="0"/>
    <n v="0"/>
    <n v="0.1"/>
    <n v="0.1"/>
    <n v="0.1"/>
    <n v="0.1"/>
    <n v="0"/>
    <s v="CATIVO"/>
    <n v="0"/>
    <n v="0"/>
    <n v="30"/>
    <n v="74"/>
    <n v="0"/>
    <n v="236.77"/>
    <n v="117.89"/>
    <m/>
    <n v="323.18581193481282"/>
    <n v="107.87938095628944"/>
    <n v="0"/>
    <n v="4.8369999999999962"/>
    <n v="0"/>
    <n v="2.7514799546240614"/>
    <x v="3"/>
  </r>
  <r>
    <s v="Regular"/>
    <x v="2"/>
    <x v="1"/>
    <x v="2"/>
    <x v="6"/>
    <x v="1"/>
    <x v="0"/>
    <x v="2"/>
    <x v="7"/>
    <n v="0"/>
    <n v="0"/>
    <n v="20.023"/>
    <n v="20.023"/>
    <n v="20.023"/>
    <n v="20.023"/>
    <n v="0"/>
    <s v="CATIVO"/>
    <n v="0"/>
    <n v="0"/>
    <n v="30"/>
    <n v="74"/>
    <n v="0"/>
    <n v="236.77"/>
    <n v="117.89"/>
    <m/>
    <n v="323.18581193481282"/>
    <n v="107.87938095628944"/>
    <n v="0"/>
    <n v="968.51250999999922"/>
    <n v="0"/>
    <n v="550.92883131437577"/>
    <x v="3"/>
  </r>
  <r>
    <s v="Regular"/>
    <x v="2"/>
    <x v="1"/>
    <x v="2"/>
    <x v="6"/>
    <x v="1"/>
    <x v="0"/>
    <x v="2"/>
    <x v="8"/>
    <n v="0"/>
    <n v="0"/>
    <n v="10.407999999999999"/>
    <n v="10.407999999999999"/>
    <n v="10.407999999999999"/>
    <n v="10.407999999999999"/>
    <n v="0"/>
    <s v="CATIVO"/>
    <n v="0"/>
    <n v="0"/>
    <n v="30"/>
    <n v="74"/>
    <n v="0"/>
    <n v="236.77"/>
    <n v="117.89"/>
    <m/>
    <n v="323.18581193481282"/>
    <n v="107.87938095628944"/>
    <n v="0"/>
    <n v="503.43495999999959"/>
    <n v="0"/>
    <n v="286.37403367727228"/>
    <x v="3"/>
  </r>
  <r>
    <s v="Refaturamento - Regular"/>
    <x v="2"/>
    <x v="1"/>
    <x v="2"/>
    <x v="6"/>
    <x v="1"/>
    <x v="0"/>
    <x v="2"/>
    <x v="8"/>
    <n v="0"/>
    <n v="0"/>
    <n v="-9.6920000000000002"/>
    <n v="-9.6920000000000002"/>
    <n v="-9.6920000000000002"/>
    <n v="-9.6920000000000002"/>
    <n v="0"/>
    <s v="CATIVO"/>
    <n v="0"/>
    <n v="0"/>
    <n v="30"/>
    <n v="74"/>
    <n v="0"/>
    <n v="236.77"/>
    <n v="117.89"/>
    <m/>
    <n v="323.18581193481282"/>
    <n v="107.87938095628944"/>
    <n v="0"/>
    <n v="-468.80203999999964"/>
    <n v="0"/>
    <n v="-266.673437202164"/>
    <x v="3"/>
  </r>
  <r>
    <s v="Regular"/>
    <x v="2"/>
    <x v="1"/>
    <x v="2"/>
    <x v="6"/>
    <x v="1"/>
    <x v="0"/>
    <x v="2"/>
    <x v="9"/>
    <n v="0"/>
    <n v="0"/>
    <n v="9.1449999999999996"/>
    <n v="9.1449999999999996"/>
    <n v="9.1449999999999996"/>
    <n v="9.1449999999999996"/>
    <n v="0"/>
    <s v="CATIVO"/>
    <n v="0"/>
    <n v="0"/>
    <n v="30"/>
    <n v="74"/>
    <n v="0"/>
    <n v="236.77"/>
    <n v="117.89"/>
    <m/>
    <n v="323.18581193481282"/>
    <n v="107.87938095628944"/>
    <n v="0"/>
    <n v="442.34364999999963"/>
    <n v="0"/>
    <n v="251.62284185037038"/>
    <x v="3"/>
  </r>
  <r>
    <s v="Regular"/>
    <x v="2"/>
    <x v="1"/>
    <x v="2"/>
    <x v="6"/>
    <x v="1"/>
    <x v="0"/>
    <x v="2"/>
    <x v="10"/>
    <n v="0"/>
    <n v="0"/>
    <n v="13.619"/>
    <n v="13.619"/>
    <n v="13.619"/>
    <n v="13.619"/>
    <n v="0"/>
    <s v="CATIVO"/>
    <n v="0"/>
    <n v="0"/>
    <n v="30"/>
    <n v="74"/>
    <n v="0"/>
    <n v="236.77"/>
    <n v="117.89"/>
    <m/>
    <n v="323.18581193481282"/>
    <n v="107.87938095628944"/>
    <n v="0"/>
    <n v="658.75102999999945"/>
    <n v="0"/>
    <n v="374.72405502025089"/>
    <x v="3"/>
  </r>
  <r>
    <s v="PROJETADO"/>
    <x v="2"/>
    <x v="1"/>
    <x v="2"/>
    <x v="6"/>
    <x v="1"/>
    <x v="0"/>
    <x v="2"/>
    <x v="11"/>
    <n v="0"/>
    <n v="0"/>
    <n v="13.619"/>
    <n v="13.619"/>
    <n v="13.619"/>
    <n v="13.619"/>
    <n v="0"/>
    <s v="CATIVO"/>
    <n v="0"/>
    <n v="0"/>
    <n v="30"/>
    <n v="74"/>
    <n v="0"/>
    <n v="236.77"/>
    <n v="117.89"/>
    <m/>
    <n v="323.18581193481282"/>
    <n v="107.87938095628944"/>
    <n v="0"/>
    <n v="658.75102999999945"/>
    <n v="0"/>
    <n v="374.72405502025089"/>
    <x v="3"/>
  </r>
  <r>
    <s v="Regular"/>
    <x v="2"/>
    <x v="1"/>
    <x v="2"/>
    <x v="6"/>
    <x v="2"/>
    <x v="0"/>
    <x v="2"/>
    <x v="0"/>
    <n v="0"/>
    <n v="0"/>
    <n v="103.145"/>
    <n v="41.258000000000003"/>
    <n v="103.145"/>
    <n v="41.258000000000003"/>
    <n v="0"/>
    <s v="CATIVO"/>
    <n v="0"/>
    <n v="0"/>
    <n v="30"/>
    <n v="74"/>
    <n v="0"/>
    <n v="236.77"/>
    <n v="117.89"/>
    <m/>
    <n v="323.18581193481282"/>
    <n v="107.87938095628944"/>
    <n v="0"/>
    <n v="26937.967069999992"/>
    <n v="0"/>
    <n v="29515.345591648631"/>
    <x v="4"/>
  </r>
  <r>
    <s v="Regular"/>
    <x v="2"/>
    <x v="1"/>
    <x v="2"/>
    <x v="6"/>
    <x v="2"/>
    <x v="0"/>
    <x v="2"/>
    <x v="1"/>
    <n v="0"/>
    <n v="0"/>
    <n v="79.552000000000007"/>
    <n v="31.820799999999998"/>
    <n v="79.552000000000007"/>
    <n v="31.820799999999998"/>
    <n v="0"/>
    <s v="CATIVO"/>
    <n v="0"/>
    <n v="0"/>
    <n v="30"/>
    <n v="74"/>
    <n v="0"/>
    <n v="236.77"/>
    <n v="117.89"/>
    <m/>
    <n v="323.18581193481282"/>
    <n v="107.87938095628944"/>
    <n v="0"/>
    <n v="20776.277632000001"/>
    <n v="0"/>
    <n v="22764.116268426314"/>
    <x v="4"/>
  </r>
  <r>
    <s v="Regular"/>
    <x v="2"/>
    <x v="1"/>
    <x v="2"/>
    <x v="6"/>
    <x v="2"/>
    <x v="0"/>
    <x v="2"/>
    <x v="2"/>
    <n v="0"/>
    <n v="0"/>
    <n v="108.729"/>
    <n v="43.491599999999998"/>
    <n v="108.729"/>
    <n v="43.491599999999998"/>
    <n v="0"/>
    <s v="CATIVO"/>
    <n v="0"/>
    <n v="0"/>
    <n v="30"/>
    <n v="74"/>
    <n v="0"/>
    <n v="236.77"/>
    <n v="117.89"/>
    <m/>
    <n v="323.18581193481282"/>
    <n v="107.87938095628944"/>
    <n v="0"/>
    <n v="28396.318013999997"/>
    <n v="0"/>
    <n v="31113.22905457719"/>
    <x v="4"/>
  </r>
  <r>
    <s v="Regular"/>
    <x v="2"/>
    <x v="1"/>
    <x v="2"/>
    <x v="6"/>
    <x v="2"/>
    <x v="0"/>
    <x v="2"/>
    <x v="3"/>
    <n v="0"/>
    <n v="0"/>
    <n v="128.13900000000001"/>
    <n v="51.255600000000001"/>
    <n v="128.13900000000001"/>
    <n v="51.255600000000001"/>
    <n v="0"/>
    <s v="CATIVO"/>
    <n v="0"/>
    <n v="0"/>
    <n v="30"/>
    <n v="74"/>
    <n v="0"/>
    <n v="236.77"/>
    <n v="117.89"/>
    <m/>
    <n v="323.18581193481282"/>
    <n v="107.87938095628944"/>
    <n v="0"/>
    <n v="33465.550073999999"/>
    <n v="0"/>
    <n v="36667.476550179497"/>
    <x v="4"/>
  </r>
  <r>
    <s v="Regular"/>
    <x v="2"/>
    <x v="1"/>
    <x v="2"/>
    <x v="6"/>
    <x v="2"/>
    <x v="0"/>
    <x v="2"/>
    <x v="4"/>
    <n v="0"/>
    <n v="0"/>
    <n v="145.27600000000001"/>
    <n v="58.110399999999998"/>
    <n v="145.27600000000001"/>
    <n v="58.110399999999998"/>
    <n v="0"/>
    <s v="CATIVO"/>
    <n v="0"/>
    <n v="0"/>
    <n v="30"/>
    <n v="74"/>
    <n v="0"/>
    <n v="236.77"/>
    <n v="117.89"/>
    <m/>
    <n v="323.18581193481282"/>
    <n v="107.87938095628944"/>
    <n v="0"/>
    <n v="37941.151816000005"/>
    <n v="0"/>
    <n v="41571.296196348318"/>
    <x v="4"/>
  </r>
  <r>
    <s v="Regular"/>
    <x v="2"/>
    <x v="1"/>
    <x v="2"/>
    <x v="6"/>
    <x v="2"/>
    <x v="0"/>
    <x v="2"/>
    <x v="5"/>
    <n v="0"/>
    <n v="0"/>
    <n v="41.22"/>
    <n v="16.488"/>
    <n v="41.22"/>
    <n v="16.488"/>
    <n v="0"/>
    <s v="CATIVO"/>
    <n v="0"/>
    <n v="0"/>
    <n v="30"/>
    <n v="74"/>
    <n v="0"/>
    <n v="236.77"/>
    <n v="117.89"/>
    <m/>
    <n v="323.18581193481282"/>
    <n v="107.87938095628944"/>
    <n v="0"/>
    <n v="10765.262519999998"/>
    <n v="0"/>
    <n v="11795.264387878779"/>
    <x v="4"/>
  </r>
  <r>
    <s v="Regular"/>
    <x v="2"/>
    <x v="1"/>
    <x v="2"/>
    <x v="6"/>
    <x v="2"/>
    <x v="0"/>
    <x v="2"/>
    <x v="6"/>
    <n v="0"/>
    <n v="0"/>
    <n v="14.337"/>
    <n v="5.7347999999999999"/>
    <n v="14.337"/>
    <n v="5.7347999999999999"/>
    <n v="0"/>
    <s v="CATIVO"/>
    <n v="0"/>
    <n v="0"/>
    <n v="30"/>
    <n v="74"/>
    <n v="0"/>
    <n v="236.77"/>
    <n v="117.89"/>
    <m/>
    <n v="323.18581193481282"/>
    <n v="107.87938095628944"/>
    <n v="0"/>
    <n v="3744.3369419999995"/>
    <n v="0"/>
    <n v="4102.5886833822915"/>
    <x v="4"/>
  </r>
  <r>
    <s v="Regular"/>
    <x v="2"/>
    <x v="1"/>
    <x v="2"/>
    <x v="6"/>
    <x v="2"/>
    <x v="0"/>
    <x v="2"/>
    <x v="7"/>
    <n v="0"/>
    <n v="0"/>
    <n v="1.601"/>
    <n v="0.64039999999999997"/>
    <n v="1.601"/>
    <n v="0.64039999999999997"/>
    <n v="0"/>
    <s v="CATIVO"/>
    <n v="0"/>
    <n v="0"/>
    <n v="30"/>
    <n v="74"/>
    <n v="0"/>
    <n v="236.77"/>
    <n v="117.89"/>
    <m/>
    <n v="323.18581193481282"/>
    <n v="107.87938095628944"/>
    <n v="0"/>
    <n v="418.12676599999998"/>
    <n v="0"/>
    <n v="458.13241836472406"/>
    <x v="4"/>
  </r>
  <r>
    <s v="Regular"/>
    <x v="2"/>
    <x v="1"/>
    <x v="2"/>
    <x v="6"/>
    <x v="2"/>
    <x v="0"/>
    <x v="2"/>
    <x v="8"/>
    <n v="0"/>
    <n v="0"/>
    <n v="1.242"/>
    <n v="0.49680000000000002"/>
    <n v="1.242"/>
    <n v="0.49680000000000002"/>
    <n v="0"/>
    <s v="CATIVO"/>
    <n v="0"/>
    <n v="0"/>
    <n v="30"/>
    <n v="74"/>
    <n v="0"/>
    <n v="236.77"/>
    <n v="117.89"/>
    <m/>
    <n v="323.18581193481282"/>
    <n v="107.87938095628944"/>
    <n v="0"/>
    <n v="324.36817199999996"/>
    <n v="0"/>
    <n v="355.40316277888024"/>
    <x v="4"/>
  </r>
  <r>
    <s v="Regular"/>
    <x v="2"/>
    <x v="1"/>
    <x v="2"/>
    <x v="6"/>
    <x v="2"/>
    <x v="0"/>
    <x v="2"/>
    <x v="9"/>
    <n v="0"/>
    <n v="0"/>
    <n v="0.64200000000000002"/>
    <n v="0.25679999999999997"/>
    <n v="0.64200000000000002"/>
    <n v="0.25679999999999997"/>
    <n v="0"/>
    <s v="CATIVO"/>
    <n v="0"/>
    <n v="0"/>
    <n v="30"/>
    <n v="74"/>
    <n v="0"/>
    <n v="236.77"/>
    <n v="117.89"/>
    <m/>
    <n v="323.18581193481282"/>
    <n v="107.87938095628944"/>
    <n v="0"/>
    <n v="167.66857199999998"/>
    <n v="0"/>
    <n v="183.71081361033907"/>
    <x v="4"/>
  </r>
  <r>
    <s v="Regular"/>
    <x v="2"/>
    <x v="1"/>
    <x v="2"/>
    <x v="6"/>
    <x v="2"/>
    <x v="0"/>
    <x v="2"/>
    <x v="10"/>
    <n v="0"/>
    <n v="0"/>
    <n v="3.4420000000000002"/>
    <n v="1.3768"/>
    <n v="3.4420000000000002"/>
    <n v="1.3768"/>
    <n v="0"/>
    <s v="CATIVO"/>
    <n v="0"/>
    <n v="0"/>
    <n v="30"/>
    <n v="74"/>
    <n v="0"/>
    <n v="236.77"/>
    <n v="117.89"/>
    <m/>
    <n v="323.18581193481282"/>
    <n v="107.87938095628944"/>
    <n v="0"/>
    <n v="898.93337199999996"/>
    <n v="0"/>
    <n v="984.9417763968645"/>
    <x v="4"/>
  </r>
  <r>
    <s v="PROJETADO"/>
    <x v="2"/>
    <x v="1"/>
    <x v="2"/>
    <x v="6"/>
    <x v="2"/>
    <x v="0"/>
    <x v="2"/>
    <x v="11"/>
    <n v="0"/>
    <n v="0"/>
    <n v="3.4420000000000002"/>
    <n v="1.3768"/>
    <n v="3.4420000000000002"/>
    <n v="1.3768"/>
    <n v="0"/>
    <s v="CATIVO"/>
    <n v="0"/>
    <n v="0"/>
    <n v="30"/>
    <n v="74"/>
    <n v="0"/>
    <n v="236.77"/>
    <n v="117.89"/>
    <m/>
    <n v="323.18581193481282"/>
    <n v="107.87938095628944"/>
    <n v="0"/>
    <n v="898.93337199999996"/>
    <n v="0"/>
    <n v="984.9417763968645"/>
    <x v="4"/>
  </r>
  <r>
    <s v="Regular"/>
    <x v="2"/>
    <x v="1"/>
    <x v="2"/>
    <x v="7"/>
    <x v="1"/>
    <x v="0"/>
    <x v="2"/>
    <x v="0"/>
    <n v="0"/>
    <n v="0"/>
    <n v="6.7000000000000004E-2"/>
    <n v="6.7000000000000004E-2"/>
    <n v="6.7000000000000004E-2"/>
    <n v="6.7000000000000004E-2"/>
    <n v="0"/>
    <s v="CATIVO"/>
    <n v="0"/>
    <n v="0"/>
    <n v="30"/>
    <n v="74"/>
    <n v="0"/>
    <n v="236.77"/>
    <n v="117.89"/>
    <m/>
    <n v="323.18581193481282"/>
    <n v="107.87938095628944"/>
    <n v="0"/>
    <n v="3.2407899999999978"/>
    <n v="0"/>
    <n v="1.8434915695981209"/>
    <x v="3"/>
  </r>
  <r>
    <s v="Regular"/>
    <x v="2"/>
    <x v="1"/>
    <x v="2"/>
    <x v="7"/>
    <x v="1"/>
    <x v="0"/>
    <x v="2"/>
    <x v="1"/>
    <n v="0"/>
    <n v="0"/>
    <n v="6.7000000000000004E-2"/>
    <n v="6.7000000000000004E-2"/>
    <n v="6.7000000000000004E-2"/>
    <n v="6.7000000000000004E-2"/>
    <n v="0"/>
    <s v="CATIVO"/>
    <n v="0"/>
    <n v="0"/>
    <n v="30"/>
    <n v="74"/>
    <n v="0"/>
    <n v="236.77"/>
    <n v="117.89"/>
    <m/>
    <n v="323.18581193481282"/>
    <n v="107.87938095628944"/>
    <n v="0"/>
    <n v="3.2407899999999978"/>
    <n v="0"/>
    <n v="1.8434915695981209"/>
    <x v="3"/>
  </r>
  <r>
    <s v="Regular"/>
    <x v="2"/>
    <x v="1"/>
    <x v="2"/>
    <x v="7"/>
    <x v="1"/>
    <x v="0"/>
    <x v="2"/>
    <x v="2"/>
    <n v="0"/>
    <n v="0"/>
    <n v="7.3999999999999996E-2"/>
    <n v="7.3999999999999996E-2"/>
    <n v="7.3999999999999996E-2"/>
    <n v="7.3999999999999996E-2"/>
    <n v="0"/>
    <s v="CATIVO"/>
    <n v="0"/>
    <n v="0"/>
    <n v="30"/>
    <n v="74"/>
    <n v="0"/>
    <n v="236.77"/>
    <n v="117.89"/>
    <m/>
    <n v="323.18581193481282"/>
    <n v="107.87938095628944"/>
    <n v="0"/>
    <n v="3.5793799999999969"/>
    <n v="0"/>
    <n v="2.0360951664218052"/>
    <x v="3"/>
  </r>
  <r>
    <s v="Regular"/>
    <x v="2"/>
    <x v="1"/>
    <x v="2"/>
    <x v="7"/>
    <x v="1"/>
    <x v="0"/>
    <x v="2"/>
    <x v="3"/>
    <n v="0"/>
    <n v="0"/>
    <n v="0.27600000000000002"/>
    <n v="0.27600000000000002"/>
    <n v="0.27600000000000002"/>
    <n v="0.27600000000000002"/>
    <n v="0"/>
    <s v="CATIVO"/>
    <n v="0"/>
    <n v="0"/>
    <n v="30"/>
    <n v="74"/>
    <n v="0"/>
    <n v="236.77"/>
    <n v="117.89"/>
    <m/>
    <n v="323.18581193481282"/>
    <n v="107.87938095628944"/>
    <n v="0"/>
    <n v="13.35011999999999"/>
    <n v="0"/>
    <n v="7.5940846747624091"/>
    <x v="3"/>
  </r>
  <r>
    <s v="Regular"/>
    <x v="2"/>
    <x v="1"/>
    <x v="2"/>
    <x v="7"/>
    <x v="1"/>
    <x v="0"/>
    <x v="2"/>
    <x v="4"/>
    <n v="0"/>
    <n v="0"/>
    <n v="0.96899999999999997"/>
    <n v="0.96899999999999997"/>
    <n v="0.96899999999999997"/>
    <n v="0.96899999999999997"/>
    <n v="0"/>
    <s v="CATIVO"/>
    <n v="0"/>
    <n v="0"/>
    <n v="30"/>
    <n v="74"/>
    <n v="0"/>
    <n v="236.77"/>
    <n v="117.89"/>
    <m/>
    <n v="323.18581193481282"/>
    <n v="107.87938095628944"/>
    <n v="0"/>
    <n v="46.87052999999996"/>
    <n v="0"/>
    <n v="26.66184076030715"/>
    <x v="3"/>
  </r>
  <r>
    <s v="Regular"/>
    <x v="2"/>
    <x v="1"/>
    <x v="2"/>
    <x v="7"/>
    <x v="1"/>
    <x v="0"/>
    <x v="2"/>
    <x v="5"/>
    <n v="0"/>
    <n v="0"/>
    <n v="1.0489999999999999"/>
    <n v="1.0489999999999999"/>
    <n v="1.0489999999999999"/>
    <n v="1.0489999999999999"/>
    <n v="0"/>
    <s v="CATIVO"/>
    <n v="0"/>
    <n v="0"/>
    <n v="30"/>
    <n v="74"/>
    <n v="0"/>
    <n v="236.77"/>
    <n v="117.89"/>
    <m/>
    <n v="323.18581193481282"/>
    <n v="107.87938095628944"/>
    <n v="0"/>
    <n v="50.740129999999958"/>
    <n v="0"/>
    <n v="28.863024724006397"/>
    <x v="3"/>
  </r>
  <r>
    <s v="Regular"/>
    <x v="2"/>
    <x v="1"/>
    <x v="2"/>
    <x v="7"/>
    <x v="1"/>
    <x v="0"/>
    <x v="2"/>
    <x v="6"/>
    <n v="0"/>
    <n v="0"/>
    <n v="1.677"/>
    <n v="1.677"/>
    <n v="1.677"/>
    <n v="1.677"/>
    <n v="0"/>
    <s v="CATIVO"/>
    <n v="0"/>
    <n v="0"/>
    <n v="30"/>
    <n v="74"/>
    <n v="0"/>
    <n v="236.77"/>
    <n v="117.89"/>
    <m/>
    <n v="323.18581193481282"/>
    <n v="107.87938095628944"/>
    <n v="0"/>
    <n v="81.116489999999942"/>
    <n v="0"/>
    <n v="46.142318839045501"/>
    <x v="3"/>
  </r>
  <r>
    <s v="Regular"/>
    <x v="2"/>
    <x v="1"/>
    <x v="2"/>
    <x v="7"/>
    <x v="1"/>
    <x v="0"/>
    <x v="2"/>
    <x v="7"/>
    <n v="0"/>
    <n v="0"/>
    <n v="1.605"/>
    <n v="1.605"/>
    <n v="1.605"/>
    <n v="1.605"/>
    <n v="0"/>
    <s v="CATIVO"/>
    <n v="0"/>
    <n v="0"/>
    <n v="30"/>
    <n v="74"/>
    <n v="0"/>
    <n v="236.77"/>
    <n v="117.89"/>
    <m/>
    <n v="323.18581193481282"/>
    <n v="107.87938095628944"/>
    <n v="0"/>
    <n v="77.633849999999939"/>
    <n v="0"/>
    <n v="44.161253271716177"/>
    <x v="3"/>
  </r>
  <r>
    <s v="Regular"/>
    <x v="2"/>
    <x v="1"/>
    <x v="2"/>
    <x v="7"/>
    <x v="1"/>
    <x v="0"/>
    <x v="2"/>
    <x v="8"/>
    <n v="0"/>
    <n v="0"/>
    <n v="1.103"/>
    <n v="1.103"/>
    <n v="1.103"/>
    <n v="1.103"/>
    <n v="0"/>
    <s v="CATIVO"/>
    <n v="0"/>
    <n v="0"/>
    <n v="30"/>
    <n v="74"/>
    <n v="0"/>
    <n v="236.77"/>
    <n v="117.89"/>
    <m/>
    <n v="323.18581193481282"/>
    <n v="107.87938095628944"/>
    <n v="0"/>
    <n v="53.352109999999954"/>
    <n v="0"/>
    <n v="30.348823899503394"/>
    <x v="3"/>
  </r>
  <r>
    <s v="Regular"/>
    <x v="2"/>
    <x v="1"/>
    <x v="2"/>
    <x v="7"/>
    <x v="1"/>
    <x v="0"/>
    <x v="2"/>
    <x v="9"/>
    <n v="0"/>
    <n v="0"/>
    <n v="0.81"/>
    <n v="0.81"/>
    <n v="0.81"/>
    <n v="0.81"/>
    <n v="0"/>
    <s v="CATIVO"/>
    <n v="0"/>
    <n v="0"/>
    <n v="30"/>
    <n v="74"/>
    <n v="0"/>
    <n v="236.77"/>
    <n v="117.89"/>
    <m/>
    <n v="323.18581193481282"/>
    <n v="107.87938095628944"/>
    <n v="0"/>
    <n v="39.179699999999968"/>
    <n v="0"/>
    <n v="22.286987632454895"/>
    <x v="3"/>
  </r>
  <r>
    <s v="Regular"/>
    <x v="2"/>
    <x v="1"/>
    <x v="2"/>
    <x v="7"/>
    <x v="1"/>
    <x v="0"/>
    <x v="2"/>
    <x v="10"/>
    <n v="0"/>
    <n v="0"/>
    <n v="0.104"/>
    <n v="0.104"/>
    <n v="0.104"/>
    <n v="0.104"/>
    <n v="0"/>
    <s v="CATIVO"/>
    <n v="0"/>
    <n v="0"/>
    <n v="30"/>
    <n v="74"/>
    <n v="0"/>
    <n v="236.77"/>
    <n v="117.89"/>
    <m/>
    <n v="323.18581193481282"/>
    <n v="107.87938095628944"/>
    <n v="0"/>
    <n v="5.0304799999999954"/>
    <n v="0"/>
    <n v="2.8615391528090233"/>
    <x v="3"/>
  </r>
  <r>
    <s v="PROJETADO"/>
    <x v="2"/>
    <x v="1"/>
    <x v="2"/>
    <x v="7"/>
    <x v="1"/>
    <x v="0"/>
    <x v="2"/>
    <x v="11"/>
    <n v="0"/>
    <n v="0"/>
    <n v="0.104"/>
    <n v="0.104"/>
    <n v="0.104"/>
    <n v="0.104"/>
    <n v="0"/>
    <s v="CATIVO"/>
    <n v="0"/>
    <n v="0"/>
    <n v="30"/>
    <n v="74"/>
    <n v="0"/>
    <n v="236.77"/>
    <n v="117.89"/>
    <m/>
    <n v="323.18581193481282"/>
    <n v="107.87938095628944"/>
    <n v="0"/>
    <n v="5.0304799999999954"/>
    <n v="0"/>
    <n v="2.8615391528090233"/>
    <x v="3"/>
  </r>
  <r>
    <s v="Regular"/>
    <x v="2"/>
    <x v="1"/>
    <x v="2"/>
    <x v="7"/>
    <x v="2"/>
    <x v="0"/>
    <x v="2"/>
    <x v="0"/>
    <n v="0"/>
    <n v="0"/>
    <n v="4.2000000000000003E-2"/>
    <n v="1.6799999999999999E-2"/>
    <n v="4.2000000000000003E-2"/>
    <n v="1.6799999999999999E-2"/>
    <n v="0"/>
    <s v="CATIVO"/>
    <n v="0"/>
    <n v="0"/>
    <n v="30"/>
    <n v="74"/>
    <n v="0"/>
    <n v="236.77"/>
    <n v="117.89"/>
    <m/>
    <n v="323.18581193481282"/>
    <n v="107.87938095628944"/>
    <n v="0"/>
    <n v="10.968971999999999"/>
    <n v="0"/>
    <n v="12.018464441797883"/>
    <x v="4"/>
  </r>
  <r>
    <s v="Regular"/>
    <x v="2"/>
    <x v="1"/>
    <x v="2"/>
    <x v="7"/>
    <x v="2"/>
    <x v="0"/>
    <x v="2"/>
    <x v="1"/>
    <n v="0"/>
    <n v="0"/>
    <n v="3.3000000000000002E-2"/>
    <n v="1.32E-2"/>
    <n v="3.3000000000000002E-2"/>
    <n v="1.32E-2"/>
    <n v="0"/>
    <s v="CATIVO"/>
    <n v="0"/>
    <n v="0"/>
    <n v="30"/>
    <n v="74"/>
    <n v="0"/>
    <n v="236.77"/>
    <n v="117.89"/>
    <m/>
    <n v="323.18581193481282"/>
    <n v="107.87938095628944"/>
    <n v="0"/>
    <n v="8.6184779999999996"/>
    <n v="0"/>
    <n v="9.4430792042697647"/>
    <x v="4"/>
  </r>
  <r>
    <s v="Regular"/>
    <x v="2"/>
    <x v="1"/>
    <x v="2"/>
    <x v="7"/>
    <x v="2"/>
    <x v="0"/>
    <x v="2"/>
    <x v="2"/>
    <n v="0"/>
    <n v="0"/>
    <n v="2.5999999999999999E-2"/>
    <n v="1.04E-2"/>
    <n v="2.5999999999999999E-2"/>
    <n v="1.04E-2"/>
    <n v="0"/>
    <s v="CATIVO"/>
    <n v="0"/>
    <n v="0"/>
    <n v="30"/>
    <n v="74"/>
    <n v="0"/>
    <n v="236.77"/>
    <n v="117.89"/>
    <m/>
    <n v="323.18581193481282"/>
    <n v="107.87938095628944"/>
    <n v="0"/>
    <n v="6.7903159999999989"/>
    <n v="0"/>
    <n v="7.4400017973034505"/>
    <x v="4"/>
  </r>
  <r>
    <s v="Regular"/>
    <x v="2"/>
    <x v="1"/>
    <x v="2"/>
    <x v="7"/>
    <x v="2"/>
    <x v="0"/>
    <x v="2"/>
    <x v="3"/>
    <n v="0"/>
    <n v="0"/>
    <n v="0.71699999999999997"/>
    <n v="0.2868"/>
    <n v="0.71699999999999997"/>
    <n v="0.2868"/>
    <n v="0"/>
    <s v="CATIVO"/>
    <n v="0"/>
    <n v="0"/>
    <n v="30"/>
    <n v="74"/>
    <n v="0"/>
    <n v="236.77"/>
    <n v="117.89"/>
    <m/>
    <n v="323.18581193481282"/>
    <n v="107.87938095628944"/>
    <n v="0"/>
    <n v="187.25602199999997"/>
    <n v="0"/>
    <n v="205.17235725640668"/>
    <x v="4"/>
  </r>
  <r>
    <s v="Regular"/>
    <x v="2"/>
    <x v="1"/>
    <x v="2"/>
    <x v="7"/>
    <x v="2"/>
    <x v="0"/>
    <x v="2"/>
    <x v="4"/>
    <n v="0"/>
    <n v="0"/>
    <n v="1.984"/>
    <n v="0.79359999999999997"/>
    <n v="1.984"/>
    <n v="0.79359999999999997"/>
    <n v="0"/>
    <s v="CATIVO"/>
    <n v="0"/>
    <n v="0"/>
    <n v="30"/>
    <n v="74"/>
    <n v="0"/>
    <n v="236.77"/>
    <n v="117.89"/>
    <m/>
    <n v="323.18581193481282"/>
    <n v="107.87938095628944"/>
    <n v="0"/>
    <n v="518.15334399999983"/>
    <n v="0"/>
    <n v="567.72936791730945"/>
    <x v="4"/>
  </r>
  <r>
    <s v="Regular"/>
    <x v="2"/>
    <x v="1"/>
    <x v="2"/>
    <x v="7"/>
    <x v="2"/>
    <x v="0"/>
    <x v="2"/>
    <x v="5"/>
    <n v="0"/>
    <n v="0"/>
    <n v="2.4489999999999998"/>
    <n v="0.97960000000000003"/>
    <n v="2.4489999999999998"/>
    <n v="0.97960000000000003"/>
    <n v="0"/>
    <s v="CATIVO"/>
    <n v="0"/>
    <n v="0"/>
    <n v="30"/>
    <n v="74"/>
    <n v="0"/>
    <n v="236.77"/>
    <n v="117.89"/>
    <m/>
    <n v="323.18581193481282"/>
    <n v="107.87938095628944"/>
    <n v="0"/>
    <n v="639.59553399999982"/>
    <n v="0"/>
    <n v="700.79093852292885"/>
    <x v="4"/>
  </r>
  <r>
    <s v="Regular"/>
    <x v="2"/>
    <x v="1"/>
    <x v="2"/>
    <x v="7"/>
    <x v="2"/>
    <x v="0"/>
    <x v="2"/>
    <x v="6"/>
    <n v="0"/>
    <n v="0"/>
    <n v="3.2210000000000001"/>
    <n v="1.2884"/>
    <n v="3.2210000000000001"/>
    <n v="1.2884"/>
    <n v="0"/>
    <s v="CATIVO"/>
    <n v="0"/>
    <n v="0"/>
    <n v="30"/>
    <n v="74"/>
    <n v="0"/>
    <n v="236.77"/>
    <n v="117.89"/>
    <m/>
    <n v="323.18581193481282"/>
    <n v="107.87938095628944"/>
    <n v="0"/>
    <n v="841.21568599999989"/>
    <n v="0"/>
    <n v="921.70176111978526"/>
    <x v="4"/>
  </r>
  <r>
    <s v="Regular"/>
    <x v="2"/>
    <x v="1"/>
    <x v="2"/>
    <x v="7"/>
    <x v="2"/>
    <x v="0"/>
    <x v="2"/>
    <x v="7"/>
    <n v="0"/>
    <n v="0"/>
    <n v="2.9910000000000001"/>
    <n v="1.1963999999999999"/>
    <n v="2.9910000000000001"/>
    <n v="1.1963999999999999"/>
    <n v="0"/>
    <s v="CATIVO"/>
    <n v="0"/>
    <n v="0"/>
    <n v="30"/>
    <n v="74"/>
    <n v="0"/>
    <n v="236.77"/>
    <n v="117.89"/>
    <m/>
    <n v="323.18581193481282"/>
    <n v="107.87938095628944"/>
    <n v="0"/>
    <n v="781.14750600000002"/>
    <n v="0"/>
    <n v="855.88636060517774"/>
    <x v="4"/>
  </r>
  <r>
    <s v="Regular"/>
    <x v="2"/>
    <x v="1"/>
    <x v="2"/>
    <x v="7"/>
    <x v="2"/>
    <x v="0"/>
    <x v="2"/>
    <x v="8"/>
    <n v="0"/>
    <n v="0"/>
    <n v="2.02"/>
    <n v="0.80800000000000005"/>
    <n v="2.02"/>
    <n v="0.80800000000000005"/>
    <n v="0"/>
    <s v="CATIVO"/>
    <n v="0"/>
    <n v="0"/>
    <n v="30"/>
    <n v="74"/>
    <n v="0"/>
    <n v="236.77"/>
    <n v="117.89"/>
    <m/>
    <n v="323.18581193481282"/>
    <n v="107.87938095628944"/>
    <n v="0"/>
    <n v="527.55531999999994"/>
    <n v="0"/>
    <n v="578.030908867422"/>
    <x v="4"/>
  </r>
  <r>
    <s v="Regular"/>
    <x v="2"/>
    <x v="1"/>
    <x v="2"/>
    <x v="7"/>
    <x v="2"/>
    <x v="0"/>
    <x v="2"/>
    <x v="9"/>
    <n v="0"/>
    <n v="0"/>
    <n v="1.109"/>
    <n v="0.44359999999999999"/>
    <n v="1.109"/>
    <n v="0.44359999999999999"/>
    <n v="0"/>
    <s v="CATIVO"/>
    <n v="0"/>
    <n v="0"/>
    <n v="30"/>
    <n v="74"/>
    <n v="0"/>
    <n v="236.77"/>
    <n v="117.89"/>
    <m/>
    <n v="323.18581193481282"/>
    <n v="107.87938095628944"/>
    <n v="0"/>
    <n v="289.63309399999997"/>
    <n v="0"/>
    <n v="317.34469204652027"/>
    <x v="4"/>
  </r>
  <r>
    <s v="Regular"/>
    <x v="2"/>
    <x v="1"/>
    <x v="2"/>
    <x v="7"/>
    <x v="2"/>
    <x v="0"/>
    <x v="2"/>
    <x v="10"/>
    <n v="0"/>
    <n v="0"/>
    <n v="0.14799999999999999"/>
    <n v="5.9200000000000003E-2"/>
    <n v="0.14799999999999999"/>
    <n v="5.9200000000000003E-2"/>
    <n v="0"/>
    <s v="CATIVO"/>
    <n v="0"/>
    <n v="0"/>
    <n v="30"/>
    <n v="74"/>
    <n v="0"/>
    <n v="236.77"/>
    <n v="117.89"/>
    <m/>
    <n v="323.18581193481282"/>
    <n v="107.87938095628944"/>
    <n v="0"/>
    <n v="38.652567999999988"/>
    <n v="0"/>
    <n v="42.350779461573488"/>
    <x v="4"/>
  </r>
  <r>
    <s v="PROJETADO"/>
    <x v="2"/>
    <x v="1"/>
    <x v="2"/>
    <x v="7"/>
    <x v="2"/>
    <x v="0"/>
    <x v="2"/>
    <x v="11"/>
    <n v="0"/>
    <n v="0"/>
    <n v="0.14799999999999999"/>
    <n v="5.9200000000000003E-2"/>
    <n v="0.14799999999999999"/>
    <n v="5.9200000000000003E-2"/>
    <n v="0"/>
    <s v="CATIVO"/>
    <n v="0"/>
    <n v="0"/>
    <n v="30"/>
    <n v="74"/>
    <n v="0"/>
    <n v="236.77"/>
    <n v="117.89"/>
    <m/>
    <n v="323.18581193481282"/>
    <n v="107.87938095628944"/>
    <n v="0"/>
    <n v="38.652567999999988"/>
    <n v="0"/>
    <n v="42.350779461573488"/>
    <x v="4"/>
  </r>
  <r>
    <s v="Regular"/>
    <x v="2"/>
    <x v="1"/>
    <x v="2"/>
    <x v="8"/>
    <x v="0"/>
    <x v="0"/>
    <x v="2"/>
    <x v="0"/>
    <n v="0"/>
    <n v="0"/>
    <n v="1132.354"/>
    <n v="1132.354"/>
    <n v="1132.354"/>
    <n v="1132.354"/>
    <n v="2356"/>
    <s v="CATIVO"/>
    <n v="0"/>
    <n v="0"/>
    <n v="30"/>
    <n v="74"/>
    <n v="0"/>
    <n v="236.77"/>
    <n v="117.89"/>
    <m/>
    <n v="323.18581193481282"/>
    <n v="107.87938095628944"/>
    <n v="0"/>
    <n v="54771.96297999996"/>
    <n v="0"/>
    <n v="31156.493325383741"/>
    <x v="3"/>
  </r>
  <r>
    <s v="Sistema de Compensação"/>
    <x v="2"/>
    <x v="1"/>
    <x v="2"/>
    <x v="8"/>
    <x v="0"/>
    <x v="0"/>
    <x v="2"/>
    <x v="0"/>
    <n v="0"/>
    <n v="0"/>
    <n v="17.155000000000001"/>
    <n v="17.155000000000001"/>
    <n v="17.155000000000001"/>
    <n v="17.155000000000001"/>
    <n v="16"/>
    <s v="CATIVO"/>
    <n v="0"/>
    <n v="0"/>
    <n v="30"/>
    <n v="74"/>
    <n v="0"/>
    <n v="236.77"/>
    <n v="117.89"/>
    <m/>
    <n v="323.18581193481282"/>
    <n v="107.87938095628944"/>
    <n v="0"/>
    <n v="829.78734999999938"/>
    <n v="0"/>
    <n v="472.01638621575768"/>
    <x v="3"/>
  </r>
  <r>
    <s v="Regular"/>
    <x v="2"/>
    <x v="1"/>
    <x v="2"/>
    <x v="8"/>
    <x v="0"/>
    <x v="0"/>
    <x v="2"/>
    <x v="1"/>
    <n v="0"/>
    <n v="0"/>
    <n v="1150.972"/>
    <n v="1150.972"/>
    <n v="1150.972"/>
    <n v="1150.972"/>
    <n v="2375"/>
    <s v="CATIVO"/>
    <n v="0"/>
    <n v="0"/>
    <n v="30"/>
    <n v="74"/>
    <n v="0"/>
    <n v="236.77"/>
    <n v="117.89"/>
    <m/>
    <n v="323.18581193481282"/>
    <n v="107.87938095628944"/>
    <n v="0"/>
    <n v="55672.515639999954"/>
    <n v="0"/>
    <n v="31668.763863335647"/>
    <x v="3"/>
  </r>
  <r>
    <s v="Sistema de Compensação"/>
    <x v="2"/>
    <x v="1"/>
    <x v="2"/>
    <x v="8"/>
    <x v="0"/>
    <x v="0"/>
    <x v="2"/>
    <x v="1"/>
    <n v="0"/>
    <n v="0"/>
    <n v="22.286000000000001"/>
    <n v="22.286000000000001"/>
    <n v="22.286000000000001"/>
    <n v="22.286000000000001"/>
    <n v="15"/>
    <s v="CATIVO"/>
    <n v="0"/>
    <n v="0"/>
    <n v="30"/>
    <n v="74"/>
    <n v="0"/>
    <n v="236.77"/>
    <n v="117.89"/>
    <m/>
    <n v="323.18581193481282"/>
    <n v="107.87938095628944"/>
    <n v="0"/>
    <n v="1077.9738199999993"/>
    <n v="0"/>
    <n v="613.19482268751824"/>
    <x v="3"/>
  </r>
  <r>
    <s v="Regular"/>
    <x v="2"/>
    <x v="1"/>
    <x v="2"/>
    <x v="8"/>
    <x v="0"/>
    <x v="0"/>
    <x v="2"/>
    <x v="2"/>
    <n v="0"/>
    <n v="0"/>
    <n v="1227.769"/>
    <n v="1227.769"/>
    <n v="1227.769"/>
    <n v="1227.769"/>
    <n v="2374"/>
    <s v="CATIVO"/>
    <n v="0"/>
    <n v="0"/>
    <n v="30"/>
    <n v="74"/>
    <n v="0"/>
    <n v="236.77"/>
    <n v="117.89"/>
    <m/>
    <n v="323.18581193481282"/>
    <n v="107.87938095628944"/>
    <n v="0"/>
    <n v="59387.186529999955"/>
    <n v="0"/>
    <n v="33781.817924088289"/>
    <x v="3"/>
  </r>
  <r>
    <s v="Sistema de Compensação"/>
    <x v="2"/>
    <x v="1"/>
    <x v="2"/>
    <x v="8"/>
    <x v="0"/>
    <x v="0"/>
    <x v="2"/>
    <x v="2"/>
    <n v="0"/>
    <n v="0"/>
    <n v="27.45"/>
    <n v="27.45"/>
    <n v="27.45"/>
    <n v="27.45"/>
    <n v="17"/>
    <s v="CATIVO"/>
    <n v="0"/>
    <n v="0"/>
    <n v="30"/>
    <n v="74"/>
    <n v="0"/>
    <n v="236.77"/>
    <n v="117.89"/>
    <m/>
    <n v="323.18581193481282"/>
    <n v="107.87938095628944"/>
    <n v="0"/>
    <n v="1327.7564999999988"/>
    <n v="0"/>
    <n v="755.28124754430473"/>
    <x v="3"/>
  </r>
  <r>
    <s v="Regular"/>
    <x v="2"/>
    <x v="1"/>
    <x v="2"/>
    <x v="8"/>
    <x v="0"/>
    <x v="0"/>
    <x v="2"/>
    <x v="3"/>
    <n v="0"/>
    <n v="0"/>
    <n v="1242.847"/>
    <n v="1242.847"/>
    <n v="1242.847"/>
    <n v="1242.847"/>
    <n v="2373"/>
    <s v="CATIVO"/>
    <n v="0"/>
    <n v="0"/>
    <n v="30"/>
    <n v="74"/>
    <n v="0"/>
    <n v="236.77"/>
    <n v="117.89"/>
    <m/>
    <n v="323.18581193481282"/>
    <n v="107.87938095628944"/>
    <n v="0"/>
    <n v="60116.509389999948"/>
    <n v="0"/>
    <n v="34196.686071646502"/>
    <x v="3"/>
  </r>
  <r>
    <s v="Sistema de Compensação"/>
    <x v="2"/>
    <x v="1"/>
    <x v="2"/>
    <x v="8"/>
    <x v="0"/>
    <x v="0"/>
    <x v="2"/>
    <x v="3"/>
    <n v="0"/>
    <n v="0"/>
    <n v="10.256"/>
    <n v="10.256"/>
    <n v="10.256"/>
    <n v="10.256"/>
    <n v="17"/>
    <s v="CATIVO"/>
    <n v="0"/>
    <n v="0"/>
    <n v="30"/>
    <n v="74"/>
    <n v="0"/>
    <n v="236.77"/>
    <n v="117.89"/>
    <m/>
    <n v="323.18581193481282"/>
    <n v="107.87938095628944"/>
    <n v="0"/>
    <n v="496.0827199999996"/>
    <n v="0"/>
    <n v="282.19178414624372"/>
    <x v="3"/>
  </r>
  <r>
    <s v="Regular"/>
    <x v="2"/>
    <x v="1"/>
    <x v="2"/>
    <x v="8"/>
    <x v="0"/>
    <x v="0"/>
    <x v="2"/>
    <x v="4"/>
    <n v="0"/>
    <n v="0"/>
    <n v="1551.222"/>
    <n v="1551.222"/>
    <n v="1551.222"/>
    <n v="1551.222"/>
    <n v="2371"/>
    <s v="CATIVO"/>
    <n v="0"/>
    <n v="0"/>
    <n v="30"/>
    <n v="74"/>
    <n v="0"/>
    <n v="236.77"/>
    <n v="117.89"/>
    <m/>
    <n v="323.18581193481282"/>
    <n v="107.87938095628944"/>
    <n v="0"/>
    <n v="75032.608139999938"/>
    <n v="0"/>
    <n v="42681.562381718453"/>
    <x v="3"/>
  </r>
  <r>
    <s v="Refaturamento - Regular"/>
    <x v="2"/>
    <x v="1"/>
    <x v="2"/>
    <x v="8"/>
    <x v="0"/>
    <x v="0"/>
    <x v="2"/>
    <x v="4"/>
    <n v="0"/>
    <n v="0"/>
    <n v="-71.263000000000005"/>
    <n v="-71.263000000000005"/>
    <n v="-71.263000000000005"/>
    <n v="-71.263000000000005"/>
    <n v="0"/>
    <s v="CATIVO"/>
    <n v="0"/>
    <n v="0"/>
    <n v="30"/>
    <n v="74"/>
    <n v="0"/>
    <n v="236.77"/>
    <n v="117.89"/>
    <m/>
    <n v="323.18581193481282"/>
    <n v="107.87938095628944"/>
    <n v="0"/>
    <n v="-3446.9913099999976"/>
    <n v="0"/>
    <n v="-1960.7871600637448"/>
    <x v="3"/>
  </r>
  <r>
    <s v="Sistema de Compensação"/>
    <x v="2"/>
    <x v="1"/>
    <x v="2"/>
    <x v="8"/>
    <x v="0"/>
    <x v="0"/>
    <x v="2"/>
    <x v="4"/>
    <n v="0"/>
    <n v="0"/>
    <n v="15.025"/>
    <n v="15.025"/>
    <n v="15.025"/>
    <n v="15.025"/>
    <n v="18"/>
    <s v="CATIVO"/>
    <n v="0"/>
    <n v="0"/>
    <n v="30"/>
    <n v="74"/>
    <n v="0"/>
    <n v="236.77"/>
    <n v="117.89"/>
    <m/>
    <n v="323.18581193481282"/>
    <n v="107.87938095628944"/>
    <n v="0"/>
    <n v="726.7592499999995"/>
    <n v="0"/>
    <n v="413.40986318226516"/>
    <x v="3"/>
  </r>
  <r>
    <s v="Regular"/>
    <x v="2"/>
    <x v="1"/>
    <x v="2"/>
    <x v="8"/>
    <x v="0"/>
    <x v="0"/>
    <x v="2"/>
    <x v="5"/>
    <n v="0"/>
    <n v="0"/>
    <n v="1418.7260000000001"/>
    <n v="1418.7260000000001"/>
    <n v="1418.7260000000001"/>
    <n v="1418.7260000000001"/>
    <n v="2364"/>
    <s v="CATIVO"/>
    <n v="0"/>
    <n v="0"/>
    <n v="30"/>
    <n v="74"/>
    <n v="0"/>
    <n v="236.77"/>
    <n v="117.89"/>
    <m/>
    <n v="323.18581193481282"/>
    <n v="107.87938095628944"/>
    <n v="0"/>
    <n v="68623.776619999946"/>
    <n v="0"/>
    <n v="39035.961501039761"/>
    <x v="3"/>
  </r>
  <r>
    <s v="Sistema de Compensação"/>
    <x v="2"/>
    <x v="1"/>
    <x v="2"/>
    <x v="8"/>
    <x v="0"/>
    <x v="0"/>
    <x v="2"/>
    <x v="5"/>
    <n v="0"/>
    <n v="0"/>
    <n v="24.189"/>
    <n v="24.189"/>
    <n v="24.189"/>
    <n v="24.189"/>
    <n v="23"/>
    <s v="CATIVO"/>
    <n v="0"/>
    <n v="0"/>
    <n v="30"/>
    <n v="74"/>
    <n v="0"/>
    <n v="236.77"/>
    <n v="117.89"/>
    <m/>
    <n v="323.18581193481282"/>
    <n v="107.87938095628944"/>
    <n v="0"/>
    <n v="1170.021929999999"/>
    <n v="0"/>
    <n v="665.55548622401409"/>
    <x v="3"/>
  </r>
  <r>
    <s v="Regular"/>
    <x v="2"/>
    <x v="1"/>
    <x v="2"/>
    <x v="8"/>
    <x v="0"/>
    <x v="0"/>
    <x v="2"/>
    <x v="6"/>
    <n v="0"/>
    <n v="0"/>
    <n v="1390.1510000000001"/>
    <n v="1390.1510000000001"/>
    <n v="1390.1510000000001"/>
    <n v="1390.1510000000001"/>
    <n v="2353"/>
    <s v="CATIVO"/>
    <n v="0"/>
    <n v="0"/>
    <n v="30"/>
    <n v="74"/>
    <n v="0"/>
    <n v="236.77"/>
    <n v="117.89"/>
    <m/>
    <n v="323.18581193481282"/>
    <n v="107.87938095628944"/>
    <n v="0"/>
    <n v="67241.603869999948"/>
    <n v="0"/>
    <n v="38249.726104005931"/>
    <x v="3"/>
  </r>
  <r>
    <s v="Sistema de Compensação"/>
    <x v="2"/>
    <x v="1"/>
    <x v="2"/>
    <x v="8"/>
    <x v="0"/>
    <x v="0"/>
    <x v="2"/>
    <x v="6"/>
    <n v="0"/>
    <n v="0"/>
    <n v="70.018000000000001"/>
    <n v="70.018000000000001"/>
    <n v="70.018000000000001"/>
    <n v="70.018000000000001"/>
    <n v="25"/>
    <s v="CATIVO"/>
    <n v="0"/>
    <n v="0"/>
    <n v="30"/>
    <n v="74"/>
    <n v="0"/>
    <n v="236.77"/>
    <n v="117.89"/>
    <m/>
    <n v="323.18581193481282"/>
    <n v="107.87938095628944"/>
    <n v="0"/>
    <n v="3386.7706599999974"/>
    <n v="0"/>
    <n v="1926.5312346286751"/>
    <x v="3"/>
  </r>
  <r>
    <s v="Regular"/>
    <x v="2"/>
    <x v="1"/>
    <x v="2"/>
    <x v="8"/>
    <x v="0"/>
    <x v="0"/>
    <x v="2"/>
    <x v="7"/>
    <n v="0"/>
    <n v="0"/>
    <n v="1138.578"/>
    <n v="1138.578"/>
    <n v="1138.578"/>
    <n v="1138.578"/>
    <n v="2330"/>
    <s v="CATIVO"/>
    <n v="0"/>
    <n v="0"/>
    <n v="30"/>
    <n v="74"/>
    <n v="0"/>
    <n v="236.77"/>
    <n v="117.89"/>
    <m/>
    <n v="323.18581193481282"/>
    <n v="107.87938095628944"/>
    <n v="0"/>
    <n v="55073.017859999956"/>
    <n v="0"/>
    <n v="31327.745437759542"/>
    <x v="3"/>
  </r>
  <r>
    <s v="Sistema de Compensação"/>
    <x v="2"/>
    <x v="1"/>
    <x v="2"/>
    <x v="8"/>
    <x v="0"/>
    <x v="0"/>
    <x v="2"/>
    <x v="7"/>
    <n v="0"/>
    <n v="0"/>
    <n v="37.817"/>
    <n v="37.817"/>
    <n v="37.817"/>
    <n v="37.817"/>
    <n v="31"/>
    <s v="CATIVO"/>
    <n v="0"/>
    <n v="0"/>
    <n v="30"/>
    <n v="74"/>
    <n v="0"/>
    <n v="236.77"/>
    <n v="117.89"/>
    <m/>
    <n v="323.18581193481282"/>
    <n v="107.87938095628944"/>
    <n v="0"/>
    <n v="1829.2082899999987"/>
    <n v="0"/>
    <n v="1040.5271744401812"/>
    <x v="3"/>
  </r>
  <r>
    <s v="Regular"/>
    <x v="2"/>
    <x v="1"/>
    <x v="2"/>
    <x v="8"/>
    <x v="0"/>
    <x v="0"/>
    <x v="2"/>
    <x v="8"/>
    <n v="0"/>
    <n v="0"/>
    <n v="951.43399999999997"/>
    <n v="951.43399999999997"/>
    <n v="951.43399999999997"/>
    <n v="951.43399999999997"/>
    <n v="2318"/>
    <s v="CATIVO"/>
    <n v="0"/>
    <n v="0"/>
    <n v="30"/>
    <n v="74"/>
    <n v="0"/>
    <n v="236.77"/>
    <n v="117.89"/>
    <m/>
    <n v="323.18581193481282"/>
    <n v="107.87938095628944"/>
    <n v="0"/>
    <n v="46020.862579999965"/>
    <n v="0"/>
    <n v="26178.515791477887"/>
    <x v="3"/>
  </r>
  <r>
    <s v="Sistema de Compensação"/>
    <x v="2"/>
    <x v="1"/>
    <x v="2"/>
    <x v="8"/>
    <x v="0"/>
    <x v="0"/>
    <x v="2"/>
    <x v="8"/>
    <n v="0"/>
    <n v="0"/>
    <n v="45.685000000000002"/>
    <n v="45.685000000000002"/>
    <n v="45.685000000000002"/>
    <n v="45.685000000000002"/>
    <n v="37"/>
    <s v="CATIVO"/>
    <n v="0"/>
    <n v="0"/>
    <n v="30"/>
    <n v="74"/>
    <n v="0"/>
    <n v="236.77"/>
    <n v="117.89"/>
    <m/>
    <n v="323.18581193481282"/>
    <n v="107.87938095628944"/>
    <n v="0"/>
    <n v="2209.7834499999985"/>
    <n v="0"/>
    <n v="1257.0136172700024"/>
    <x v="3"/>
  </r>
  <r>
    <s v="Regular"/>
    <x v="2"/>
    <x v="1"/>
    <x v="2"/>
    <x v="8"/>
    <x v="0"/>
    <x v="0"/>
    <x v="2"/>
    <x v="9"/>
    <n v="0"/>
    <n v="0"/>
    <n v="934.24300000000005"/>
    <n v="934.24300000000005"/>
    <n v="934.24300000000005"/>
    <n v="934.24300000000005"/>
    <n v="2318"/>
    <s v="CATIVO"/>
    <n v="0"/>
    <n v="0"/>
    <n v="30"/>
    <n v="74"/>
    <n v="0"/>
    <n v="236.77"/>
    <n v="117.89"/>
    <m/>
    <n v="323.18581193481282"/>
    <n v="107.87938095628944"/>
    <n v="0"/>
    <n v="45189.333909999965"/>
    <n v="0"/>
    <n v="25705.508872478469"/>
    <x v="3"/>
  </r>
  <r>
    <s v="Sistema de Compensação"/>
    <x v="2"/>
    <x v="1"/>
    <x v="2"/>
    <x v="8"/>
    <x v="0"/>
    <x v="0"/>
    <x v="2"/>
    <x v="9"/>
    <n v="0"/>
    <n v="0"/>
    <n v="29.890999999999998"/>
    <n v="29.890999999999998"/>
    <n v="29.890999999999998"/>
    <n v="29.890999999999998"/>
    <n v="41"/>
    <s v="CATIVO"/>
    <n v="0"/>
    <n v="0"/>
    <n v="30"/>
    <n v="74"/>
    <n v="0"/>
    <n v="236.77"/>
    <n v="117.89"/>
    <m/>
    <n v="323.18581193481282"/>
    <n v="107.87938095628944"/>
    <n v="0"/>
    <n v="1445.8276699999988"/>
    <n v="0"/>
    <n v="822.44487323667806"/>
    <x v="3"/>
  </r>
  <r>
    <s v="Regular"/>
    <x v="2"/>
    <x v="1"/>
    <x v="2"/>
    <x v="8"/>
    <x v="0"/>
    <x v="0"/>
    <x v="2"/>
    <x v="10"/>
    <n v="0"/>
    <n v="0"/>
    <n v="938.06500000000005"/>
    <n v="938.06500000000005"/>
    <n v="938.06500000000005"/>
    <n v="938.06500000000005"/>
    <n v="2303"/>
    <s v="CATIVO"/>
    <n v="0"/>
    <n v="0"/>
    <n v="30"/>
    <n v="74"/>
    <n v="0"/>
    <n v="236.77"/>
    <n v="117.89"/>
    <m/>
    <n v="323.18581193481282"/>
    <n v="107.87938095628944"/>
    <n v="0"/>
    <n v="45374.204049999964"/>
    <n v="0"/>
    <n v="25810.6704363442"/>
    <x v="3"/>
  </r>
  <r>
    <s v="Refaturamento - Regular"/>
    <x v="2"/>
    <x v="1"/>
    <x v="2"/>
    <x v="8"/>
    <x v="0"/>
    <x v="0"/>
    <x v="2"/>
    <x v="10"/>
    <n v="0"/>
    <n v="0"/>
    <n v="-0.17199999999999999"/>
    <n v="-0.17199999999999999"/>
    <n v="-0.17199999999999999"/>
    <n v="-0.17199999999999999"/>
    <n v="0"/>
    <s v="CATIVO"/>
    <n v="0"/>
    <n v="0"/>
    <n v="30"/>
    <n v="74"/>
    <n v="0"/>
    <n v="236.77"/>
    <n v="117.89"/>
    <m/>
    <n v="323.18581193481282"/>
    <n v="107.87938095628944"/>
    <n v="0"/>
    <n v="-8.3196399999999926"/>
    <n v="0"/>
    <n v="-4.7325455219533845"/>
    <x v="3"/>
  </r>
  <r>
    <s v="Sistema de Compensação"/>
    <x v="2"/>
    <x v="1"/>
    <x v="2"/>
    <x v="8"/>
    <x v="0"/>
    <x v="0"/>
    <x v="2"/>
    <x v="10"/>
    <n v="0"/>
    <n v="0"/>
    <n v="35.591999999999999"/>
    <n v="35.591999999999999"/>
    <n v="35.591999999999999"/>
    <n v="35.591999999999999"/>
    <n v="49"/>
    <s v="CATIVO"/>
    <n v="0"/>
    <n v="0"/>
    <n v="30"/>
    <n v="74"/>
    <n v="0"/>
    <n v="236.77"/>
    <n v="117.89"/>
    <m/>
    <n v="323.18581193481282"/>
    <n v="107.87938095628944"/>
    <n v="0"/>
    <n v="1721.5850399999986"/>
    <n v="0"/>
    <n v="979.30674544979581"/>
    <x v="3"/>
  </r>
  <r>
    <s v="PROJETADO"/>
    <x v="2"/>
    <x v="1"/>
    <x v="2"/>
    <x v="8"/>
    <x v="0"/>
    <x v="0"/>
    <x v="2"/>
    <x v="11"/>
    <n v="0"/>
    <n v="0"/>
    <n v="938.06500000000005"/>
    <n v="938.06500000000005"/>
    <n v="938.06500000000005"/>
    <n v="938.06500000000005"/>
    <n v="2303"/>
    <s v="CATIVO"/>
    <n v="0"/>
    <n v="0"/>
    <n v="30"/>
    <n v="74"/>
    <n v="0"/>
    <n v="236.77"/>
    <n v="117.89"/>
    <m/>
    <n v="323.18581193481282"/>
    <n v="107.87938095628944"/>
    <n v="0"/>
    <n v="45374.204049999964"/>
    <n v="0"/>
    <n v="25810.6704363442"/>
    <x v="3"/>
  </r>
  <r>
    <s v="PROJETADO"/>
    <x v="2"/>
    <x v="1"/>
    <x v="2"/>
    <x v="8"/>
    <x v="0"/>
    <x v="0"/>
    <x v="2"/>
    <x v="11"/>
    <n v="0"/>
    <n v="0"/>
    <n v="-0.17199999999999999"/>
    <n v="-0.17199999999999999"/>
    <n v="-0.17199999999999999"/>
    <n v="-0.17199999999999999"/>
    <n v="0"/>
    <s v="CATIVO"/>
    <n v="0"/>
    <n v="0"/>
    <n v="30"/>
    <n v="74"/>
    <n v="0"/>
    <n v="236.77"/>
    <n v="117.89"/>
    <m/>
    <n v="323.18581193481282"/>
    <n v="107.87938095628944"/>
    <n v="0"/>
    <n v="-8.3196399999999926"/>
    <n v="0"/>
    <n v="-4.7325455219533845"/>
    <x v="3"/>
  </r>
  <r>
    <s v="PROJETADO"/>
    <x v="2"/>
    <x v="1"/>
    <x v="2"/>
    <x v="8"/>
    <x v="0"/>
    <x v="0"/>
    <x v="2"/>
    <x v="11"/>
    <n v="0"/>
    <n v="0"/>
    <n v="35.591999999999999"/>
    <n v="35.591999999999999"/>
    <n v="35.591999999999999"/>
    <n v="35.591999999999999"/>
    <n v="49"/>
    <s v="CATIVO"/>
    <n v="0"/>
    <n v="0"/>
    <n v="30"/>
    <n v="74"/>
    <n v="0"/>
    <n v="236.77"/>
    <n v="117.89"/>
    <m/>
    <n v="323.18581193481282"/>
    <n v="107.87938095628944"/>
    <n v="0"/>
    <n v="1721.5850399999986"/>
    <n v="0"/>
    <n v="979.30674544979581"/>
    <x v="3"/>
  </r>
  <r>
    <s v="Regular"/>
    <x v="3"/>
    <x v="1"/>
    <x v="0"/>
    <x v="0"/>
    <x v="0"/>
    <x v="0"/>
    <x v="2"/>
    <x v="0"/>
    <n v="0"/>
    <n v="0"/>
    <n v="76.369"/>
    <n v="71.78685999999999"/>
    <n v="76.369"/>
    <n v="71.78685999999999"/>
    <n v="29"/>
    <s v="CATIVO"/>
    <n v="0"/>
    <n v="0"/>
    <n v="26"/>
    <n v="75"/>
    <n v="0"/>
    <n v="269.06"/>
    <n v="133.97"/>
    <m/>
    <n v="343.81469354767324"/>
    <n v="114.76529888966962"/>
    <n v="0"/>
    <n v="1846.7398842000039"/>
    <n v="0"/>
    <n v="2101.2777265468508"/>
    <x v="0"/>
  </r>
  <r>
    <s v="Regular"/>
    <x v="3"/>
    <x v="1"/>
    <x v="0"/>
    <x v="0"/>
    <x v="0"/>
    <x v="0"/>
    <x v="2"/>
    <x v="1"/>
    <n v="0"/>
    <n v="0"/>
    <n v="77.210999999999999"/>
    <n v="72.578339999999997"/>
    <n v="77.210999999999999"/>
    <n v="72.578339999999997"/>
    <n v="28"/>
    <s v="CATIVO"/>
    <n v="0"/>
    <n v="0"/>
    <n v="26"/>
    <n v="75"/>
    <n v="0"/>
    <n v="269.06"/>
    <n v="133.97"/>
    <m/>
    <n v="343.81469354767324"/>
    <n v="114.76529888966962"/>
    <n v="0"/>
    <n v="1867.1009598000005"/>
    <n v="0"/>
    <n v="2124.4451877647816"/>
    <x v="0"/>
  </r>
  <r>
    <s v="Regular"/>
    <x v="3"/>
    <x v="1"/>
    <x v="0"/>
    <x v="0"/>
    <x v="0"/>
    <x v="0"/>
    <x v="2"/>
    <x v="2"/>
    <n v="0"/>
    <n v="0"/>
    <n v="74.158000000000001"/>
    <n v="69.708519999999993"/>
    <n v="74.158000000000001"/>
    <n v="69.708519999999993"/>
    <n v="28"/>
    <s v="CATIVO"/>
    <n v="0"/>
    <n v="0"/>
    <n v="26"/>
    <n v="75"/>
    <n v="0"/>
    <n v="269.06"/>
    <n v="133.97"/>
    <m/>
    <n v="343.81469354767324"/>
    <n v="114.76529888966962"/>
    <n v="0"/>
    <n v="1793.2739244000031"/>
    <n v="0"/>
    <n v="2040.4425047501122"/>
    <x v="0"/>
  </r>
  <r>
    <s v="Regular"/>
    <x v="3"/>
    <x v="1"/>
    <x v="0"/>
    <x v="0"/>
    <x v="0"/>
    <x v="0"/>
    <x v="2"/>
    <x v="3"/>
    <n v="0"/>
    <n v="0"/>
    <n v="73.266000000000005"/>
    <n v="68.870040000000003"/>
    <n v="73.266000000000005"/>
    <n v="68.870040000000003"/>
    <n v="28"/>
    <s v="CATIVO"/>
    <n v="0"/>
    <n v="0"/>
    <n v="26"/>
    <n v="75"/>
    <n v="0"/>
    <n v="269.06"/>
    <n v="133.97"/>
    <m/>
    <n v="343.81469354767324"/>
    <n v="114.76529888966962"/>
    <n v="0"/>
    <n v="1771.703758800001"/>
    <n v="0"/>
    <n v="2015.8993035548629"/>
    <x v="0"/>
  </r>
  <r>
    <s v="Regular"/>
    <x v="3"/>
    <x v="1"/>
    <x v="0"/>
    <x v="0"/>
    <x v="0"/>
    <x v="0"/>
    <x v="2"/>
    <x v="4"/>
    <n v="0"/>
    <n v="0"/>
    <n v="77.051000000000002"/>
    <n v="72.427940000000007"/>
    <n v="77.051000000000002"/>
    <n v="72.427940000000007"/>
    <n v="28"/>
    <s v="CATIVO"/>
    <n v="0"/>
    <n v="0"/>
    <n v="26"/>
    <n v="75"/>
    <n v="0"/>
    <n v="269.06"/>
    <n v="133.97"/>
    <m/>
    <n v="343.81469354767324"/>
    <n v="114.76529888966962"/>
    <n v="0"/>
    <n v="1863.2318717999981"/>
    <n v="0"/>
    <n v="2120.0428198373802"/>
    <x v="0"/>
  </r>
  <r>
    <s v="Regular"/>
    <x v="3"/>
    <x v="1"/>
    <x v="0"/>
    <x v="0"/>
    <x v="0"/>
    <x v="0"/>
    <x v="2"/>
    <x v="5"/>
    <n v="0"/>
    <n v="0"/>
    <n v="70.441000000000003"/>
    <n v="66.21454"/>
    <n v="70.441000000000003"/>
    <n v="66.21454"/>
    <n v="28"/>
    <s v="CATIVO"/>
    <n v="0"/>
    <n v="0"/>
    <n v="26"/>
    <n v="75"/>
    <n v="0"/>
    <n v="269.06"/>
    <n v="133.97"/>
    <m/>
    <n v="343.81469354767324"/>
    <n v="114.76529888966962"/>
    <n v="0"/>
    <n v="1703.3901738000011"/>
    <n v="0"/>
    <n v="1938.1699948367336"/>
    <x v="0"/>
  </r>
  <r>
    <s v="Regular"/>
    <x v="3"/>
    <x v="1"/>
    <x v="0"/>
    <x v="0"/>
    <x v="0"/>
    <x v="0"/>
    <x v="2"/>
    <x v="6"/>
    <n v="0"/>
    <n v="0"/>
    <n v="73.941999999999993"/>
    <n v="69.505480000000006"/>
    <n v="73.941999999999993"/>
    <n v="69.505480000000006"/>
    <n v="28"/>
    <s v="CATIVO"/>
    <n v="0"/>
    <n v="0"/>
    <n v="26"/>
    <n v="75"/>
    <n v="0"/>
    <n v="269.06"/>
    <n v="133.97"/>
    <m/>
    <n v="343.81469354767324"/>
    <n v="114.76529888966962"/>
    <n v="0"/>
    <n v="1788.0506555999948"/>
    <n v="0"/>
    <n v="2034.4993080481145"/>
    <x v="0"/>
  </r>
  <r>
    <s v="Regular"/>
    <x v="3"/>
    <x v="1"/>
    <x v="0"/>
    <x v="0"/>
    <x v="0"/>
    <x v="0"/>
    <x v="2"/>
    <x v="7"/>
    <n v="0"/>
    <n v="0"/>
    <n v="75.911000000000001"/>
    <n v="71.356340000000003"/>
    <n v="75.911000000000001"/>
    <n v="71.356340000000003"/>
    <n v="27"/>
    <s v="CATIVO"/>
    <n v="0"/>
    <n v="0"/>
    <n v="26"/>
    <n v="75"/>
    <n v="0"/>
    <n v="269.06"/>
    <n v="133.97"/>
    <m/>
    <n v="343.81469354767324"/>
    <n v="114.76529888966962"/>
    <n v="0"/>
    <n v="1835.6646197999994"/>
    <n v="0"/>
    <n v="2088.6759483546675"/>
    <x v="0"/>
  </r>
  <r>
    <s v="Regular"/>
    <x v="3"/>
    <x v="1"/>
    <x v="0"/>
    <x v="0"/>
    <x v="0"/>
    <x v="0"/>
    <x v="2"/>
    <x v="8"/>
    <n v="0"/>
    <n v="0"/>
    <n v="72.224999999999994"/>
    <n v="67.891499999999994"/>
    <n v="72.224999999999994"/>
    <n v="67.891499999999994"/>
    <n v="27"/>
    <s v="CATIVO"/>
    <n v="0"/>
    <n v="0"/>
    <n v="26"/>
    <n v="75"/>
    <n v="0"/>
    <n v="269.06"/>
    <n v="133.97"/>
    <m/>
    <n v="343.81469354767324"/>
    <n v="114.76529888966962"/>
    <n v="0"/>
    <n v="1746.5305050000004"/>
    <n v="0"/>
    <n v="1987.2563972272258"/>
    <x v="0"/>
  </r>
  <r>
    <s v="Regular"/>
    <x v="3"/>
    <x v="1"/>
    <x v="0"/>
    <x v="0"/>
    <x v="0"/>
    <x v="0"/>
    <x v="2"/>
    <x v="9"/>
    <n v="0"/>
    <n v="0"/>
    <n v="75.765000000000001"/>
    <n v="71.219099999999997"/>
    <n v="75.765000000000001"/>
    <n v="71.219099999999997"/>
    <n v="27"/>
    <s v="CATIVO"/>
    <n v="0"/>
    <n v="0"/>
    <n v="26"/>
    <n v="75"/>
    <n v="0"/>
    <n v="269.06"/>
    <n v="133.97"/>
    <m/>
    <n v="343.81469354767324"/>
    <n v="114.76529888966962"/>
    <n v="0"/>
    <n v="1832.1340770000015"/>
    <n v="0"/>
    <n v="2084.6587876209182"/>
    <x v="0"/>
  </r>
  <r>
    <s v="Regular"/>
    <x v="3"/>
    <x v="1"/>
    <x v="0"/>
    <x v="0"/>
    <x v="0"/>
    <x v="0"/>
    <x v="2"/>
    <x v="10"/>
    <n v="0"/>
    <n v="0"/>
    <n v="71.58"/>
    <n v="67.285200000000003"/>
    <n v="71.58"/>
    <n v="67.285200000000003"/>
    <n v="27"/>
    <s v="CATIVO"/>
    <n v="0"/>
    <n v="0"/>
    <n v="26"/>
    <n v="75"/>
    <n v="0"/>
    <n v="269.06"/>
    <n v="133.97"/>
    <m/>
    <n v="343.81469354767324"/>
    <n v="114.76529888966962"/>
    <n v="0"/>
    <n v="1730.933243999998"/>
    <n v="0"/>
    <n v="1969.5093515198978"/>
    <x v="0"/>
  </r>
  <r>
    <s v="PROJETADO"/>
    <x v="3"/>
    <x v="1"/>
    <x v="0"/>
    <x v="0"/>
    <x v="0"/>
    <x v="0"/>
    <x v="2"/>
    <x v="11"/>
    <n v="0"/>
    <n v="0"/>
    <n v="71.58"/>
    <n v="67.285200000000003"/>
    <n v="71.58"/>
    <n v="67.285200000000003"/>
    <n v="27"/>
    <s v="CATIVO"/>
    <n v="0"/>
    <n v="0"/>
    <n v="26"/>
    <n v="75"/>
    <n v="0"/>
    <n v="269.06"/>
    <n v="133.97"/>
    <m/>
    <n v="343.81469354767324"/>
    <n v="114.76529888966962"/>
    <n v="0"/>
    <n v="1730.933243999998"/>
    <n v="0"/>
    <n v="1969.509351519897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DCE8B-87F3-4229-B2CA-84E6BE6D0CFF}" name="Efeito Resumo" cacheId="8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59" firstHeaderRow="0" firstDataRow="1" firstDataCol="1"/>
  <pivotFields count="3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9">
        <item x="2"/>
        <item x="3"/>
        <item x="7"/>
        <item x="0"/>
        <item x="4"/>
        <item x="5"/>
        <item x="6"/>
        <item x="1"/>
        <item t="default"/>
      </items>
    </pivotField>
    <pivotField axis="axisRow" showAll="0">
      <items count="11">
        <item x="7"/>
        <item x="1"/>
        <item x="8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58">
    <i>
      <x/>
    </i>
    <i r="1">
      <x/>
    </i>
    <i r="2">
      <x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5"/>
    </i>
    <i r="4">
      <x v="5"/>
    </i>
    <i r="5">
      <x v="2"/>
    </i>
    <i r="6">
      <x/>
    </i>
    <i r="7">
      <x/>
    </i>
    <i r="8">
      <x v="8"/>
    </i>
    <i r="8">
      <x v="9"/>
    </i>
    <i r="8">
      <x v="10"/>
    </i>
    <i r="8">
      <x v="11"/>
    </i>
    <i r="7">
      <x v="1"/>
    </i>
    <i r="8">
      <x v="8"/>
    </i>
    <i r="8">
      <x v="9"/>
    </i>
    <i r="8">
      <x v="10"/>
    </i>
    <i r="8">
      <x v="11"/>
    </i>
    <i r="7">
      <x v="3"/>
    </i>
    <i r="8">
      <x v="8"/>
    </i>
    <i r="8">
      <x v="9"/>
    </i>
    <i r="8">
      <x v="10"/>
    </i>
    <i r="8">
      <x v="11"/>
    </i>
    <i r="2">
      <x v="2"/>
    </i>
    <i r="3">
      <x v="5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2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5"/>
    </i>
    <i r="2">
      <x v="2"/>
    </i>
    <i r="3">
      <x v="2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90">
    <format dxfId="445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4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field="16" type="button" dataOnly="0" labelOnly="1" outline="0" axis="axisRow" fieldPosition="0"/>
    </format>
    <format dxfId="438">
      <pivotArea dataOnly="0" labelOnly="1" fieldPosition="0">
        <references count="1">
          <reference field="16" count="0"/>
        </references>
      </pivotArea>
    </format>
    <format dxfId="437">
      <pivotArea dataOnly="0" labelOnly="1" fieldPosition="0">
        <references count="2">
          <reference field="1" count="0"/>
          <reference field="16" count="0" selected="0"/>
        </references>
      </pivotArea>
    </format>
    <format dxfId="436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0" selected="0"/>
        </references>
      </pivotArea>
    </format>
    <format dxfId="435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3"/>
          </reference>
          <reference field="16" count="0" selected="0"/>
        </references>
      </pivotArea>
    </format>
    <format dxfId="434">
      <pivotArea dataOnly="0" labelOnly="1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16" count="0" selected="0"/>
        </references>
      </pivotArea>
    </format>
    <format dxfId="433">
      <pivotArea dataOnly="0" labelOnly="1" fieldPosition="0">
        <references count="3">
          <reference field="1" count="1" selected="0">
            <x v="3"/>
          </reference>
          <reference field="2" count="1">
            <x v="2"/>
          </reference>
          <reference field="16" count="0" selected="0"/>
        </references>
      </pivotArea>
    </format>
    <format dxfId="432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3">
          <reference field="1" count="1" selected="0">
            <x v="5"/>
          </reference>
          <reference field="2" count="1">
            <x v="2"/>
          </reference>
          <reference field="16" count="0" selected="0"/>
        </references>
      </pivotArea>
    </format>
    <format dxfId="43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42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2">
            <x v="3"/>
            <x v="7"/>
          </reference>
          <reference field="16" count="0" selected="0"/>
        </references>
      </pivotArea>
    </format>
    <format dxfId="428">
      <pivotArea dataOnly="0" labelOnly="1" fieldPosition="0">
        <references count="4">
          <reference field="1" count="1" selected="0">
            <x v="1"/>
          </reference>
          <reference field="2" count="1" selected="0">
            <x v="3"/>
          </reference>
          <reference field="3" count="4">
            <x v="0"/>
            <x v="1"/>
            <x v="3"/>
            <x v="4"/>
          </reference>
          <reference field="16" count="0" selected="0"/>
        </references>
      </pivotArea>
    </format>
    <format dxfId="42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26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425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424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23">
      <pivotArea dataOnly="0" labelOnly="1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422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18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17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16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  <reference field="16" count="0" selected="0"/>
        </references>
      </pivotArea>
    </format>
    <format dxfId="414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413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412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11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10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09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08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07">
      <pivotArea dataOnly="0" labelOnly="1" fieldPosition="0">
        <references count="5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03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2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1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98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97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96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95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94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39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9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39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90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89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87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86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85">
      <pivotArea dataOnly="0" labelOnly="1" fieldPosition="0">
        <references count="6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4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1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0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9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8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6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2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7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6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6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6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6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5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4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3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2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1">
      <pivotArea dataOnly="0" labelOnly="1" fieldPosition="0">
        <references count="7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0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5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57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56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55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54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5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5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0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9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2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1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40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9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8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7">
      <pivotArea dataOnly="0" labelOnly="1" fieldPosition="0">
        <references count="8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0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9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8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27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6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5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24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2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1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1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1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0">
      <pivotArea dataOnly="0" labelOnly="1" fieldPosition="0">
        <references count="9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8">
      <pivotArea type="all" dataOnly="0" outline="0" fieldPosition="0"/>
    </format>
    <format dxfId="297">
      <pivotArea outline="0" collapsedLevelsAreSubtotals="1" fieldPosition="0"/>
    </format>
    <format dxfId="296">
      <pivotArea field="16" type="button" dataOnly="0" labelOnly="1" outline="0" axis="axisRow" fieldPosition="0"/>
    </format>
    <format dxfId="295">
      <pivotArea dataOnly="0" labelOnly="1" fieldPosition="0">
        <references count="1">
          <reference field="16" count="0"/>
        </references>
      </pivotArea>
    </format>
    <format dxfId="294">
      <pivotArea dataOnly="0" labelOnly="1" fieldPosition="0">
        <references count="2">
          <reference field="1" count="0"/>
          <reference field="16" count="0" selected="0"/>
        </references>
      </pivotArea>
    </format>
    <format dxfId="293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0" selected="0"/>
        </references>
      </pivotArea>
    </format>
    <format dxfId="292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3"/>
          </reference>
          <reference field="16" count="0" selected="0"/>
        </references>
      </pivotArea>
    </format>
    <format dxfId="291">
      <pivotArea dataOnly="0" labelOnly="1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16" count="0" selected="0"/>
        </references>
      </pivotArea>
    </format>
    <format dxfId="290">
      <pivotArea dataOnly="0" labelOnly="1" fieldPosition="0">
        <references count="3">
          <reference field="1" count="1" selected="0">
            <x v="3"/>
          </reference>
          <reference field="2" count="1">
            <x v="2"/>
          </reference>
          <reference field="16" count="0" selected="0"/>
        </references>
      </pivotArea>
    </format>
    <format dxfId="289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288">
      <pivotArea dataOnly="0" labelOnly="1" fieldPosition="0">
        <references count="3">
          <reference field="1" count="1" selected="0">
            <x v="5"/>
          </reference>
          <reference field="2" count="1">
            <x v="2"/>
          </reference>
          <reference field="16" count="0" selected="0"/>
        </references>
      </pivotArea>
    </format>
    <format dxfId="28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28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2">
            <x v="3"/>
            <x v="7"/>
          </reference>
          <reference field="16" count="0" selected="0"/>
        </references>
      </pivotArea>
    </format>
    <format dxfId="285">
      <pivotArea dataOnly="0" labelOnly="1" fieldPosition="0">
        <references count="4">
          <reference field="1" count="1" selected="0">
            <x v="1"/>
          </reference>
          <reference field="2" count="1" selected="0">
            <x v="3"/>
          </reference>
          <reference field="3" count="4">
            <x v="0"/>
            <x v="1"/>
            <x v="3"/>
            <x v="4"/>
          </reference>
          <reference field="16" count="0" selected="0"/>
        </references>
      </pivotArea>
    </format>
    <format dxfId="28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283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282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281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280">
      <pivotArea dataOnly="0" labelOnly="1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27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27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27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276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275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274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273">
      <pivotArea dataOnly="0" labelOnly="1" fieldPosition="0">
        <references count="5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27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  <reference field="16" count="0" selected="0"/>
        </references>
      </pivotArea>
    </format>
    <format dxfId="271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27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269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268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267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266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265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264">
      <pivotArea dataOnly="0" labelOnly="1" fieldPosition="0">
        <references count="5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263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6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6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260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59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58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57">
      <pivotArea dataOnly="0" labelOnly="1" fieldPosition="0">
        <references count="6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5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55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54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253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252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251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25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249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248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47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46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45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44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43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242">
      <pivotArea dataOnly="0" labelOnly="1" fieldPosition="0">
        <references count="6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24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4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8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7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6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5">
      <pivotArea dataOnly="0" labelOnly="1" fieldPosition="0">
        <references count="7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3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2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1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30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9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22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2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225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24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3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2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1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0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9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8">
      <pivotArea dataOnly="0" labelOnly="1" fieldPosition="0">
        <references count="7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21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21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214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13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12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11">
      <pivotArea dataOnly="0" labelOnly="1" fieldPosition="0">
        <references count="8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1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209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8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7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6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5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3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0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9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8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7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6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5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4">
      <pivotArea dataOnly="0" labelOnly="1" fieldPosition="0">
        <references count="8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19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9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9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9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8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87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6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85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84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3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82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81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0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9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78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77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6">
      <pivotArea dataOnly="0" labelOnly="1" fieldPosition="0">
        <references count="9">
          <reference field="1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17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17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17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4">
            <x v="8"/>
            <x v="9"/>
            <x v="10"/>
            <x v="11"/>
          </reference>
          <reference field="16" count="0" selected="0"/>
        </references>
      </pivotArea>
    </format>
    <format dxfId="172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9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8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7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2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60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59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58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57">
      <pivotArea dataOnly="0" labelOnly="1" fieldPosition="0">
        <references count="9">
          <reference field="1" count="1" selected="0">
            <x v="5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5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64523-112A-48B5-8418-D84F78C7B67F}" name="Subsidio Resumo" cacheId="8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1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10">
        <item x="6"/>
        <item x="0"/>
        <item x="7"/>
        <item x="8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numFmtId="40" showAll="0"/>
    <pivotField numFmtId="40"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0"/>
        <item x="2"/>
        <item x="4"/>
        <item x="3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17">
    <i>
      <x/>
    </i>
    <i r="1">
      <x/>
    </i>
    <i r="2">
      <x/>
    </i>
    <i r="3">
      <x v="2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 v="1"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 v="1"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 v="1"/>
    </i>
    <i r="3">
      <x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56">
    <format dxfId="155">
      <pivotArea outline="0" collapsedLevelsAreSubtotals="1" fieldPosition="0"/>
    </format>
    <format dxfId="15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31" type="button" dataOnly="0" labelOnly="1" outline="0" axis="axisRow" fieldPosition="0"/>
    </format>
    <format dxfId="150">
      <pivotArea dataOnly="0" labelOnly="1" fieldPosition="0">
        <references count="1">
          <reference field="31" count="0"/>
        </references>
      </pivotArea>
    </format>
    <format dxfId="14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14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147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146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145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144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43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14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14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14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13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138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3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3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3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3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3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132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3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3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12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12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12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12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2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2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1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1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1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1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14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1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1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0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0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0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0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0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0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0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02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10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0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9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9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9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8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8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8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8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8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7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7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7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31" type="button" dataOnly="0" labelOnly="1" outline="0" axis="axisRow" fieldPosition="0"/>
    </format>
    <format dxfId="73">
      <pivotArea dataOnly="0" labelOnly="1" fieldPosition="0">
        <references count="1">
          <reference field="31" count="0"/>
        </references>
      </pivotArea>
    </format>
    <format dxfId="72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7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70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69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68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67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6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6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6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6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6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6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6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5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5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5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5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5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5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5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5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5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5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4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4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4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4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4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3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3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3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3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CC6F0-2728-40B5-A9E2-F9C7DC677C52}" name="Efeito" displayName="Efeito" ref="A1:AG505" totalsRowShown="0" headerRowDxfId="514" dataDxfId="513">
  <autoFilter ref="A1:AG505" xr:uid="{B51CC6F0-2728-40B5-A9E2-F9C7DC677C52}"/>
  <tableColumns count="33">
    <tableColumn id="1" xr3:uid="{11B4D838-79EA-45BA-8F34-F8D944383803}" name="TipoMercado" dataDxfId="512"/>
    <tableColumn id="2" xr3:uid="{13E1BA66-952B-42B7-9B6B-4BD042C811C6}" name="Subgrupo" dataDxfId="511"/>
    <tableColumn id="3" xr3:uid="{BE3769E6-89E0-4CFD-A54A-834130F66ACC}" name="Modalidade" dataDxfId="510"/>
    <tableColumn id="4" xr3:uid="{BE491DBC-9F5A-4F3F-AD91-8ACAF86837C9}" name="Classe" dataDxfId="509"/>
    <tableColumn id="5" xr3:uid="{96EEA372-5D07-4CB8-92B6-63E4743073B7}" name="Subclasse" dataDxfId="508"/>
    <tableColumn id="6" xr3:uid="{CC169CCE-7550-4A90-9E48-801485366316}" name="Detalhe" dataDxfId="507"/>
    <tableColumn id="7" xr3:uid="{A88D7C0F-6D0D-4EEA-A013-DA41DCFEAC5D}" name="Agente" dataDxfId="506"/>
    <tableColumn id="8" xr3:uid="{BDE41CCA-253C-4C38-9CEE-8B61CBD88B42}" name="Posto" dataDxfId="505"/>
    <tableColumn id="9" xr3:uid="{9D3CE9D6-3180-40FE-8624-B0653C6B78DD}" name="AnoMes" dataDxfId="504"/>
    <tableColumn id="10" xr3:uid="{40DB01CC-1034-4506-B223-345E01D0AA3B}" name="D" dataDxfId="503"/>
    <tableColumn id="11" xr3:uid="{5873359C-931B-4260-87C5-FE89CE817EE9}" name="Daj" dataDxfId="502"/>
    <tableColumn id="12" xr3:uid="{4C2B8170-F8F4-4F2D-9C34-F26618CE56E4}" name="TUSD_E" dataDxfId="501"/>
    <tableColumn id="13" xr3:uid="{9A6A3CDB-CAFE-4499-9460-98DF4F328B74}" name="TUSD_Eaj" dataDxfId="500"/>
    <tableColumn id="14" xr3:uid="{598E3AA4-8E28-480F-B528-1991D25CD6BF}" name="TE_E" dataDxfId="499"/>
    <tableColumn id="15" xr3:uid="{14B1F2F6-4F6E-477B-80C9-F971C769FB51}" name="TE_Eaj" dataDxfId="498"/>
    <tableColumn id="16" xr3:uid="{62D6FA88-3D87-487B-9C8A-314A3C3260D6}" name="UC" dataDxfId="497"/>
    <tableColumn id="17" xr3:uid="{20D898B1-35DD-4267-9C44-34779A0A67D3}" name="OPÇÃO" dataDxfId="496"/>
    <tableColumn id="18" xr3:uid="{2ED4D94A-41FF-4B59-9B18-D30EF5F49B7B}" name="CóD. AUX." dataDxfId="495"/>
    <tableColumn id="19" xr3:uid="{CE20CE8F-67F8-427C-8996-E86909120C04}" name="CóD. AUX. TUSD R$/kW" dataDxfId="494"/>
    <tableColumn id="20" xr3:uid="{E4731972-FA66-4DB1-8525-5C313917E7DD}" name="CóD. AUX. TUSD R$/MWh" dataDxfId="493"/>
    <tableColumn id="21" xr3:uid="{CE951812-CE1F-42B9-A540-36776B3836C5}" name="CóD. AUX. TE R$/MWh" dataDxfId="492"/>
    <tableColumn id="22" xr3:uid="{F441BCFA-2678-4198-ACC8-D274AABE9081}" name="TUSD (R$/kW)" dataDxfId="491"/>
    <tableColumn id="23" xr3:uid="{B7906EC7-EBFD-4B4D-A050-A06AA80EA6B3}" name="TUSD (R$/MWh)" dataDxfId="490"/>
    <tableColumn id="24" xr3:uid="{360B7DF6-80FE-42CE-BBFC-DC55350EB1B0}" name="TE (R$/MWh)" dataDxfId="489"/>
    <tableColumn id="25" xr3:uid="{3A8F254E-B289-4B6E-8B61-36060B3246B5}" name="TUSD (R$/kW) NOVA" dataDxfId="488"/>
    <tableColumn id="26" xr3:uid="{D0D33FBF-B1A6-421A-9C65-CC4701F9F400}" name="TUSD (R$/MWh) NOVA" dataDxfId="487">
      <calculatedColumnFormula>('TUSD BE'!$AM$54+'TUSD BF'!$AM$54+'TUSD CVA'!$AM$54)*1</calculatedColumnFormula>
    </tableColumn>
    <tableColumn id="27" xr3:uid="{1EB79536-BC00-442A-8119-B7E0D86E7B9B}" name="TE (R$/MWh) NOVA" dataDxfId="486">
      <calculatedColumnFormula>('TE BE'!$AB$42+'TE BF'!$AB$42+'TE CVA'!$AB$42)*1</calculatedColumnFormula>
    </tableColumn>
    <tableColumn id="28" xr3:uid="{7A03FE62-07D9-41DF-87D7-E538B6C2FA0D}" name="RA0 ou RV - TUSD (kW)" dataDxfId="485"/>
    <tableColumn id="29" xr3:uid="{9173E120-0278-4853-A612-6277AFDBF205}" name="RA0 ou RV - TUSD (MWh)" dataDxfId="484"/>
    <tableColumn id="30" xr3:uid="{B12AC0CA-CF98-47D1-8C5C-2BC927DC0460}" name="RA0 ou RV - TE (MWh)" dataDxfId="483"/>
    <tableColumn id="31" xr3:uid="{F45F175B-8474-48E8-9FC0-AD009DD70748}" name="RA1 ou RRD - TUSD (kW)" dataDxfId="482"/>
    <tableColumn id="32" xr3:uid="{F8547737-6999-47B2-ADBA-C47DAA7A2810}" name="RA1 ou RRD - TUSD (MWh)" dataDxfId="481"/>
    <tableColumn id="33" xr3:uid="{13309078-E29F-4EA5-A8D7-18E79EA3FCC7}" name="RA1 ou RRD - TE (MWh)" dataDxfId="4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2D874-735F-4A3E-B76C-3124B8920936}" name="Subsidio" displayName="Subsidio" ref="A1:AF167" totalsRowShown="0" headerRowDxfId="479" dataDxfId="478">
  <autoFilter ref="A1:AF167" xr:uid="{4BC2D874-735F-4A3E-B76C-3124B8920936}"/>
  <tableColumns count="32">
    <tableColumn id="1" xr3:uid="{768469E3-D871-4118-87B0-E04D0A36AD30}" name="TipoMercado" dataDxfId="477"/>
    <tableColumn id="2" xr3:uid="{16CE6AAD-74E7-4DE3-9FB2-0C2EACD1801F}" name="Subgrupo" dataDxfId="476"/>
    <tableColumn id="3" xr3:uid="{632C59AA-25F3-4D74-9E31-45A4F14BED0E}" name="Modalidade" dataDxfId="475"/>
    <tableColumn id="4" xr3:uid="{77719DC1-22BA-4137-A853-ACD5C2243099}" name="Classe" dataDxfId="474"/>
    <tableColumn id="5" xr3:uid="{1EC36A75-D328-4ED3-9ABB-D3A6C895C302}" name="Subclasse" dataDxfId="473"/>
    <tableColumn id="6" xr3:uid="{BD4AF780-D349-444B-9478-41341128470E}" name="Detalhe" dataDxfId="472"/>
    <tableColumn id="7" xr3:uid="{8988CCD4-2500-4240-A3CF-C0447762C9ED}" name="Agente" dataDxfId="471"/>
    <tableColumn id="8" xr3:uid="{EC3E2E86-FF16-46AA-AE30-44B3332BAA39}" name="Posto" dataDxfId="470"/>
    <tableColumn id="9" xr3:uid="{E082D7E9-2782-4EE1-B044-5D13E7D961CC}" name="AnoMes" dataDxfId="469"/>
    <tableColumn id="10" xr3:uid="{131C8F15-F6D5-4B4C-9D36-E7928B57440E}" name="D" dataDxfId="468"/>
    <tableColumn id="11" xr3:uid="{97C85B62-7AF7-478F-BD20-3C011B04B889}" name="Daj" dataDxfId="467"/>
    <tableColumn id="12" xr3:uid="{55B2580F-292C-4A2B-998B-BED7718E345D}" name="TUSD_E" dataDxfId="466"/>
    <tableColumn id="13" xr3:uid="{61DF45B3-70C0-4E5D-808F-262355901543}" name="TUSD_Eaj" dataDxfId="465"/>
    <tableColumn id="14" xr3:uid="{5AF85A58-6E86-4318-AE80-F86BC29C694F}" name="TE_E" dataDxfId="464"/>
    <tableColumn id="15" xr3:uid="{64FF5DF0-0ACD-405A-B7E2-390B45BEEFA0}" name="TE_Eaj" dataDxfId="463"/>
    <tableColumn id="16" xr3:uid="{C701F8AB-F2CD-4D98-8556-71BB042D9770}" name="UC" dataDxfId="462"/>
    <tableColumn id="17" xr3:uid="{B91154F7-9E40-4544-A1CD-9F88AEB743A3}" name="OPÇÃO" dataDxfId="461"/>
    <tableColumn id="18" xr3:uid="{9D8B79CD-5B4E-4398-8F58-9514CF85A391}" name="CóD. AUX." dataDxfId="460"/>
    <tableColumn id="19" xr3:uid="{A60EF934-E1CD-40FE-A15C-B0A75D9CC9CE}" name="CóD. AUX. TUSD R$/kW" dataDxfId="459"/>
    <tableColumn id="20" xr3:uid="{7ECB7836-AC20-4AFA-96ED-83FAE3A3E1B0}" name="CóD. AUX. TUSD R$/MWh" dataDxfId="458"/>
    <tableColumn id="21" xr3:uid="{7A1E70B5-1631-40A1-8F1B-D05A4D9FC0F7}" name="CóD. AUX. TE R$/MWh" dataDxfId="457"/>
    <tableColumn id="22" xr3:uid="{56CC93A0-4FD3-4E8A-AF6B-601A78F34A07}" name="TUSD (R$/kW)" dataDxfId="456"/>
    <tableColumn id="23" xr3:uid="{F5216CA6-23E3-4543-84E1-C509FF49CAB5}" name="TUSD (R$/MWh)" dataDxfId="455"/>
    <tableColumn id="24" xr3:uid="{C6EB65A4-A04E-4C12-9974-F25EE6954E65}" name="TE (R$/MWh)" dataDxfId="454"/>
    <tableColumn id="25" xr3:uid="{7D00DA7E-88D2-44FB-BCCC-79B30A21B122}" name="TUSD (R$/kW) NOVA" dataDxfId="453"/>
    <tableColumn id="26" xr3:uid="{2291E4A8-6EFD-4C3A-AA03-EB3B57C28723}" name="TUSD (R$/MWh) NOVA" dataDxfId="452">
      <calculatedColumnFormula>('TUSD BE'!$AM$52+'TUSD BF'!$AM$52+'TUSD CVA'!$AM$52)*1</calculatedColumnFormula>
    </tableColumn>
    <tableColumn id="27" xr3:uid="{183E2831-9230-4CBC-BE99-74C734FDD307}" name="TE (R$/MWh) NOVA" dataDxfId="451">
      <calculatedColumnFormula>('TE BE'!$AB$40+'TE BF'!$AB$40+'TE CVA'!$AB$40)*1</calculatedColumnFormula>
    </tableColumn>
    <tableColumn id="28" xr3:uid="{B651C352-5BBF-4037-B593-45BF10822FBC}" name="SUBSIDIO kW - TV" dataDxfId="450">
      <calculatedColumnFormula>(J2-K2)*V2</calculatedColumnFormula>
    </tableColumn>
    <tableColumn id="29" xr3:uid="{7B2EEC10-E466-4806-9E00-B39CF9CCE9A6}" name="SUBSIDIO MWh - TV" dataDxfId="449">
      <calculatedColumnFormula>(L2-M2)*W2+(N2-O2)*X2</calculatedColumnFormula>
    </tableColumn>
    <tableColumn id="30" xr3:uid="{719A0562-03D9-4D9D-AFFE-7DB8E8C8930F}" name="SUBSIDIO kW - TN" dataDxfId="448">
      <calculatedColumnFormula>(J2-K2)*Y2</calculatedColumnFormula>
    </tableColumn>
    <tableColumn id="31" xr3:uid="{65D19800-E343-47CA-AA37-E9B400B1758F}" name="SUBSIDIO MWh - TN" dataDxfId="447">
      <calculatedColumnFormula>(L2-M2)*Z2+(N2-O2)*AA2</calculatedColumnFormula>
    </tableColumn>
    <tableColumn id="32" xr3:uid="{9BDE49BB-EE02-4D5D-B140-FD36FDB7CA15}" name="TIPO" dataDxfId="44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F700-BBEC-430C-A5E4-BF48BD638D7A}">
  <dimension ref="A1:W505"/>
  <sheetViews>
    <sheetView showGridLines="0" topLeftCell="L476" workbookViewId="0">
      <selection activeCell="T506" sqref="T506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2" width="7.85546875" style="6" bestFit="1" customWidth="1"/>
    <col min="13" max="13" width="8" style="6" bestFit="1" customWidth="1"/>
    <col min="14" max="16" width="7.85546875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93</v>
      </c>
      <c r="T1" s="1" t="s">
        <v>286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36</v>
      </c>
      <c r="D2" s="4" t="s">
        <v>34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44440</v>
      </c>
      <c r="J2" s="6">
        <v>2438</v>
      </c>
      <c r="K2" s="6">
        <v>2438</v>
      </c>
      <c r="L2" s="6">
        <v>1006.154</v>
      </c>
      <c r="M2" s="6">
        <v>1006.154</v>
      </c>
      <c r="N2" s="6">
        <v>1006.154</v>
      </c>
      <c r="O2" s="6">
        <v>1006.154</v>
      </c>
      <c r="P2" s="6">
        <v>0</v>
      </c>
      <c r="Q2" s="4" t="s">
        <v>26</v>
      </c>
      <c r="R2" s="4">
        <v>0</v>
      </c>
      <c r="S2" s="4" t="s">
        <v>94</v>
      </c>
      <c r="T2" s="4" t="s">
        <v>287</v>
      </c>
      <c r="U2" s="4">
        <v>20</v>
      </c>
      <c r="V2" s="4">
        <v>7</v>
      </c>
      <c r="W2" s="4">
        <v>48</v>
      </c>
    </row>
    <row r="3" spans="1:23" ht="11.25" customHeight="1" x14ac:dyDescent="0.25">
      <c r="A3" s="4" t="s">
        <v>21</v>
      </c>
      <c r="B3" s="4" t="s">
        <v>35</v>
      </c>
      <c r="C3" s="4" t="s">
        <v>36</v>
      </c>
      <c r="D3" s="4" t="s">
        <v>34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44470</v>
      </c>
      <c r="J3" s="6">
        <v>2538</v>
      </c>
      <c r="K3" s="6">
        <v>2538</v>
      </c>
      <c r="L3" s="6">
        <v>1003.545</v>
      </c>
      <c r="M3" s="6">
        <v>1003.545</v>
      </c>
      <c r="N3" s="6">
        <v>1003.545</v>
      </c>
      <c r="O3" s="6">
        <v>1003.545</v>
      </c>
      <c r="P3" s="6">
        <v>0</v>
      </c>
      <c r="Q3" s="4" t="s">
        <v>26</v>
      </c>
      <c r="R3" s="4">
        <v>0</v>
      </c>
      <c r="S3" s="4" t="s">
        <v>95</v>
      </c>
      <c r="T3" s="4" t="s">
        <v>288</v>
      </c>
      <c r="U3" s="4">
        <v>20</v>
      </c>
      <c r="V3" s="4">
        <v>7</v>
      </c>
      <c r="W3" s="4">
        <v>48</v>
      </c>
    </row>
    <row r="4" spans="1:23" ht="11.25" customHeight="1" x14ac:dyDescent="0.25">
      <c r="A4" s="4" t="s">
        <v>21</v>
      </c>
      <c r="B4" s="4" t="s">
        <v>35</v>
      </c>
      <c r="C4" s="4" t="s">
        <v>36</v>
      </c>
      <c r="D4" s="4" t="s">
        <v>34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44501</v>
      </c>
      <c r="J4" s="6">
        <v>2402</v>
      </c>
      <c r="K4" s="6">
        <v>2402</v>
      </c>
      <c r="L4" s="6">
        <v>1072.8430000000001</v>
      </c>
      <c r="M4" s="6">
        <v>1072.8430000000001</v>
      </c>
      <c r="N4" s="6">
        <v>1072.8430000000001</v>
      </c>
      <c r="O4" s="6">
        <v>1072.8430000000001</v>
      </c>
      <c r="P4" s="6">
        <v>0</v>
      </c>
      <c r="Q4" s="4" t="s">
        <v>26</v>
      </c>
      <c r="R4" s="4">
        <v>0</v>
      </c>
      <c r="S4" s="4" t="s">
        <v>96</v>
      </c>
      <c r="T4" s="4" t="s">
        <v>289</v>
      </c>
      <c r="U4" s="4">
        <v>20</v>
      </c>
      <c r="V4" s="4">
        <v>7</v>
      </c>
      <c r="W4" s="4">
        <v>48</v>
      </c>
    </row>
    <row r="5" spans="1:23" ht="11.25" customHeight="1" x14ac:dyDescent="0.25">
      <c r="A5" s="4" t="s">
        <v>21</v>
      </c>
      <c r="B5" s="4" t="s">
        <v>35</v>
      </c>
      <c r="C5" s="4" t="s">
        <v>36</v>
      </c>
      <c r="D5" s="4" t="s">
        <v>34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44531</v>
      </c>
      <c r="J5" s="6">
        <v>2500</v>
      </c>
      <c r="K5" s="6">
        <v>2500</v>
      </c>
      <c r="L5" s="6">
        <v>1023.229</v>
      </c>
      <c r="M5" s="6">
        <v>1023.229</v>
      </c>
      <c r="N5" s="6">
        <v>1023.229</v>
      </c>
      <c r="O5" s="6">
        <v>1023.229</v>
      </c>
      <c r="P5" s="6">
        <v>0</v>
      </c>
      <c r="Q5" s="4" t="s">
        <v>26</v>
      </c>
      <c r="R5" s="4">
        <v>0</v>
      </c>
      <c r="S5" s="4" t="s">
        <v>97</v>
      </c>
      <c r="T5" s="4" t="s">
        <v>290</v>
      </c>
      <c r="U5" s="4">
        <v>20</v>
      </c>
      <c r="V5" s="4">
        <v>7</v>
      </c>
      <c r="W5" s="4">
        <v>48</v>
      </c>
    </row>
    <row r="6" spans="1:23" ht="11.25" customHeight="1" x14ac:dyDescent="0.25">
      <c r="A6" s="4" t="s">
        <v>21</v>
      </c>
      <c r="B6" s="4" t="s">
        <v>35</v>
      </c>
      <c r="C6" s="4" t="s">
        <v>36</v>
      </c>
      <c r="D6" s="4" t="s">
        <v>34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44562</v>
      </c>
      <c r="J6" s="6">
        <v>2459</v>
      </c>
      <c r="K6" s="6">
        <v>2459</v>
      </c>
      <c r="L6" s="6">
        <v>1381.9390000000001</v>
      </c>
      <c r="M6" s="6">
        <v>1381.9390000000001</v>
      </c>
      <c r="N6" s="6">
        <v>1381.9390000000001</v>
      </c>
      <c r="O6" s="6">
        <v>1381.9390000000001</v>
      </c>
      <c r="P6" s="6">
        <v>0</v>
      </c>
      <c r="Q6" s="4" t="s">
        <v>26</v>
      </c>
      <c r="R6" s="4">
        <v>0</v>
      </c>
      <c r="S6" s="4" t="s">
        <v>98</v>
      </c>
      <c r="T6" s="4" t="s">
        <v>291</v>
      </c>
      <c r="U6" s="4">
        <v>20</v>
      </c>
      <c r="V6" s="4">
        <v>7</v>
      </c>
      <c r="W6" s="4">
        <v>48</v>
      </c>
    </row>
    <row r="7" spans="1:23" ht="11.25" customHeight="1" x14ac:dyDescent="0.25">
      <c r="A7" s="4" t="s">
        <v>21</v>
      </c>
      <c r="B7" s="4" t="s">
        <v>35</v>
      </c>
      <c r="C7" s="4" t="s">
        <v>36</v>
      </c>
      <c r="D7" s="4" t="s">
        <v>34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44593</v>
      </c>
      <c r="J7" s="6">
        <v>2361</v>
      </c>
      <c r="K7" s="6">
        <v>2361</v>
      </c>
      <c r="L7" s="6">
        <v>1251.78</v>
      </c>
      <c r="M7" s="6">
        <v>1251.78</v>
      </c>
      <c r="N7" s="6">
        <v>1251.78</v>
      </c>
      <c r="O7" s="6">
        <v>1251.78</v>
      </c>
      <c r="P7" s="6">
        <v>0</v>
      </c>
      <c r="Q7" s="4" t="s">
        <v>26</v>
      </c>
      <c r="R7" s="4">
        <v>0</v>
      </c>
      <c r="S7" s="4" t="s">
        <v>99</v>
      </c>
      <c r="T7" s="4" t="s">
        <v>292</v>
      </c>
      <c r="U7" s="4">
        <v>20</v>
      </c>
      <c r="V7" s="4">
        <v>7</v>
      </c>
      <c r="W7" s="4">
        <v>48</v>
      </c>
    </row>
    <row r="8" spans="1:23" ht="11.25" customHeight="1" x14ac:dyDescent="0.25">
      <c r="A8" s="4" t="s">
        <v>21</v>
      </c>
      <c r="B8" s="4" t="s">
        <v>35</v>
      </c>
      <c r="C8" s="4" t="s">
        <v>36</v>
      </c>
      <c r="D8" s="4" t="s">
        <v>34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44621</v>
      </c>
      <c r="J8" s="6">
        <v>2500</v>
      </c>
      <c r="K8" s="6">
        <v>2500</v>
      </c>
      <c r="L8" s="6">
        <v>954.22400000000005</v>
      </c>
      <c r="M8" s="6">
        <v>954.22400000000005</v>
      </c>
      <c r="N8" s="6">
        <v>954.22400000000005</v>
      </c>
      <c r="O8" s="6">
        <v>954.22400000000005</v>
      </c>
      <c r="P8" s="6">
        <v>0</v>
      </c>
      <c r="Q8" s="4" t="s">
        <v>26</v>
      </c>
      <c r="R8" s="4">
        <v>0</v>
      </c>
      <c r="S8" s="4" t="s">
        <v>100</v>
      </c>
      <c r="T8" s="4" t="s">
        <v>293</v>
      </c>
      <c r="U8" s="4">
        <v>20</v>
      </c>
      <c r="V8" s="4">
        <v>7</v>
      </c>
      <c r="W8" s="4">
        <v>48</v>
      </c>
    </row>
    <row r="9" spans="1:23" ht="11.25" customHeight="1" x14ac:dyDescent="0.25">
      <c r="A9" s="4" t="s">
        <v>21</v>
      </c>
      <c r="B9" s="4" t="s">
        <v>35</v>
      </c>
      <c r="C9" s="4" t="s">
        <v>36</v>
      </c>
      <c r="D9" s="4" t="s">
        <v>34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44652</v>
      </c>
      <c r="J9" s="6">
        <v>2500</v>
      </c>
      <c r="K9" s="6">
        <v>2500</v>
      </c>
      <c r="L9" s="6">
        <v>879.77</v>
      </c>
      <c r="M9" s="6">
        <v>879.77</v>
      </c>
      <c r="N9" s="6">
        <v>879.77</v>
      </c>
      <c r="O9" s="6">
        <v>879.77</v>
      </c>
      <c r="P9" s="6">
        <v>0</v>
      </c>
      <c r="Q9" s="4" t="s">
        <v>26</v>
      </c>
      <c r="R9" s="4">
        <v>0</v>
      </c>
      <c r="S9" s="4" t="s">
        <v>101</v>
      </c>
      <c r="T9" s="4" t="s">
        <v>294</v>
      </c>
      <c r="U9" s="4">
        <v>20</v>
      </c>
      <c r="V9" s="4">
        <v>7</v>
      </c>
      <c r="W9" s="4">
        <v>48</v>
      </c>
    </row>
    <row r="10" spans="1:23" ht="11.25" customHeight="1" x14ac:dyDescent="0.25">
      <c r="A10" s="4" t="s">
        <v>21</v>
      </c>
      <c r="B10" s="4" t="s">
        <v>35</v>
      </c>
      <c r="C10" s="4" t="s">
        <v>36</v>
      </c>
      <c r="D10" s="4" t="s">
        <v>34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2502</v>
      </c>
      <c r="K10" s="6">
        <v>2502</v>
      </c>
      <c r="L10" s="6">
        <v>1084.095</v>
      </c>
      <c r="M10" s="6">
        <v>1084.095</v>
      </c>
      <c r="N10" s="6">
        <v>1084.095</v>
      </c>
      <c r="O10" s="6">
        <v>1084.095</v>
      </c>
      <c r="P10" s="6">
        <v>0</v>
      </c>
      <c r="Q10" s="4" t="s">
        <v>26</v>
      </c>
      <c r="R10" s="4">
        <v>0</v>
      </c>
      <c r="S10" s="4" t="s">
        <v>102</v>
      </c>
      <c r="T10" s="4" t="s">
        <v>295</v>
      </c>
      <c r="U10" s="4">
        <v>20</v>
      </c>
      <c r="V10" s="4">
        <v>7</v>
      </c>
      <c r="W10" s="4">
        <v>48</v>
      </c>
    </row>
    <row r="11" spans="1:23" ht="11.25" customHeight="1" x14ac:dyDescent="0.25">
      <c r="A11" s="4" t="s">
        <v>21</v>
      </c>
      <c r="B11" s="4" t="s">
        <v>35</v>
      </c>
      <c r="C11" s="4" t="s">
        <v>36</v>
      </c>
      <c r="D11" s="4" t="s">
        <v>34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2495</v>
      </c>
      <c r="K11" s="6">
        <v>2495</v>
      </c>
      <c r="L11" s="6">
        <v>783.94200000000001</v>
      </c>
      <c r="M11" s="6">
        <v>783.94200000000001</v>
      </c>
      <c r="N11" s="6">
        <v>783.94200000000001</v>
      </c>
      <c r="O11" s="6">
        <v>783.94200000000001</v>
      </c>
      <c r="P11" s="6">
        <v>0</v>
      </c>
      <c r="Q11" s="4" t="s">
        <v>26</v>
      </c>
      <c r="R11" s="4">
        <v>0</v>
      </c>
      <c r="S11" s="4" t="s">
        <v>103</v>
      </c>
      <c r="T11" s="4" t="s">
        <v>296</v>
      </c>
      <c r="U11" s="4">
        <v>20</v>
      </c>
      <c r="V11" s="4">
        <v>7</v>
      </c>
      <c r="W11" s="4">
        <v>48</v>
      </c>
    </row>
    <row r="12" spans="1:23" ht="11.25" customHeight="1" x14ac:dyDescent="0.25">
      <c r="A12" s="4" t="s">
        <v>21</v>
      </c>
      <c r="B12" s="4" t="s">
        <v>35</v>
      </c>
      <c r="C12" s="4" t="s">
        <v>36</v>
      </c>
      <c r="D12" s="4" t="s">
        <v>34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2434</v>
      </c>
      <c r="K12" s="6">
        <v>2434</v>
      </c>
      <c r="L12" s="6">
        <v>869.30399999999997</v>
      </c>
      <c r="M12" s="6">
        <v>869.30399999999997</v>
      </c>
      <c r="N12" s="6">
        <v>869.30399999999997</v>
      </c>
      <c r="O12" s="6">
        <v>869.30399999999997</v>
      </c>
      <c r="P12" s="6">
        <v>0</v>
      </c>
      <c r="Q12" s="4" t="s">
        <v>26</v>
      </c>
      <c r="R12" s="4">
        <v>0</v>
      </c>
      <c r="S12" s="4" t="s">
        <v>104</v>
      </c>
      <c r="T12" s="4" t="s">
        <v>297</v>
      </c>
      <c r="U12" s="4">
        <v>20</v>
      </c>
      <c r="V12" s="4">
        <v>7</v>
      </c>
      <c r="W12" s="4">
        <v>48</v>
      </c>
    </row>
    <row r="13" spans="1:23" ht="11.25" customHeight="1" x14ac:dyDescent="0.25">
      <c r="A13" s="4" t="s">
        <v>57</v>
      </c>
      <c r="B13" s="4" t="s">
        <v>35</v>
      </c>
      <c r="C13" s="4" t="s">
        <v>36</v>
      </c>
      <c r="D13" s="4" t="s">
        <v>34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2434</v>
      </c>
      <c r="K13" s="6">
        <v>2434</v>
      </c>
      <c r="L13" s="6">
        <v>869.30399999999997</v>
      </c>
      <c r="M13" s="6">
        <v>869.30399999999997</v>
      </c>
      <c r="N13" s="6">
        <v>869.30399999999997</v>
      </c>
      <c r="O13" s="6">
        <v>869.30399999999997</v>
      </c>
      <c r="P13" s="6">
        <v>0</v>
      </c>
      <c r="Q13" s="4" t="s">
        <v>26</v>
      </c>
      <c r="R13" s="4">
        <v>0</v>
      </c>
      <c r="S13" s="4" t="s">
        <v>105</v>
      </c>
      <c r="T13" s="4" t="s">
        <v>298</v>
      </c>
      <c r="U13" s="4">
        <v>20</v>
      </c>
      <c r="V13" s="4">
        <v>7</v>
      </c>
      <c r="W13" s="4">
        <v>48</v>
      </c>
    </row>
    <row r="14" spans="1:23" ht="11.25" customHeight="1" x14ac:dyDescent="0.25">
      <c r="A14" s="4" t="s">
        <v>21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2386</v>
      </c>
      <c r="K14" s="6">
        <v>2386</v>
      </c>
      <c r="L14" s="6">
        <v>98.867000000000004</v>
      </c>
      <c r="M14" s="6">
        <v>98.867000000000004</v>
      </c>
      <c r="N14" s="6">
        <v>98.867000000000004</v>
      </c>
      <c r="O14" s="6">
        <v>98.867000000000004</v>
      </c>
      <c r="P14" s="6">
        <v>0</v>
      </c>
      <c r="Q14" s="4" t="s">
        <v>26</v>
      </c>
      <c r="R14" s="4">
        <v>0</v>
      </c>
      <c r="S14" s="4" t="s">
        <v>106</v>
      </c>
      <c r="T14" s="4" t="s">
        <v>299</v>
      </c>
      <c r="U14" s="4">
        <v>15</v>
      </c>
      <c r="V14" s="4">
        <v>7</v>
      </c>
      <c r="W14" s="4">
        <v>37</v>
      </c>
    </row>
    <row r="15" spans="1:23" ht="11.25" customHeight="1" x14ac:dyDescent="0.25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2497</v>
      </c>
      <c r="K15" s="6">
        <v>2497</v>
      </c>
      <c r="L15" s="6">
        <v>88.641000000000005</v>
      </c>
      <c r="M15" s="6">
        <v>88.641000000000005</v>
      </c>
      <c r="N15" s="6">
        <v>88.641000000000005</v>
      </c>
      <c r="O15" s="6">
        <v>88.641000000000005</v>
      </c>
      <c r="P15" s="6">
        <v>0</v>
      </c>
      <c r="Q15" s="4" t="s">
        <v>26</v>
      </c>
      <c r="R15" s="4">
        <v>0</v>
      </c>
      <c r="S15" s="4" t="s">
        <v>107</v>
      </c>
      <c r="T15" s="4" t="s">
        <v>300</v>
      </c>
      <c r="U15" s="4">
        <v>15</v>
      </c>
      <c r="V15" s="4">
        <v>7</v>
      </c>
      <c r="W15" s="4">
        <v>37</v>
      </c>
    </row>
    <row r="16" spans="1:23" ht="11.25" customHeight="1" x14ac:dyDescent="0.25">
      <c r="A16" s="4" t="s">
        <v>21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2353</v>
      </c>
      <c r="K16" s="6">
        <v>2353</v>
      </c>
      <c r="L16" s="6">
        <v>101.35</v>
      </c>
      <c r="M16" s="6">
        <v>101.35</v>
      </c>
      <c r="N16" s="6">
        <v>101.35</v>
      </c>
      <c r="O16" s="6">
        <v>101.35</v>
      </c>
      <c r="P16" s="6">
        <v>0</v>
      </c>
      <c r="Q16" s="4" t="s">
        <v>26</v>
      </c>
      <c r="R16" s="4">
        <v>0</v>
      </c>
      <c r="S16" s="4" t="s">
        <v>108</v>
      </c>
      <c r="T16" s="4" t="s">
        <v>301</v>
      </c>
      <c r="U16" s="4">
        <v>15</v>
      </c>
      <c r="V16" s="4">
        <v>7</v>
      </c>
      <c r="W16" s="4">
        <v>37</v>
      </c>
    </row>
    <row r="17" spans="1:23" ht="11.25" customHeight="1" x14ac:dyDescent="0.25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2442</v>
      </c>
      <c r="K17" s="6">
        <v>2442</v>
      </c>
      <c r="L17" s="6">
        <v>110.199</v>
      </c>
      <c r="M17" s="6">
        <v>110.199</v>
      </c>
      <c r="N17" s="6">
        <v>110.199</v>
      </c>
      <c r="O17" s="6">
        <v>110.199</v>
      </c>
      <c r="P17" s="6">
        <v>0</v>
      </c>
      <c r="Q17" s="4" t="s">
        <v>26</v>
      </c>
      <c r="R17" s="4">
        <v>0</v>
      </c>
      <c r="S17" s="4" t="s">
        <v>109</v>
      </c>
      <c r="T17" s="4" t="s">
        <v>302</v>
      </c>
      <c r="U17" s="4">
        <v>15</v>
      </c>
      <c r="V17" s="4">
        <v>7</v>
      </c>
      <c r="W17" s="4">
        <v>37</v>
      </c>
    </row>
    <row r="18" spans="1:23" ht="11.25" customHeight="1" x14ac:dyDescent="0.25">
      <c r="A18" s="4" t="s">
        <v>21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2441</v>
      </c>
      <c r="K18" s="6">
        <v>2441</v>
      </c>
      <c r="L18" s="6">
        <v>123.512</v>
      </c>
      <c r="M18" s="6">
        <v>123.512</v>
      </c>
      <c r="N18" s="6">
        <v>123.512</v>
      </c>
      <c r="O18" s="6">
        <v>123.512</v>
      </c>
      <c r="P18" s="6">
        <v>0</v>
      </c>
      <c r="Q18" s="4" t="s">
        <v>26</v>
      </c>
      <c r="R18" s="4">
        <v>0</v>
      </c>
      <c r="S18" s="4" t="s">
        <v>110</v>
      </c>
      <c r="T18" s="4" t="s">
        <v>303</v>
      </c>
      <c r="U18" s="4">
        <v>15</v>
      </c>
      <c r="V18" s="4">
        <v>7</v>
      </c>
      <c r="W18" s="4">
        <v>37</v>
      </c>
    </row>
    <row r="19" spans="1:23" ht="11.25" customHeight="1" x14ac:dyDescent="0.25">
      <c r="A19" s="4" t="s">
        <v>21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2359</v>
      </c>
      <c r="K19" s="6">
        <v>2359</v>
      </c>
      <c r="L19" s="6">
        <v>122.203</v>
      </c>
      <c r="M19" s="6">
        <v>122.203</v>
      </c>
      <c r="N19" s="6">
        <v>122.203</v>
      </c>
      <c r="O19" s="6">
        <v>122.203</v>
      </c>
      <c r="P19" s="6">
        <v>0</v>
      </c>
      <c r="Q19" s="4" t="s">
        <v>26</v>
      </c>
      <c r="R19" s="4">
        <v>0</v>
      </c>
      <c r="S19" s="4" t="s">
        <v>111</v>
      </c>
      <c r="T19" s="4" t="s">
        <v>304</v>
      </c>
      <c r="U19" s="4">
        <v>15</v>
      </c>
      <c r="V19" s="4">
        <v>7</v>
      </c>
      <c r="W19" s="4">
        <v>37</v>
      </c>
    </row>
    <row r="20" spans="1:23" ht="11.25" customHeight="1" x14ac:dyDescent="0.25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2477</v>
      </c>
      <c r="K20" s="6">
        <v>2477</v>
      </c>
      <c r="L20" s="6">
        <v>97.435000000000002</v>
      </c>
      <c r="M20" s="6">
        <v>97.435000000000002</v>
      </c>
      <c r="N20" s="6">
        <v>97.435000000000002</v>
      </c>
      <c r="O20" s="6">
        <v>97.435000000000002</v>
      </c>
      <c r="P20" s="6">
        <v>0</v>
      </c>
      <c r="Q20" s="4" t="s">
        <v>26</v>
      </c>
      <c r="R20" s="4">
        <v>0</v>
      </c>
      <c r="S20" s="4" t="s">
        <v>112</v>
      </c>
      <c r="T20" s="4" t="s">
        <v>305</v>
      </c>
      <c r="U20" s="4">
        <v>15</v>
      </c>
      <c r="V20" s="4">
        <v>7</v>
      </c>
      <c r="W20" s="4">
        <v>37</v>
      </c>
    </row>
    <row r="21" spans="1:23" ht="11.25" customHeight="1" x14ac:dyDescent="0.25">
      <c r="A21" s="4" t="s">
        <v>21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2505</v>
      </c>
      <c r="K21" s="6">
        <v>2505</v>
      </c>
      <c r="L21" s="6">
        <v>82.11</v>
      </c>
      <c r="M21" s="6">
        <v>82.11</v>
      </c>
      <c r="N21" s="6">
        <v>82.11</v>
      </c>
      <c r="O21" s="6">
        <v>82.11</v>
      </c>
      <c r="P21" s="6">
        <v>0</v>
      </c>
      <c r="Q21" s="4" t="s">
        <v>26</v>
      </c>
      <c r="R21" s="4">
        <v>0</v>
      </c>
      <c r="S21" s="4" t="s">
        <v>113</v>
      </c>
      <c r="T21" s="4" t="s">
        <v>306</v>
      </c>
      <c r="U21" s="4">
        <v>15</v>
      </c>
      <c r="V21" s="4">
        <v>7</v>
      </c>
      <c r="W21" s="4">
        <v>37</v>
      </c>
    </row>
    <row r="22" spans="1:23" ht="11.25" customHeight="1" x14ac:dyDescent="0.25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2460</v>
      </c>
      <c r="K22" s="6">
        <v>2460</v>
      </c>
      <c r="L22" s="6">
        <v>106.626</v>
      </c>
      <c r="M22" s="6">
        <v>106.626</v>
      </c>
      <c r="N22" s="6">
        <v>106.626</v>
      </c>
      <c r="O22" s="6">
        <v>106.626</v>
      </c>
      <c r="P22" s="6">
        <v>0</v>
      </c>
      <c r="Q22" s="4" t="s">
        <v>26</v>
      </c>
      <c r="R22" s="4">
        <v>0</v>
      </c>
      <c r="S22" s="4" t="s">
        <v>114</v>
      </c>
      <c r="T22" s="4" t="s">
        <v>307</v>
      </c>
      <c r="U22" s="4">
        <v>15</v>
      </c>
      <c r="V22" s="4">
        <v>7</v>
      </c>
      <c r="W22" s="4">
        <v>37</v>
      </c>
    </row>
    <row r="23" spans="1:23" ht="11.25" customHeight="1" x14ac:dyDescent="0.25">
      <c r="A23" s="4" t="s">
        <v>21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2467</v>
      </c>
      <c r="K23" s="6">
        <v>2467</v>
      </c>
      <c r="L23" s="6">
        <v>78.682000000000002</v>
      </c>
      <c r="M23" s="6">
        <v>78.682000000000002</v>
      </c>
      <c r="N23" s="6">
        <v>78.682000000000002</v>
      </c>
      <c r="O23" s="6">
        <v>78.682000000000002</v>
      </c>
      <c r="P23" s="6">
        <v>0</v>
      </c>
      <c r="Q23" s="4" t="s">
        <v>26</v>
      </c>
      <c r="R23" s="4">
        <v>0</v>
      </c>
      <c r="S23" s="4" t="s">
        <v>115</v>
      </c>
      <c r="T23" s="4" t="s">
        <v>308</v>
      </c>
      <c r="U23" s="4">
        <v>15</v>
      </c>
      <c r="V23" s="4">
        <v>7</v>
      </c>
      <c r="W23" s="4">
        <v>37</v>
      </c>
    </row>
    <row r="24" spans="1:23" ht="11.25" customHeight="1" x14ac:dyDescent="0.25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2437</v>
      </c>
      <c r="K24" s="6">
        <v>2437</v>
      </c>
      <c r="L24" s="6">
        <v>84.813999999999993</v>
      </c>
      <c r="M24" s="6">
        <v>84.813999999999993</v>
      </c>
      <c r="N24" s="6">
        <v>84.813999999999993</v>
      </c>
      <c r="O24" s="6">
        <v>84.813999999999993</v>
      </c>
      <c r="P24" s="6">
        <v>0</v>
      </c>
      <c r="Q24" s="4" t="s">
        <v>26</v>
      </c>
      <c r="R24" s="4">
        <v>0</v>
      </c>
      <c r="S24" s="4" t="s">
        <v>116</v>
      </c>
      <c r="T24" s="4" t="s">
        <v>309</v>
      </c>
      <c r="U24" s="4">
        <v>15</v>
      </c>
      <c r="V24" s="4">
        <v>7</v>
      </c>
      <c r="W24" s="4">
        <v>37</v>
      </c>
    </row>
    <row r="25" spans="1:23" ht="11.25" customHeight="1" x14ac:dyDescent="0.25">
      <c r="A25" s="4" t="s">
        <v>57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2437</v>
      </c>
      <c r="K25" s="6">
        <v>2437</v>
      </c>
      <c r="L25" s="6">
        <v>84.813999999999993</v>
      </c>
      <c r="M25" s="6">
        <v>84.813999999999993</v>
      </c>
      <c r="N25" s="6">
        <v>84.813999999999993</v>
      </c>
      <c r="O25" s="6">
        <v>84.813999999999993</v>
      </c>
      <c r="P25" s="6">
        <v>0</v>
      </c>
      <c r="Q25" s="4" t="s">
        <v>26</v>
      </c>
      <c r="R25" s="4">
        <v>0</v>
      </c>
      <c r="S25" s="4" t="s">
        <v>117</v>
      </c>
      <c r="T25" s="4" t="s">
        <v>310</v>
      </c>
      <c r="U25" s="4">
        <v>15</v>
      </c>
      <c r="V25" s="4">
        <v>7</v>
      </c>
      <c r="W25" s="4">
        <v>37</v>
      </c>
    </row>
    <row r="26" spans="1:23" ht="11.25" customHeight="1" x14ac:dyDescent="0.25">
      <c r="A26" s="4" t="s">
        <v>21</v>
      </c>
      <c r="B26" s="4" t="s">
        <v>39</v>
      </c>
      <c r="C26" s="4" t="s">
        <v>36</v>
      </c>
      <c r="D26" s="4" t="s">
        <v>34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44440</v>
      </c>
      <c r="J26" s="6">
        <v>6050</v>
      </c>
      <c r="K26" s="6">
        <v>6050</v>
      </c>
      <c r="L26" s="6">
        <v>2995.3240000000001</v>
      </c>
      <c r="M26" s="6">
        <v>2995.3240000000001</v>
      </c>
      <c r="N26" s="6">
        <v>2995.3240000000001</v>
      </c>
      <c r="O26" s="6">
        <v>2995.3240000000001</v>
      </c>
      <c r="P26" s="6">
        <v>0</v>
      </c>
      <c r="Q26" s="4" t="s">
        <v>26</v>
      </c>
      <c r="R26" s="4">
        <v>0</v>
      </c>
      <c r="S26" s="4" t="s">
        <v>118</v>
      </c>
      <c r="T26" s="4" t="s">
        <v>311</v>
      </c>
      <c r="U26" s="4">
        <v>12</v>
      </c>
      <c r="V26" s="4">
        <v>10</v>
      </c>
      <c r="W26" s="4">
        <v>85</v>
      </c>
    </row>
    <row r="27" spans="1:23" ht="11.25" customHeight="1" x14ac:dyDescent="0.25">
      <c r="A27" s="4" t="s">
        <v>21</v>
      </c>
      <c r="B27" s="4" t="s">
        <v>39</v>
      </c>
      <c r="C27" s="4" t="s">
        <v>36</v>
      </c>
      <c r="D27" s="4" t="s">
        <v>34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44470</v>
      </c>
      <c r="J27" s="6">
        <v>6088</v>
      </c>
      <c r="K27" s="6">
        <v>6088</v>
      </c>
      <c r="L27" s="6">
        <v>2873.0790000000002</v>
      </c>
      <c r="M27" s="6">
        <v>2873.0790000000002</v>
      </c>
      <c r="N27" s="6">
        <v>2873.0790000000002</v>
      </c>
      <c r="O27" s="6">
        <v>2873.0790000000002</v>
      </c>
      <c r="P27" s="6">
        <v>0</v>
      </c>
      <c r="Q27" s="4" t="s">
        <v>26</v>
      </c>
      <c r="R27" s="4">
        <v>0</v>
      </c>
      <c r="S27" s="4" t="s">
        <v>119</v>
      </c>
      <c r="T27" s="4" t="s">
        <v>312</v>
      </c>
      <c r="U27" s="4">
        <v>12</v>
      </c>
      <c r="V27" s="4">
        <v>10</v>
      </c>
      <c r="W27" s="4">
        <v>85</v>
      </c>
    </row>
    <row r="28" spans="1:23" ht="11.25" customHeight="1" x14ac:dyDescent="0.25">
      <c r="A28" s="4" t="s">
        <v>21</v>
      </c>
      <c r="B28" s="4" t="s">
        <v>39</v>
      </c>
      <c r="C28" s="4" t="s">
        <v>36</v>
      </c>
      <c r="D28" s="4" t="s">
        <v>34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44501</v>
      </c>
      <c r="J28" s="6">
        <v>6276</v>
      </c>
      <c r="K28" s="6">
        <v>6276</v>
      </c>
      <c r="L28" s="6">
        <v>3062.462</v>
      </c>
      <c r="M28" s="6">
        <v>3062.462</v>
      </c>
      <c r="N28" s="6">
        <v>3062.462</v>
      </c>
      <c r="O28" s="6">
        <v>3062.462</v>
      </c>
      <c r="P28" s="6">
        <v>0</v>
      </c>
      <c r="Q28" s="4" t="s">
        <v>26</v>
      </c>
      <c r="R28" s="4">
        <v>0</v>
      </c>
      <c r="S28" s="4" t="s">
        <v>120</v>
      </c>
      <c r="T28" s="4" t="s">
        <v>313</v>
      </c>
      <c r="U28" s="4">
        <v>12</v>
      </c>
      <c r="V28" s="4">
        <v>10</v>
      </c>
      <c r="W28" s="4">
        <v>85</v>
      </c>
    </row>
    <row r="29" spans="1:23" ht="11.25" customHeight="1" x14ac:dyDescent="0.25">
      <c r="A29" s="4" t="s">
        <v>21</v>
      </c>
      <c r="B29" s="4" t="s">
        <v>39</v>
      </c>
      <c r="C29" s="4" t="s">
        <v>36</v>
      </c>
      <c r="D29" s="4" t="s">
        <v>34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44531</v>
      </c>
      <c r="J29" s="6">
        <v>6256</v>
      </c>
      <c r="K29" s="6">
        <v>6256</v>
      </c>
      <c r="L29" s="6">
        <v>3047.5450000000001</v>
      </c>
      <c r="M29" s="6">
        <v>3047.5450000000001</v>
      </c>
      <c r="N29" s="6">
        <v>3047.5450000000001</v>
      </c>
      <c r="O29" s="6">
        <v>3047.5450000000001</v>
      </c>
      <c r="P29" s="6">
        <v>0</v>
      </c>
      <c r="Q29" s="4" t="s">
        <v>26</v>
      </c>
      <c r="R29" s="4">
        <v>0</v>
      </c>
      <c r="S29" s="4" t="s">
        <v>121</v>
      </c>
      <c r="T29" s="4" t="s">
        <v>314</v>
      </c>
      <c r="U29" s="4">
        <v>12</v>
      </c>
      <c r="V29" s="4">
        <v>10</v>
      </c>
      <c r="W29" s="4">
        <v>85</v>
      </c>
    </row>
    <row r="30" spans="1:23" ht="11.25" customHeight="1" x14ac:dyDescent="0.25">
      <c r="A30" s="4" t="s">
        <v>21</v>
      </c>
      <c r="B30" s="4" t="s">
        <v>39</v>
      </c>
      <c r="C30" s="4" t="s">
        <v>36</v>
      </c>
      <c r="D30" s="4" t="s">
        <v>34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44562</v>
      </c>
      <c r="J30" s="6">
        <v>6317</v>
      </c>
      <c r="K30" s="6">
        <v>6317</v>
      </c>
      <c r="L30" s="6">
        <v>3177.6329999999998</v>
      </c>
      <c r="M30" s="6">
        <v>3177.6329999999998</v>
      </c>
      <c r="N30" s="6">
        <v>3177.6329999999998</v>
      </c>
      <c r="O30" s="6">
        <v>3177.6329999999998</v>
      </c>
      <c r="P30" s="6">
        <v>0</v>
      </c>
      <c r="Q30" s="4" t="s">
        <v>26</v>
      </c>
      <c r="R30" s="4">
        <v>0</v>
      </c>
      <c r="S30" s="4" t="s">
        <v>122</v>
      </c>
      <c r="T30" s="4" t="s">
        <v>315</v>
      </c>
      <c r="U30" s="4">
        <v>12</v>
      </c>
      <c r="V30" s="4">
        <v>10</v>
      </c>
      <c r="W30" s="4">
        <v>85</v>
      </c>
    </row>
    <row r="31" spans="1:23" ht="11.25" customHeight="1" x14ac:dyDescent="0.25">
      <c r="A31" s="4" t="s">
        <v>21</v>
      </c>
      <c r="B31" s="4" t="s">
        <v>39</v>
      </c>
      <c r="C31" s="4" t="s">
        <v>36</v>
      </c>
      <c r="D31" s="4" t="s">
        <v>34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44593</v>
      </c>
      <c r="J31" s="6">
        <v>6290</v>
      </c>
      <c r="K31" s="6">
        <v>6290</v>
      </c>
      <c r="L31" s="6">
        <v>2984.953</v>
      </c>
      <c r="M31" s="6">
        <v>2984.953</v>
      </c>
      <c r="N31" s="6">
        <v>2984.953</v>
      </c>
      <c r="O31" s="6">
        <v>2984.953</v>
      </c>
      <c r="P31" s="6">
        <v>0</v>
      </c>
      <c r="Q31" s="4" t="s">
        <v>26</v>
      </c>
      <c r="R31" s="4">
        <v>0</v>
      </c>
      <c r="S31" s="4" t="s">
        <v>123</v>
      </c>
      <c r="T31" s="4" t="s">
        <v>316</v>
      </c>
      <c r="U31" s="4">
        <v>12</v>
      </c>
      <c r="V31" s="4">
        <v>10</v>
      </c>
      <c r="W31" s="4">
        <v>85</v>
      </c>
    </row>
    <row r="32" spans="1:23" ht="11.25" customHeight="1" x14ac:dyDescent="0.25">
      <c r="A32" s="4" t="s">
        <v>21</v>
      </c>
      <c r="B32" s="4" t="s">
        <v>39</v>
      </c>
      <c r="C32" s="4" t="s">
        <v>36</v>
      </c>
      <c r="D32" s="4" t="s">
        <v>34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44621</v>
      </c>
      <c r="J32" s="6">
        <v>6633</v>
      </c>
      <c r="K32" s="6">
        <v>6633</v>
      </c>
      <c r="L32" s="6">
        <v>3365.5079999999998</v>
      </c>
      <c r="M32" s="6">
        <v>3365.5079999999998</v>
      </c>
      <c r="N32" s="6">
        <v>3365.5079999999998</v>
      </c>
      <c r="O32" s="6">
        <v>3365.5079999999998</v>
      </c>
      <c r="P32" s="6">
        <v>0</v>
      </c>
      <c r="Q32" s="4" t="s">
        <v>26</v>
      </c>
      <c r="R32" s="4">
        <v>0</v>
      </c>
      <c r="S32" s="4" t="s">
        <v>124</v>
      </c>
      <c r="T32" s="4" t="s">
        <v>317</v>
      </c>
      <c r="U32" s="4">
        <v>12</v>
      </c>
      <c r="V32" s="4">
        <v>10</v>
      </c>
      <c r="W32" s="4">
        <v>85</v>
      </c>
    </row>
    <row r="33" spans="1:23" ht="11.25" customHeight="1" x14ac:dyDescent="0.25">
      <c r="A33" s="4" t="s">
        <v>21</v>
      </c>
      <c r="B33" s="4" t="s">
        <v>39</v>
      </c>
      <c r="C33" s="4" t="s">
        <v>36</v>
      </c>
      <c r="D33" s="4" t="s">
        <v>34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44652</v>
      </c>
      <c r="J33" s="6">
        <v>6250</v>
      </c>
      <c r="K33" s="6">
        <v>6250</v>
      </c>
      <c r="L33" s="6">
        <v>2870.52</v>
      </c>
      <c r="M33" s="6">
        <v>2870.52</v>
      </c>
      <c r="N33" s="6">
        <v>2870.52</v>
      </c>
      <c r="O33" s="6">
        <v>2870.52</v>
      </c>
      <c r="P33" s="6">
        <v>0</v>
      </c>
      <c r="Q33" s="4" t="s">
        <v>26</v>
      </c>
      <c r="R33" s="4">
        <v>0</v>
      </c>
      <c r="S33" s="4" t="s">
        <v>125</v>
      </c>
      <c r="T33" s="4" t="s">
        <v>318</v>
      </c>
      <c r="U33" s="4">
        <v>12</v>
      </c>
      <c r="V33" s="4">
        <v>10</v>
      </c>
      <c r="W33" s="4">
        <v>85</v>
      </c>
    </row>
    <row r="34" spans="1:23" ht="11.25" customHeight="1" x14ac:dyDescent="0.25">
      <c r="A34" s="4" t="s">
        <v>21</v>
      </c>
      <c r="B34" s="4" t="s">
        <v>39</v>
      </c>
      <c r="C34" s="4" t="s">
        <v>36</v>
      </c>
      <c r="D34" s="4" t="s">
        <v>34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44682</v>
      </c>
      <c r="J34" s="6">
        <v>6095</v>
      </c>
      <c r="K34" s="6">
        <v>6095</v>
      </c>
      <c r="L34" s="6">
        <v>3039.1750000000002</v>
      </c>
      <c r="M34" s="6">
        <v>3039.1750000000002</v>
      </c>
      <c r="N34" s="6">
        <v>3039.1750000000002</v>
      </c>
      <c r="O34" s="6">
        <v>3039.1750000000002</v>
      </c>
      <c r="P34" s="6">
        <v>0</v>
      </c>
      <c r="Q34" s="4" t="s">
        <v>26</v>
      </c>
      <c r="R34" s="4">
        <v>0</v>
      </c>
      <c r="S34" s="4" t="s">
        <v>126</v>
      </c>
      <c r="T34" s="4" t="s">
        <v>319</v>
      </c>
      <c r="U34" s="4">
        <v>12</v>
      </c>
      <c r="V34" s="4">
        <v>10</v>
      </c>
      <c r="W34" s="4">
        <v>85</v>
      </c>
    </row>
    <row r="35" spans="1:23" ht="11.25" customHeight="1" x14ac:dyDescent="0.25">
      <c r="A35" s="4" t="s">
        <v>21</v>
      </c>
      <c r="B35" s="4" t="s">
        <v>39</v>
      </c>
      <c r="C35" s="4" t="s">
        <v>36</v>
      </c>
      <c r="D35" s="4" t="s">
        <v>34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44713</v>
      </c>
      <c r="J35" s="6">
        <v>6108</v>
      </c>
      <c r="K35" s="6">
        <v>6108</v>
      </c>
      <c r="L35" s="6">
        <v>2791.9110000000001</v>
      </c>
      <c r="M35" s="6">
        <v>2791.9110000000001</v>
      </c>
      <c r="N35" s="6">
        <v>2791.9110000000001</v>
      </c>
      <c r="O35" s="6">
        <v>2791.9110000000001</v>
      </c>
      <c r="P35" s="6">
        <v>0</v>
      </c>
      <c r="Q35" s="4" t="s">
        <v>26</v>
      </c>
      <c r="R35" s="4">
        <v>0</v>
      </c>
      <c r="S35" s="4" t="s">
        <v>127</v>
      </c>
      <c r="T35" s="4" t="s">
        <v>320</v>
      </c>
      <c r="U35" s="4">
        <v>12</v>
      </c>
      <c r="V35" s="4">
        <v>10</v>
      </c>
      <c r="W35" s="4">
        <v>85</v>
      </c>
    </row>
    <row r="36" spans="1:23" ht="11.25" customHeight="1" x14ac:dyDescent="0.25">
      <c r="A36" s="4" t="s">
        <v>21</v>
      </c>
      <c r="B36" s="4" t="s">
        <v>39</v>
      </c>
      <c r="C36" s="4" t="s">
        <v>36</v>
      </c>
      <c r="D36" s="4" t="s">
        <v>34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44743</v>
      </c>
      <c r="J36" s="6">
        <v>6209</v>
      </c>
      <c r="K36" s="6">
        <v>6209</v>
      </c>
      <c r="L36" s="6">
        <v>3121.3009999999999</v>
      </c>
      <c r="M36" s="6">
        <v>3121.3009999999999</v>
      </c>
      <c r="N36" s="6">
        <v>3121.3009999999999</v>
      </c>
      <c r="O36" s="6">
        <v>3121.3009999999999</v>
      </c>
      <c r="P36" s="6">
        <v>0</v>
      </c>
      <c r="Q36" s="4" t="s">
        <v>26</v>
      </c>
      <c r="R36" s="4">
        <v>0</v>
      </c>
      <c r="S36" s="4" t="s">
        <v>128</v>
      </c>
      <c r="T36" s="4" t="s">
        <v>321</v>
      </c>
      <c r="U36" s="4">
        <v>12</v>
      </c>
      <c r="V36" s="4">
        <v>10</v>
      </c>
      <c r="W36" s="4">
        <v>85</v>
      </c>
    </row>
    <row r="37" spans="1:23" ht="11.25" customHeight="1" x14ac:dyDescent="0.25">
      <c r="A37" s="4" t="s">
        <v>57</v>
      </c>
      <c r="B37" s="4" t="s">
        <v>39</v>
      </c>
      <c r="C37" s="4" t="s">
        <v>36</v>
      </c>
      <c r="D37" s="4" t="s">
        <v>34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44774</v>
      </c>
      <c r="J37" s="6">
        <v>6209</v>
      </c>
      <c r="K37" s="6">
        <v>6209</v>
      </c>
      <c r="L37" s="6">
        <v>3121.3009999999999</v>
      </c>
      <c r="M37" s="6">
        <v>3121.3009999999999</v>
      </c>
      <c r="N37" s="6">
        <v>3121.3009999999999</v>
      </c>
      <c r="O37" s="6">
        <v>3121.3009999999999</v>
      </c>
      <c r="P37" s="6">
        <v>0</v>
      </c>
      <c r="Q37" s="4" t="s">
        <v>26</v>
      </c>
      <c r="R37" s="4">
        <v>0</v>
      </c>
      <c r="S37" s="4" t="s">
        <v>129</v>
      </c>
      <c r="T37" s="4" t="s">
        <v>322</v>
      </c>
      <c r="U37" s="4">
        <v>12</v>
      </c>
      <c r="V37" s="4">
        <v>10</v>
      </c>
      <c r="W37" s="4">
        <v>85</v>
      </c>
    </row>
    <row r="38" spans="1:23" ht="11.25" customHeight="1" x14ac:dyDescent="0.25">
      <c r="A38" s="4" t="s">
        <v>21</v>
      </c>
      <c r="B38" s="4" t="s">
        <v>39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44440</v>
      </c>
      <c r="J38" s="6">
        <v>5950</v>
      </c>
      <c r="K38" s="6">
        <v>5950</v>
      </c>
      <c r="L38" s="6">
        <v>311.45</v>
      </c>
      <c r="M38" s="6">
        <v>311.45</v>
      </c>
      <c r="N38" s="6">
        <v>311.45</v>
      </c>
      <c r="O38" s="6">
        <v>311.45</v>
      </c>
      <c r="P38" s="6">
        <v>0</v>
      </c>
      <c r="Q38" s="4" t="s">
        <v>26</v>
      </c>
      <c r="R38" s="4">
        <v>0</v>
      </c>
      <c r="S38" s="4" t="s">
        <v>130</v>
      </c>
      <c r="T38" s="4" t="s">
        <v>323</v>
      </c>
      <c r="U38" s="4">
        <v>17</v>
      </c>
      <c r="V38" s="4">
        <v>10</v>
      </c>
      <c r="W38" s="4">
        <v>64</v>
      </c>
    </row>
    <row r="39" spans="1:23" ht="11.25" customHeight="1" x14ac:dyDescent="0.25">
      <c r="A39" s="4" t="s">
        <v>21</v>
      </c>
      <c r="B39" s="4" t="s">
        <v>39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44470</v>
      </c>
      <c r="J39" s="6">
        <v>5950</v>
      </c>
      <c r="K39" s="6">
        <v>5950</v>
      </c>
      <c r="L39" s="6">
        <v>306.77300000000002</v>
      </c>
      <c r="M39" s="6">
        <v>306.77300000000002</v>
      </c>
      <c r="N39" s="6">
        <v>306.77300000000002</v>
      </c>
      <c r="O39" s="6">
        <v>306.77300000000002</v>
      </c>
      <c r="P39" s="6">
        <v>0</v>
      </c>
      <c r="Q39" s="4" t="s">
        <v>26</v>
      </c>
      <c r="R39" s="4">
        <v>0</v>
      </c>
      <c r="S39" s="4" t="s">
        <v>131</v>
      </c>
      <c r="T39" s="4" t="s">
        <v>324</v>
      </c>
      <c r="U39" s="4">
        <v>17</v>
      </c>
      <c r="V39" s="4">
        <v>10</v>
      </c>
      <c r="W39" s="4">
        <v>64</v>
      </c>
    </row>
    <row r="40" spans="1:23" ht="11.25" customHeight="1" x14ac:dyDescent="0.25">
      <c r="A40" s="4" t="s">
        <v>21</v>
      </c>
      <c r="B40" s="4" t="s">
        <v>39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44501</v>
      </c>
      <c r="J40" s="6">
        <v>6122</v>
      </c>
      <c r="K40" s="6">
        <v>6122</v>
      </c>
      <c r="L40" s="6">
        <v>329.608</v>
      </c>
      <c r="M40" s="6">
        <v>329.608</v>
      </c>
      <c r="N40" s="6">
        <v>329.608</v>
      </c>
      <c r="O40" s="6">
        <v>329.608</v>
      </c>
      <c r="P40" s="6">
        <v>0</v>
      </c>
      <c r="Q40" s="4" t="s">
        <v>26</v>
      </c>
      <c r="R40" s="4">
        <v>0</v>
      </c>
      <c r="S40" s="4" t="s">
        <v>132</v>
      </c>
      <c r="T40" s="4" t="s">
        <v>325</v>
      </c>
      <c r="U40" s="4">
        <v>17</v>
      </c>
      <c r="V40" s="4">
        <v>10</v>
      </c>
      <c r="W40" s="4">
        <v>64</v>
      </c>
    </row>
    <row r="41" spans="1:23" ht="11.25" customHeight="1" x14ac:dyDescent="0.25">
      <c r="A41" s="4" t="s">
        <v>21</v>
      </c>
      <c r="B41" s="4" t="s">
        <v>39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44531</v>
      </c>
      <c r="J41" s="6">
        <v>5967</v>
      </c>
      <c r="K41" s="6">
        <v>5967</v>
      </c>
      <c r="L41" s="6">
        <v>354.03300000000002</v>
      </c>
      <c r="M41" s="6">
        <v>354.03300000000002</v>
      </c>
      <c r="N41" s="6">
        <v>354.03300000000002</v>
      </c>
      <c r="O41" s="6">
        <v>354.03300000000002</v>
      </c>
      <c r="P41" s="6">
        <v>0</v>
      </c>
      <c r="Q41" s="4" t="s">
        <v>26</v>
      </c>
      <c r="R41" s="4">
        <v>0</v>
      </c>
      <c r="S41" s="4" t="s">
        <v>133</v>
      </c>
      <c r="T41" s="4" t="s">
        <v>326</v>
      </c>
      <c r="U41" s="4">
        <v>17</v>
      </c>
      <c r="V41" s="4">
        <v>10</v>
      </c>
      <c r="W41" s="4">
        <v>64</v>
      </c>
    </row>
    <row r="42" spans="1:23" ht="11.25" customHeight="1" x14ac:dyDescent="0.25">
      <c r="A42" s="4" t="s">
        <v>21</v>
      </c>
      <c r="B42" s="4" t="s">
        <v>39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44562</v>
      </c>
      <c r="J42" s="6">
        <v>6189</v>
      </c>
      <c r="K42" s="6">
        <v>6189</v>
      </c>
      <c r="L42" s="6">
        <v>360.85199999999998</v>
      </c>
      <c r="M42" s="6">
        <v>360.85199999999998</v>
      </c>
      <c r="N42" s="6">
        <v>360.85199999999998</v>
      </c>
      <c r="O42" s="6">
        <v>360.85199999999998</v>
      </c>
      <c r="P42" s="6">
        <v>0</v>
      </c>
      <c r="Q42" s="4" t="s">
        <v>26</v>
      </c>
      <c r="R42" s="4">
        <v>0</v>
      </c>
      <c r="S42" s="4" t="s">
        <v>134</v>
      </c>
      <c r="T42" s="4" t="s">
        <v>327</v>
      </c>
      <c r="U42" s="4">
        <v>17</v>
      </c>
      <c r="V42" s="4">
        <v>10</v>
      </c>
      <c r="W42" s="4">
        <v>64</v>
      </c>
    </row>
    <row r="43" spans="1:23" ht="11.25" customHeight="1" x14ac:dyDescent="0.25">
      <c r="A43" s="4" t="s">
        <v>21</v>
      </c>
      <c r="B43" s="4" t="s">
        <v>39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44593</v>
      </c>
      <c r="J43" s="6">
        <v>6156</v>
      </c>
      <c r="K43" s="6">
        <v>6156</v>
      </c>
      <c r="L43" s="6">
        <v>337.88200000000001</v>
      </c>
      <c r="M43" s="6">
        <v>337.88200000000001</v>
      </c>
      <c r="N43" s="6">
        <v>337.88200000000001</v>
      </c>
      <c r="O43" s="6">
        <v>337.88200000000001</v>
      </c>
      <c r="P43" s="6">
        <v>0</v>
      </c>
      <c r="Q43" s="4" t="s">
        <v>26</v>
      </c>
      <c r="R43" s="4">
        <v>0</v>
      </c>
      <c r="S43" s="4" t="s">
        <v>135</v>
      </c>
      <c r="T43" s="4" t="s">
        <v>328</v>
      </c>
      <c r="U43" s="4">
        <v>17</v>
      </c>
      <c r="V43" s="4">
        <v>10</v>
      </c>
      <c r="W43" s="4">
        <v>64</v>
      </c>
    </row>
    <row r="44" spans="1:23" ht="11.25" customHeight="1" x14ac:dyDescent="0.25">
      <c r="A44" s="4" t="s">
        <v>21</v>
      </c>
      <c r="B44" s="4" t="s">
        <v>39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44621</v>
      </c>
      <c r="J44" s="6">
        <v>6176</v>
      </c>
      <c r="K44" s="6">
        <v>6176</v>
      </c>
      <c r="L44" s="6">
        <v>373.58699999999999</v>
      </c>
      <c r="M44" s="6">
        <v>373.58699999999999</v>
      </c>
      <c r="N44" s="6">
        <v>373.58699999999999</v>
      </c>
      <c r="O44" s="6">
        <v>373.58699999999999</v>
      </c>
      <c r="P44" s="6">
        <v>0</v>
      </c>
      <c r="Q44" s="4" t="s">
        <v>26</v>
      </c>
      <c r="R44" s="4">
        <v>0</v>
      </c>
      <c r="S44" s="4" t="s">
        <v>136</v>
      </c>
      <c r="T44" s="4" t="s">
        <v>329</v>
      </c>
      <c r="U44" s="4">
        <v>17</v>
      </c>
      <c r="V44" s="4">
        <v>10</v>
      </c>
      <c r="W44" s="4">
        <v>64</v>
      </c>
    </row>
    <row r="45" spans="1:23" ht="11.25" customHeight="1" x14ac:dyDescent="0.25">
      <c r="A45" s="4" t="s">
        <v>21</v>
      </c>
      <c r="B45" s="4" t="s">
        <v>39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44652</v>
      </c>
      <c r="J45" s="6">
        <v>6169</v>
      </c>
      <c r="K45" s="6">
        <v>6169</v>
      </c>
      <c r="L45" s="6">
        <v>298.16000000000003</v>
      </c>
      <c r="M45" s="6">
        <v>298.16000000000003</v>
      </c>
      <c r="N45" s="6">
        <v>298.16000000000003</v>
      </c>
      <c r="O45" s="6">
        <v>298.16000000000003</v>
      </c>
      <c r="P45" s="6">
        <v>0</v>
      </c>
      <c r="Q45" s="4" t="s">
        <v>26</v>
      </c>
      <c r="R45" s="4">
        <v>0</v>
      </c>
      <c r="S45" s="4" t="s">
        <v>137</v>
      </c>
      <c r="T45" s="4" t="s">
        <v>330</v>
      </c>
      <c r="U45" s="4">
        <v>17</v>
      </c>
      <c r="V45" s="4">
        <v>10</v>
      </c>
      <c r="W45" s="4">
        <v>64</v>
      </c>
    </row>
    <row r="46" spans="1:23" ht="11.25" customHeight="1" x14ac:dyDescent="0.25">
      <c r="A46" s="4" t="s">
        <v>21</v>
      </c>
      <c r="B46" s="4" t="s">
        <v>39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44682</v>
      </c>
      <c r="J46" s="6">
        <v>6061</v>
      </c>
      <c r="K46" s="6">
        <v>6061</v>
      </c>
      <c r="L46" s="6">
        <v>355.01900000000001</v>
      </c>
      <c r="M46" s="6">
        <v>355.01900000000001</v>
      </c>
      <c r="N46" s="6">
        <v>355.01900000000001</v>
      </c>
      <c r="O46" s="6">
        <v>355.01900000000001</v>
      </c>
      <c r="P46" s="6">
        <v>0</v>
      </c>
      <c r="Q46" s="4" t="s">
        <v>26</v>
      </c>
      <c r="R46" s="4">
        <v>0</v>
      </c>
      <c r="S46" s="4" t="s">
        <v>138</v>
      </c>
      <c r="T46" s="4" t="s">
        <v>331</v>
      </c>
      <c r="U46" s="4">
        <v>17</v>
      </c>
      <c r="V46" s="4">
        <v>10</v>
      </c>
      <c r="W46" s="4">
        <v>64</v>
      </c>
    </row>
    <row r="47" spans="1:23" ht="11.25" customHeight="1" x14ac:dyDescent="0.25">
      <c r="A47" s="4" t="s">
        <v>21</v>
      </c>
      <c r="B47" s="4" t="s">
        <v>39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44713</v>
      </c>
      <c r="J47" s="6">
        <v>5950</v>
      </c>
      <c r="K47" s="6">
        <v>5950</v>
      </c>
      <c r="L47" s="6">
        <v>322.58199999999999</v>
      </c>
      <c r="M47" s="6">
        <v>322.58199999999999</v>
      </c>
      <c r="N47" s="6">
        <v>322.58199999999999</v>
      </c>
      <c r="O47" s="6">
        <v>322.58199999999999</v>
      </c>
      <c r="P47" s="6">
        <v>0</v>
      </c>
      <c r="Q47" s="4" t="s">
        <v>26</v>
      </c>
      <c r="R47" s="4">
        <v>0</v>
      </c>
      <c r="S47" s="4" t="s">
        <v>139</v>
      </c>
      <c r="T47" s="4" t="s">
        <v>332</v>
      </c>
      <c r="U47" s="4">
        <v>17</v>
      </c>
      <c r="V47" s="4">
        <v>10</v>
      </c>
      <c r="W47" s="4">
        <v>64</v>
      </c>
    </row>
    <row r="48" spans="1:23" ht="11.25" customHeight="1" x14ac:dyDescent="0.25">
      <c r="A48" s="4" t="s">
        <v>21</v>
      </c>
      <c r="B48" s="4" t="s">
        <v>39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44743</v>
      </c>
      <c r="J48" s="6">
        <v>6156</v>
      </c>
      <c r="K48" s="6">
        <v>6156</v>
      </c>
      <c r="L48" s="6">
        <v>345.2</v>
      </c>
      <c r="M48" s="6">
        <v>345.2</v>
      </c>
      <c r="N48" s="6">
        <v>345.2</v>
      </c>
      <c r="O48" s="6">
        <v>345.2</v>
      </c>
      <c r="P48" s="6">
        <v>0</v>
      </c>
      <c r="Q48" s="4" t="s">
        <v>26</v>
      </c>
      <c r="R48" s="4">
        <v>0</v>
      </c>
      <c r="S48" s="4" t="s">
        <v>140</v>
      </c>
      <c r="T48" s="4" t="s">
        <v>333</v>
      </c>
      <c r="U48" s="4">
        <v>17</v>
      </c>
      <c r="V48" s="4">
        <v>10</v>
      </c>
      <c r="W48" s="4">
        <v>64</v>
      </c>
    </row>
    <row r="49" spans="1:23" ht="11.25" customHeight="1" x14ac:dyDescent="0.25">
      <c r="A49" s="4" t="s">
        <v>57</v>
      </c>
      <c r="B49" s="4" t="s">
        <v>39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44774</v>
      </c>
      <c r="J49" s="6">
        <v>6156</v>
      </c>
      <c r="K49" s="6">
        <v>6156</v>
      </c>
      <c r="L49" s="6">
        <v>345.2</v>
      </c>
      <c r="M49" s="6">
        <v>345.2</v>
      </c>
      <c r="N49" s="6">
        <v>345.2</v>
      </c>
      <c r="O49" s="6">
        <v>345.2</v>
      </c>
      <c r="P49" s="6">
        <v>0</v>
      </c>
      <c r="Q49" s="4" t="s">
        <v>26</v>
      </c>
      <c r="R49" s="4">
        <v>0</v>
      </c>
      <c r="S49" s="4" t="s">
        <v>141</v>
      </c>
      <c r="T49" s="4" t="s">
        <v>334</v>
      </c>
      <c r="U49" s="4">
        <v>17</v>
      </c>
      <c r="V49" s="4">
        <v>10</v>
      </c>
      <c r="W49" s="4">
        <v>64</v>
      </c>
    </row>
    <row r="50" spans="1:23" ht="11.25" customHeight="1" x14ac:dyDescent="0.25">
      <c r="A50" s="4" t="s">
        <v>21</v>
      </c>
      <c r="B50" s="4" t="s">
        <v>39</v>
      </c>
      <c r="C50" s="4" t="s">
        <v>36</v>
      </c>
      <c r="D50" s="4" t="s">
        <v>48</v>
      </c>
      <c r="E50" s="4" t="s">
        <v>49</v>
      </c>
      <c r="F50" s="4" t="s">
        <v>25</v>
      </c>
      <c r="G50" s="4" t="s">
        <v>25</v>
      </c>
      <c r="H50" s="4" t="s">
        <v>38</v>
      </c>
      <c r="I50" s="5">
        <v>44440</v>
      </c>
      <c r="J50" s="6">
        <v>505</v>
      </c>
      <c r="K50" s="6">
        <v>474.7</v>
      </c>
      <c r="L50" s="6">
        <v>145.86699999999999</v>
      </c>
      <c r="M50" s="6">
        <v>137.11497999999997</v>
      </c>
      <c r="N50" s="6">
        <v>145.86699999999999</v>
      </c>
      <c r="O50" s="6">
        <v>137.11497999999997</v>
      </c>
      <c r="P50" s="6">
        <v>0</v>
      </c>
      <c r="Q50" s="4" t="s">
        <v>26</v>
      </c>
      <c r="R50" s="4">
        <v>0</v>
      </c>
      <c r="S50" s="4" t="s">
        <v>118</v>
      </c>
      <c r="T50" s="4" t="s">
        <v>311</v>
      </c>
      <c r="U50" s="4">
        <v>12</v>
      </c>
      <c r="V50" s="4">
        <v>10</v>
      </c>
      <c r="W50" s="4">
        <v>85</v>
      </c>
    </row>
    <row r="51" spans="1:23" ht="11.25" customHeight="1" x14ac:dyDescent="0.25">
      <c r="A51" s="4" t="s">
        <v>21</v>
      </c>
      <c r="B51" s="4" t="s">
        <v>39</v>
      </c>
      <c r="C51" s="4" t="s">
        <v>36</v>
      </c>
      <c r="D51" s="4" t="s">
        <v>48</v>
      </c>
      <c r="E51" s="4" t="s">
        <v>49</v>
      </c>
      <c r="F51" s="4" t="s">
        <v>25</v>
      </c>
      <c r="G51" s="4" t="s">
        <v>25</v>
      </c>
      <c r="H51" s="4" t="s">
        <v>38</v>
      </c>
      <c r="I51" s="5">
        <v>44470</v>
      </c>
      <c r="J51" s="6">
        <v>447</v>
      </c>
      <c r="K51" s="6">
        <v>420.18</v>
      </c>
      <c r="L51" s="6">
        <v>144.97499999999999</v>
      </c>
      <c r="M51" s="6">
        <v>136.2765</v>
      </c>
      <c r="N51" s="6">
        <v>144.97499999999999</v>
      </c>
      <c r="O51" s="6">
        <v>136.2765</v>
      </c>
      <c r="P51" s="6">
        <v>0</v>
      </c>
      <c r="Q51" s="4" t="s">
        <v>26</v>
      </c>
      <c r="R51" s="4">
        <v>0</v>
      </c>
      <c r="S51" s="4" t="s">
        <v>119</v>
      </c>
      <c r="T51" s="4" t="s">
        <v>312</v>
      </c>
      <c r="U51" s="4">
        <v>12</v>
      </c>
      <c r="V51" s="4">
        <v>10</v>
      </c>
      <c r="W51" s="4">
        <v>85</v>
      </c>
    </row>
    <row r="52" spans="1:23" ht="11.25" customHeight="1" x14ac:dyDescent="0.25">
      <c r="A52" s="4" t="s">
        <v>21</v>
      </c>
      <c r="B52" s="4" t="s">
        <v>39</v>
      </c>
      <c r="C52" s="4" t="s">
        <v>36</v>
      </c>
      <c r="D52" s="4" t="s">
        <v>48</v>
      </c>
      <c r="E52" s="4" t="s">
        <v>49</v>
      </c>
      <c r="F52" s="4" t="s">
        <v>25</v>
      </c>
      <c r="G52" s="4" t="s">
        <v>25</v>
      </c>
      <c r="H52" s="4" t="s">
        <v>38</v>
      </c>
      <c r="I52" s="5">
        <v>44501</v>
      </c>
      <c r="J52" s="6">
        <v>447</v>
      </c>
      <c r="K52" s="6">
        <v>420.18</v>
      </c>
      <c r="L52" s="6">
        <v>146.18100000000001</v>
      </c>
      <c r="M52" s="6">
        <v>137.41014000000001</v>
      </c>
      <c r="N52" s="6">
        <v>146.18100000000001</v>
      </c>
      <c r="O52" s="6">
        <v>137.41014000000001</v>
      </c>
      <c r="P52" s="6">
        <v>0</v>
      </c>
      <c r="Q52" s="4" t="s">
        <v>26</v>
      </c>
      <c r="R52" s="4">
        <v>0</v>
      </c>
      <c r="S52" s="4" t="s">
        <v>120</v>
      </c>
      <c r="T52" s="4" t="s">
        <v>313</v>
      </c>
      <c r="U52" s="4">
        <v>12</v>
      </c>
      <c r="V52" s="4">
        <v>10</v>
      </c>
      <c r="W52" s="4">
        <v>85</v>
      </c>
    </row>
    <row r="53" spans="1:23" ht="11.25" customHeight="1" x14ac:dyDescent="0.25">
      <c r="A53" s="4" t="s">
        <v>21</v>
      </c>
      <c r="B53" s="4" t="s">
        <v>39</v>
      </c>
      <c r="C53" s="4" t="s">
        <v>36</v>
      </c>
      <c r="D53" s="4" t="s">
        <v>48</v>
      </c>
      <c r="E53" s="4" t="s">
        <v>49</v>
      </c>
      <c r="F53" s="4" t="s">
        <v>25</v>
      </c>
      <c r="G53" s="4" t="s">
        <v>25</v>
      </c>
      <c r="H53" s="4" t="s">
        <v>38</v>
      </c>
      <c r="I53" s="5">
        <v>44531</v>
      </c>
      <c r="J53" s="6">
        <v>447</v>
      </c>
      <c r="K53" s="6">
        <v>420.18</v>
      </c>
      <c r="L53" s="6">
        <v>145.358</v>
      </c>
      <c r="M53" s="6">
        <v>136.63651999999999</v>
      </c>
      <c r="N53" s="6">
        <v>145.358</v>
      </c>
      <c r="O53" s="6">
        <v>136.63651999999999</v>
      </c>
      <c r="P53" s="6">
        <v>0</v>
      </c>
      <c r="Q53" s="4" t="s">
        <v>26</v>
      </c>
      <c r="R53" s="4">
        <v>0</v>
      </c>
      <c r="S53" s="4" t="s">
        <v>121</v>
      </c>
      <c r="T53" s="4" t="s">
        <v>314</v>
      </c>
      <c r="U53" s="4">
        <v>12</v>
      </c>
      <c r="V53" s="4">
        <v>10</v>
      </c>
      <c r="W53" s="4">
        <v>85</v>
      </c>
    </row>
    <row r="54" spans="1:23" ht="11.25" customHeight="1" x14ac:dyDescent="0.25">
      <c r="A54" s="4" t="s">
        <v>21</v>
      </c>
      <c r="B54" s="4" t="s">
        <v>39</v>
      </c>
      <c r="C54" s="4" t="s">
        <v>36</v>
      </c>
      <c r="D54" s="4" t="s">
        <v>48</v>
      </c>
      <c r="E54" s="4" t="s">
        <v>49</v>
      </c>
      <c r="F54" s="4" t="s">
        <v>25</v>
      </c>
      <c r="G54" s="4" t="s">
        <v>25</v>
      </c>
      <c r="H54" s="4" t="s">
        <v>38</v>
      </c>
      <c r="I54" s="5">
        <v>44562</v>
      </c>
      <c r="J54" s="6">
        <v>447</v>
      </c>
      <c r="K54" s="6">
        <v>420.18</v>
      </c>
      <c r="L54" s="6">
        <v>150.84800000000001</v>
      </c>
      <c r="M54" s="6">
        <v>141.79712000000001</v>
      </c>
      <c r="N54" s="6">
        <v>150.84800000000001</v>
      </c>
      <c r="O54" s="6">
        <v>141.79712000000001</v>
      </c>
      <c r="P54" s="6">
        <v>0</v>
      </c>
      <c r="Q54" s="4" t="s">
        <v>26</v>
      </c>
      <c r="R54" s="4">
        <v>0</v>
      </c>
      <c r="S54" s="4" t="s">
        <v>122</v>
      </c>
      <c r="T54" s="4" t="s">
        <v>315</v>
      </c>
      <c r="U54" s="4">
        <v>12</v>
      </c>
      <c r="V54" s="4">
        <v>10</v>
      </c>
      <c r="W54" s="4">
        <v>85</v>
      </c>
    </row>
    <row r="55" spans="1:23" ht="11.25" customHeight="1" x14ac:dyDescent="0.25">
      <c r="A55" s="4" t="s">
        <v>21</v>
      </c>
      <c r="B55" s="4" t="s">
        <v>39</v>
      </c>
      <c r="C55" s="4" t="s">
        <v>36</v>
      </c>
      <c r="D55" s="4" t="s">
        <v>48</v>
      </c>
      <c r="E55" s="4" t="s">
        <v>49</v>
      </c>
      <c r="F55" s="4" t="s">
        <v>25</v>
      </c>
      <c r="G55" s="4" t="s">
        <v>25</v>
      </c>
      <c r="H55" s="4" t="s">
        <v>38</v>
      </c>
      <c r="I55" s="5">
        <v>44593</v>
      </c>
      <c r="J55" s="6">
        <v>447</v>
      </c>
      <c r="K55" s="6">
        <v>420.18</v>
      </c>
      <c r="L55" s="6">
        <v>148.161</v>
      </c>
      <c r="M55" s="6">
        <v>139.27134000000001</v>
      </c>
      <c r="N55" s="6">
        <v>148.161</v>
      </c>
      <c r="O55" s="6">
        <v>139.27134000000001</v>
      </c>
      <c r="P55" s="6">
        <v>0</v>
      </c>
      <c r="Q55" s="4" t="s">
        <v>26</v>
      </c>
      <c r="R55" s="4">
        <v>0</v>
      </c>
      <c r="S55" s="4" t="s">
        <v>123</v>
      </c>
      <c r="T55" s="4" t="s">
        <v>316</v>
      </c>
      <c r="U55" s="4">
        <v>12</v>
      </c>
      <c r="V55" s="4">
        <v>10</v>
      </c>
      <c r="W55" s="4">
        <v>85</v>
      </c>
    </row>
    <row r="56" spans="1:23" ht="11.25" customHeight="1" x14ac:dyDescent="0.25">
      <c r="A56" s="4" t="s">
        <v>21</v>
      </c>
      <c r="B56" s="4" t="s">
        <v>39</v>
      </c>
      <c r="C56" s="4" t="s">
        <v>36</v>
      </c>
      <c r="D56" s="4" t="s">
        <v>48</v>
      </c>
      <c r="E56" s="4" t="s">
        <v>49</v>
      </c>
      <c r="F56" s="4" t="s">
        <v>25</v>
      </c>
      <c r="G56" s="4" t="s">
        <v>25</v>
      </c>
      <c r="H56" s="4" t="s">
        <v>38</v>
      </c>
      <c r="I56" s="5">
        <v>44621</v>
      </c>
      <c r="J56" s="6">
        <v>447</v>
      </c>
      <c r="K56" s="6">
        <v>420.18</v>
      </c>
      <c r="L56" s="6">
        <v>160.24100000000001</v>
      </c>
      <c r="M56" s="6">
        <v>150.62654000000001</v>
      </c>
      <c r="N56" s="6">
        <v>160.24100000000001</v>
      </c>
      <c r="O56" s="6">
        <v>150.62654000000001</v>
      </c>
      <c r="P56" s="6">
        <v>0</v>
      </c>
      <c r="Q56" s="4" t="s">
        <v>26</v>
      </c>
      <c r="R56" s="4">
        <v>0</v>
      </c>
      <c r="S56" s="4" t="s">
        <v>124</v>
      </c>
      <c r="T56" s="4" t="s">
        <v>317</v>
      </c>
      <c r="U56" s="4">
        <v>12</v>
      </c>
      <c r="V56" s="4">
        <v>10</v>
      </c>
      <c r="W56" s="4">
        <v>85</v>
      </c>
    </row>
    <row r="57" spans="1:23" ht="11.25" customHeight="1" x14ac:dyDescent="0.25">
      <c r="A57" s="4" t="s">
        <v>21</v>
      </c>
      <c r="B57" s="4" t="s">
        <v>39</v>
      </c>
      <c r="C57" s="4" t="s">
        <v>36</v>
      </c>
      <c r="D57" s="4" t="s">
        <v>48</v>
      </c>
      <c r="E57" s="4" t="s">
        <v>49</v>
      </c>
      <c r="F57" s="4" t="s">
        <v>25</v>
      </c>
      <c r="G57" s="4" t="s">
        <v>25</v>
      </c>
      <c r="H57" s="4" t="s">
        <v>38</v>
      </c>
      <c r="I57" s="5">
        <v>44652</v>
      </c>
      <c r="J57" s="6">
        <v>447</v>
      </c>
      <c r="K57" s="6">
        <v>420.18</v>
      </c>
      <c r="L57" s="6">
        <v>137.077</v>
      </c>
      <c r="M57" s="6">
        <v>128.85238000000001</v>
      </c>
      <c r="N57" s="6">
        <v>137.077</v>
      </c>
      <c r="O57" s="6">
        <v>128.85238000000001</v>
      </c>
      <c r="P57" s="6">
        <v>0</v>
      </c>
      <c r="Q57" s="4" t="s">
        <v>26</v>
      </c>
      <c r="R57" s="4">
        <v>0</v>
      </c>
      <c r="S57" s="4" t="s">
        <v>125</v>
      </c>
      <c r="T57" s="4" t="s">
        <v>318</v>
      </c>
      <c r="U57" s="4">
        <v>12</v>
      </c>
      <c r="V57" s="4">
        <v>10</v>
      </c>
      <c r="W57" s="4">
        <v>85</v>
      </c>
    </row>
    <row r="58" spans="1:23" ht="11.25" customHeight="1" x14ac:dyDescent="0.25">
      <c r="A58" s="4" t="s">
        <v>21</v>
      </c>
      <c r="B58" s="4" t="s">
        <v>39</v>
      </c>
      <c r="C58" s="4" t="s">
        <v>36</v>
      </c>
      <c r="D58" s="4" t="s">
        <v>48</v>
      </c>
      <c r="E58" s="4" t="s">
        <v>49</v>
      </c>
      <c r="F58" s="4" t="s">
        <v>25</v>
      </c>
      <c r="G58" s="4" t="s">
        <v>25</v>
      </c>
      <c r="H58" s="4" t="s">
        <v>38</v>
      </c>
      <c r="I58" s="5">
        <v>44682</v>
      </c>
      <c r="J58" s="6">
        <v>497</v>
      </c>
      <c r="K58" s="6">
        <v>467.18</v>
      </c>
      <c r="L58" s="6">
        <v>130.45599999999999</v>
      </c>
      <c r="M58" s="6">
        <v>122.62864</v>
      </c>
      <c r="N58" s="6">
        <v>130.45599999999999</v>
      </c>
      <c r="O58" s="6">
        <v>122.62864</v>
      </c>
      <c r="P58" s="6">
        <v>0</v>
      </c>
      <c r="Q58" s="4" t="s">
        <v>26</v>
      </c>
      <c r="R58" s="4">
        <v>0</v>
      </c>
      <c r="S58" s="4" t="s">
        <v>126</v>
      </c>
      <c r="T58" s="4" t="s">
        <v>319</v>
      </c>
      <c r="U58" s="4">
        <v>12</v>
      </c>
      <c r="V58" s="4">
        <v>10</v>
      </c>
      <c r="W58" s="4">
        <v>85</v>
      </c>
    </row>
    <row r="59" spans="1:23" ht="11.25" customHeight="1" x14ac:dyDescent="0.25">
      <c r="A59" s="4" t="s">
        <v>21</v>
      </c>
      <c r="B59" s="4" t="s">
        <v>39</v>
      </c>
      <c r="C59" s="4" t="s">
        <v>36</v>
      </c>
      <c r="D59" s="4" t="s">
        <v>48</v>
      </c>
      <c r="E59" s="4" t="s">
        <v>49</v>
      </c>
      <c r="F59" s="4" t="s">
        <v>25</v>
      </c>
      <c r="G59" s="4" t="s">
        <v>25</v>
      </c>
      <c r="H59" s="4" t="s">
        <v>38</v>
      </c>
      <c r="I59" s="5">
        <v>44713</v>
      </c>
      <c r="J59" s="6">
        <v>497</v>
      </c>
      <c r="K59" s="6">
        <v>467.18</v>
      </c>
      <c r="L59" s="6">
        <v>136.583</v>
      </c>
      <c r="M59" s="6">
        <v>128.38802000000001</v>
      </c>
      <c r="N59" s="6">
        <v>136.583</v>
      </c>
      <c r="O59" s="6">
        <v>128.38802000000001</v>
      </c>
      <c r="P59" s="6">
        <v>0</v>
      </c>
      <c r="Q59" s="4" t="s">
        <v>26</v>
      </c>
      <c r="R59" s="4">
        <v>0</v>
      </c>
      <c r="S59" s="4" t="s">
        <v>127</v>
      </c>
      <c r="T59" s="4" t="s">
        <v>320</v>
      </c>
      <c r="U59" s="4">
        <v>12</v>
      </c>
      <c r="V59" s="4">
        <v>10</v>
      </c>
      <c r="W59" s="4">
        <v>85</v>
      </c>
    </row>
    <row r="60" spans="1:23" ht="11.25" customHeight="1" x14ac:dyDescent="0.25">
      <c r="A60" s="4" t="s">
        <v>21</v>
      </c>
      <c r="B60" s="4" t="s">
        <v>39</v>
      </c>
      <c r="C60" s="4" t="s">
        <v>36</v>
      </c>
      <c r="D60" s="4" t="s">
        <v>48</v>
      </c>
      <c r="E60" s="4" t="s">
        <v>49</v>
      </c>
      <c r="F60" s="4" t="s">
        <v>25</v>
      </c>
      <c r="G60" s="4" t="s">
        <v>25</v>
      </c>
      <c r="H60" s="4" t="s">
        <v>38</v>
      </c>
      <c r="I60" s="5">
        <v>44743</v>
      </c>
      <c r="J60" s="6">
        <v>497</v>
      </c>
      <c r="K60" s="6">
        <v>467.18</v>
      </c>
      <c r="L60" s="6">
        <v>162.51599999999999</v>
      </c>
      <c r="M60" s="6">
        <v>152.76504</v>
      </c>
      <c r="N60" s="6">
        <v>162.51599999999999</v>
      </c>
      <c r="O60" s="6">
        <v>152.76504</v>
      </c>
      <c r="P60" s="6">
        <v>0</v>
      </c>
      <c r="Q60" s="4" t="s">
        <v>26</v>
      </c>
      <c r="R60" s="4">
        <v>0</v>
      </c>
      <c r="S60" s="4" t="s">
        <v>128</v>
      </c>
      <c r="T60" s="4" t="s">
        <v>321</v>
      </c>
      <c r="U60" s="4">
        <v>12</v>
      </c>
      <c r="V60" s="4">
        <v>10</v>
      </c>
      <c r="W60" s="4">
        <v>85</v>
      </c>
    </row>
    <row r="61" spans="1:23" ht="11.25" customHeight="1" x14ac:dyDescent="0.25">
      <c r="A61" s="4" t="s">
        <v>57</v>
      </c>
      <c r="B61" s="4" t="s">
        <v>39</v>
      </c>
      <c r="C61" s="4" t="s">
        <v>36</v>
      </c>
      <c r="D61" s="4" t="s">
        <v>48</v>
      </c>
      <c r="E61" s="4" t="s">
        <v>49</v>
      </c>
      <c r="F61" s="4" t="s">
        <v>25</v>
      </c>
      <c r="G61" s="4" t="s">
        <v>25</v>
      </c>
      <c r="H61" s="4" t="s">
        <v>38</v>
      </c>
      <c r="I61" s="5">
        <v>44774</v>
      </c>
      <c r="J61" s="6">
        <v>497</v>
      </c>
      <c r="K61" s="6">
        <v>467.18</v>
      </c>
      <c r="L61" s="6">
        <v>162.51599999999999</v>
      </c>
      <c r="M61" s="6">
        <v>152.76504</v>
      </c>
      <c r="N61" s="6">
        <v>162.51599999999999</v>
      </c>
      <c r="O61" s="6">
        <v>152.76504</v>
      </c>
      <c r="P61" s="6">
        <v>0</v>
      </c>
      <c r="Q61" s="4" t="s">
        <v>26</v>
      </c>
      <c r="R61" s="4">
        <v>0</v>
      </c>
      <c r="S61" s="4" t="s">
        <v>129</v>
      </c>
      <c r="T61" s="4" t="s">
        <v>322</v>
      </c>
      <c r="U61" s="4">
        <v>12</v>
      </c>
      <c r="V61" s="4">
        <v>10</v>
      </c>
      <c r="W61" s="4">
        <v>85</v>
      </c>
    </row>
    <row r="62" spans="1:23" ht="11.25" customHeight="1" x14ac:dyDescent="0.25">
      <c r="A62" s="4" t="s">
        <v>21</v>
      </c>
      <c r="B62" s="4" t="s">
        <v>39</v>
      </c>
      <c r="C62" s="4" t="s">
        <v>36</v>
      </c>
      <c r="D62" s="4" t="s">
        <v>48</v>
      </c>
      <c r="E62" s="4" t="s">
        <v>49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507</v>
      </c>
      <c r="K62" s="6">
        <v>476.58</v>
      </c>
      <c r="L62" s="6">
        <v>18.385000000000002</v>
      </c>
      <c r="M62" s="6">
        <v>17.2819</v>
      </c>
      <c r="N62" s="6">
        <v>18.385000000000002</v>
      </c>
      <c r="O62" s="6">
        <v>17.2819</v>
      </c>
      <c r="P62" s="6">
        <v>0</v>
      </c>
      <c r="Q62" s="4" t="s">
        <v>26</v>
      </c>
      <c r="R62" s="4">
        <v>0</v>
      </c>
      <c r="S62" s="4" t="s">
        <v>130</v>
      </c>
      <c r="T62" s="4" t="s">
        <v>323</v>
      </c>
      <c r="U62" s="4">
        <v>17</v>
      </c>
      <c r="V62" s="4">
        <v>10</v>
      </c>
      <c r="W62" s="4">
        <v>64</v>
      </c>
    </row>
    <row r="63" spans="1:23" ht="11.25" customHeight="1" x14ac:dyDescent="0.25">
      <c r="A63" s="4" t="s">
        <v>21</v>
      </c>
      <c r="B63" s="4" t="s">
        <v>39</v>
      </c>
      <c r="C63" s="4" t="s">
        <v>36</v>
      </c>
      <c r="D63" s="4" t="s">
        <v>48</v>
      </c>
      <c r="E63" s="4" t="s">
        <v>49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403</v>
      </c>
      <c r="K63" s="6">
        <v>378.82</v>
      </c>
      <c r="L63" s="6">
        <v>19.538</v>
      </c>
      <c r="M63" s="6">
        <v>18.36572</v>
      </c>
      <c r="N63" s="6">
        <v>19.538</v>
      </c>
      <c r="O63" s="6">
        <v>18.36572</v>
      </c>
      <c r="P63" s="6">
        <v>0</v>
      </c>
      <c r="Q63" s="4" t="s">
        <v>26</v>
      </c>
      <c r="R63" s="4">
        <v>0</v>
      </c>
      <c r="S63" s="4" t="s">
        <v>131</v>
      </c>
      <c r="T63" s="4" t="s">
        <v>324</v>
      </c>
      <c r="U63" s="4">
        <v>17</v>
      </c>
      <c r="V63" s="4">
        <v>10</v>
      </c>
      <c r="W63" s="4">
        <v>64</v>
      </c>
    </row>
    <row r="64" spans="1:23" ht="11.25" customHeight="1" x14ac:dyDescent="0.25">
      <c r="A64" s="4" t="s">
        <v>21</v>
      </c>
      <c r="B64" s="4" t="s">
        <v>39</v>
      </c>
      <c r="C64" s="4" t="s">
        <v>36</v>
      </c>
      <c r="D64" s="4" t="s">
        <v>48</v>
      </c>
      <c r="E64" s="4" t="s">
        <v>49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401</v>
      </c>
      <c r="K64" s="6">
        <v>376.94</v>
      </c>
      <c r="L64" s="6">
        <v>18.024000000000001</v>
      </c>
      <c r="M64" s="6">
        <v>16.94256</v>
      </c>
      <c r="N64" s="6">
        <v>18.024000000000001</v>
      </c>
      <c r="O64" s="6">
        <v>16.94256</v>
      </c>
      <c r="P64" s="6">
        <v>0</v>
      </c>
      <c r="Q64" s="4" t="s">
        <v>26</v>
      </c>
      <c r="R64" s="4">
        <v>0</v>
      </c>
      <c r="S64" s="4" t="s">
        <v>132</v>
      </c>
      <c r="T64" s="4" t="s">
        <v>325</v>
      </c>
      <c r="U64" s="4">
        <v>17</v>
      </c>
      <c r="V64" s="4">
        <v>10</v>
      </c>
      <c r="W64" s="4">
        <v>64</v>
      </c>
    </row>
    <row r="65" spans="1:23" ht="11.25" customHeight="1" x14ac:dyDescent="0.25">
      <c r="A65" s="4" t="s">
        <v>21</v>
      </c>
      <c r="B65" s="4" t="s">
        <v>39</v>
      </c>
      <c r="C65" s="4" t="s">
        <v>36</v>
      </c>
      <c r="D65" s="4" t="s">
        <v>48</v>
      </c>
      <c r="E65" s="4" t="s">
        <v>49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386</v>
      </c>
      <c r="K65" s="6">
        <v>362.84</v>
      </c>
      <c r="L65" s="6">
        <v>21.445</v>
      </c>
      <c r="M65" s="6">
        <v>20.158300000000001</v>
      </c>
      <c r="N65" s="6">
        <v>21.445</v>
      </c>
      <c r="O65" s="6">
        <v>20.158300000000001</v>
      </c>
      <c r="P65" s="6">
        <v>0</v>
      </c>
      <c r="Q65" s="4" t="s">
        <v>26</v>
      </c>
      <c r="R65" s="4">
        <v>0</v>
      </c>
      <c r="S65" s="4" t="s">
        <v>133</v>
      </c>
      <c r="T65" s="4" t="s">
        <v>326</v>
      </c>
      <c r="U65" s="4">
        <v>17</v>
      </c>
      <c r="V65" s="4">
        <v>10</v>
      </c>
      <c r="W65" s="4">
        <v>64</v>
      </c>
    </row>
    <row r="66" spans="1:23" ht="11.25" customHeight="1" x14ac:dyDescent="0.25">
      <c r="A66" s="4" t="s">
        <v>21</v>
      </c>
      <c r="B66" s="4" t="s">
        <v>39</v>
      </c>
      <c r="C66" s="4" t="s">
        <v>36</v>
      </c>
      <c r="D66" s="4" t="s">
        <v>48</v>
      </c>
      <c r="E66" s="4" t="s">
        <v>49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387</v>
      </c>
      <c r="K66" s="6">
        <v>363.78</v>
      </c>
      <c r="L66" s="6">
        <v>18.664000000000001</v>
      </c>
      <c r="M66" s="6">
        <v>17.544160000000002</v>
      </c>
      <c r="N66" s="6">
        <v>18.664000000000001</v>
      </c>
      <c r="O66" s="6">
        <v>17.544160000000002</v>
      </c>
      <c r="P66" s="6">
        <v>0</v>
      </c>
      <c r="Q66" s="4" t="s">
        <v>26</v>
      </c>
      <c r="R66" s="4">
        <v>0</v>
      </c>
      <c r="S66" s="4" t="s">
        <v>134</v>
      </c>
      <c r="T66" s="4" t="s">
        <v>327</v>
      </c>
      <c r="U66" s="4">
        <v>17</v>
      </c>
      <c r="V66" s="4">
        <v>10</v>
      </c>
      <c r="W66" s="4">
        <v>64</v>
      </c>
    </row>
    <row r="67" spans="1:23" ht="11.25" customHeight="1" x14ac:dyDescent="0.25">
      <c r="A67" s="4" t="s">
        <v>21</v>
      </c>
      <c r="B67" s="4" t="s">
        <v>39</v>
      </c>
      <c r="C67" s="4" t="s">
        <v>36</v>
      </c>
      <c r="D67" s="4" t="s">
        <v>48</v>
      </c>
      <c r="E67" s="4" t="s">
        <v>49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405</v>
      </c>
      <c r="K67" s="6">
        <v>380.7</v>
      </c>
      <c r="L67" s="6">
        <v>17.995000000000001</v>
      </c>
      <c r="M67" s="6">
        <v>16.915299999999998</v>
      </c>
      <c r="N67" s="6">
        <v>17.995000000000001</v>
      </c>
      <c r="O67" s="6">
        <v>16.915299999999998</v>
      </c>
      <c r="P67" s="6">
        <v>0</v>
      </c>
      <c r="Q67" s="4" t="s">
        <v>26</v>
      </c>
      <c r="R67" s="4">
        <v>0</v>
      </c>
      <c r="S67" s="4" t="s">
        <v>135</v>
      </c>
      <c r="T67" s="4" t="s">
        <v>328</v>
      </c>
      <c r="U67" s="4">
        <v>17</v>
      </c>
      <c r="V67" s="4">
        <v>10</v>
      </c>
      <c r="W67" s="4">
        <v>64</v>
      </c>
    </row>
    <row r="68" spans="1:23" ht="11.25" customHeight="1" x14ac:dyDescent="0.25">
      <c r="A68" s="4" t="s">
        <v>21</v>
      </c>
      <c r="B68" s="4" t="s">
        <v>39</v>
      </c>
      <c r="C68" s="4" t="s">
        <v>36</v>
      </c>
      <c r="D68" s="4" t="s">
        <v>48</v>
      </c>
      <c r="E68" s="4" t="s">
        <v>49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415</v>
      </c>
      <c r="K68" s="6">
        <v>390.1</v>
      </c>
      <c r="L68" s="6">
        <v>21.170999999999999</v>
      </c>
      <c r="M68" s="6">
        <v>19.900739999999999</v>
      </c>
      <c r="N68" s="6">
        <v>21.170999999999999</v>
      </c>
      <c r="O68" s="6">
        <v>19.900739999999999</v>
      </c>
      <c r="P68" s="6">
        <v>0</v>
      </c>
      <c r="Q68" s="4" t="s">
        <v>26</v>
      </c>
      <c r="R68" s="4">
        <v>0</v>
      </c>
      <c r="S68" s="4" t="s">
        <v>136</v>
      </c>
      <c r="T68" s="4" t="s">
        <v>329</v>
      </c>
      <c r="U68" s="4">
        <v>17</v>
      </c>
      <c r="V68" s="4">
        <v>10</v>
      </c>
      <c r="W68" s="4">
        <v>64</v>
      </c>
    </row>
    <row r="69" spans="1:23" ht="11.25" customHeight="1" x14ac:dyDescent="0.25">
      <c r="A69" s="4" t="s">
        <v>21</v>
      </c>
      <c r="B69" s="4" t="s">
        <v>39</v>
      </c>
      <c r="C69" s="4" t="s">
        <v>36</v>
      </c>
      <c r="D69" s="4" t="s">
        <v>48</v>
      </c>
      <c r="E69" s="4" t="s">
        <v>49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382</v>
      </c>
      <c r="K69" s="6">
        <v>359.08</v>
      </c>
      <c r="L69" s="6">
        <v>17.343</v>
      </c>
      <c r="M69" s="6">
        <v>16.302420000000001</v>
      </c>
      <c r="N69" s="6">
        <v>17.343</v>
      </c>
      <c r="O69" s="6">
        <v>16.302420000000001</v>
      </c>
      <c r="P69" s="6">
        <v>0</v>
      </c>
      <c r="Q69" s="4" t="s">
        <v>26</v>
      </c>
      <c r="R69" s="4">
        <v>0</v>
      </c>
      <c r="S69" s="4" t="s">
        <v>137</v>
      </c>
      <c r="T69" s="4" t="s">
        <v>330</v>
      </c>
      <c r="U69" s="4">
        <v>17</v>
      </c>
      <c r="V69" s="4">
        <v>10</v>
      </c>
      <c r="W69" s="4">
        <v>64</v>
      </c>
    </row>
    <row r="70" spans="1:23" ht="11.25" customHeight="1" x14ac:dyDescent="0.25">
      <c r="A70" s="4" t="s">
        <v>21</v>
      </c>
      <c r="B70" s="4" t="s">
        <v>39</v>
      </c>
      <c r="C70" s="4" t="s">
        <v>36</v>
      </c>
      <c r="D70" s="4" t="s">
        <v>48</v>
      </c>
      <c r="E70" s="4" t="s">
        <v>49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497</v>
      </c>
      <c r="K70" s="6">
        <v>467.18</v>
      </c>
      <c r="L70" s="6">
        <v>15.837999999999999</v>
      </c>
      <c r="M70" s="6">
        <v>14.88772</v>
      </c>
      <c r="N70" s="6">
        <v>15.837999999999999</v>
      </c>
      <c r="O70" s="6">
        <v>14.88772</v>
      </c>
      <c r="P70" s="6">
        <v>0</v>
      </c>
      <c r="Q70" s="4" t="s">
        <v>26</v>
      </c>
      <c r="R70" s="4">
        <v>0</v>
      </c>
      <c r="S70" s="4" t="s">
        <v>138</v>
      </c>
      <c r="T70" s="4" t="s">
        <v>331</v>
      </c>
      <c r="U70" s="4">
        <v>17</v>
      </c>
      <c r="V70" s="4">
        <v>10</v>
      </c>
      <c r="W70" s="4">
        <v>64</v>
      </c>
    </row>
    <row r="71" spans="1:23" ht="11.25" customHeight="1" x14ac:dyDescent="0.25">
      <c r="A71" s="4" t="s">
        <v>21</v>
      </c>
      <c r="B71" s="4" t="s">
        <v>39</v>
      </c>
      <c r="C71" s="4" t="s">
        <v>36</v>
      </c>
      <c r="D71" s="4" t="s">
        <v>48</v>
      </c>
      <c r="E71" s="4" t="s">
        <v>49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497</v>
      </c>
      <c r="K71" s="6">
        <v>467.18</v>
      </c>
      <c r="L71" s="6">
        <v>15.795</v>
      </c>
      <c r="M71" s="6">
        <v>14.847300000000001</v>
      </c>
      <c r="N71" s="6">
        <v>15.795</v>
      </c>
      <c r="O71" s="6">
        <v>14.847300000000001</v>
      </c>
      <c r="P71" s="6">
        <v>0</v>
      </c>
      <c r="Q71" s="4" t="s">
        <v>26</v>
      </c>
      <c r="R71" s="4">
        <v>0</v>
      </c>
      <c r="S71" s="4" t="s">
        <v>139</v>
      </c>
      <c r="T71" s="4" t="s">
        <v>332</v>
      </c>
      <c r="U71" s="4">
        <v>17</v>
      </c>
      <c r="V71" s="4">
        <v>10</v>
      </c>
      <c r="W71" s="4">
        <v>64</v>
      </c>
    </row>
    <row r="72" spans="1:23" ht="11.25" customHeight="1" x14ac:dyDescent="0.25">
      <c r="A72" s="4" t="s">
        <v>21</v>
      </c>
      <c r="B72" s="4" t="s">
        <v>39</v>
      </c>
      <c r="C72" s="4" t="s">
        <v>36</v>
      </c>
      <c r="D72" s="4" t="s">
        <v>48</v>
      </c>
      <c r="E72" s="4" t="s">
        <v>49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497</v>
      </c>
      <c r="K72" s="6">
        <v>467.18</v>
      </c>
      <c r="L72" s="6">
        <v>20.617999999999999</v>
      </c>
      <c r="M72" s="6">
        <v>19.38092</v>
      </c>
      <c r="N72" s="6">
        <v>20.617999999999999</v>
      </c>
      <c r="O72" s="6">
        <v>19.38092</v>
      </c>
      <c r="P72" s="6">
        <v>0</v>
      </c>
      <c r="Q72" s="4" t="s">
        <v>26</v>
      </c>
      <c r="R72" s="4">
        <v>0</v>
      </c>
      <c r="S72" s="4" t="s">
        <v>140</v>
      </c>
      <c r="T72" s="4" t="s">
        <v>333</v>
      </c>
      <c r="U72" s="4">
        <v>17</v>
      </c>
      <c r="V72" s="4">
        <v>10</v>
      </c>
      <c r="W72" s="4">
        <v>64</v>
      </c>
    </row>
    <row r="73" spans="1:23" ht="11.25" customHeight="1" x14ac:dyDescent="0.25">
      <c r="A73" s="4" t="s">
        <v>57</v>
      </c>
      <c r="B73" s="4" t="s">
        <v>39</v>
      </c>
      <c r="C73" s="4" t="s">
        <v>36</v>
      </c>
      <c r="D73" s="4" t="s">
        <v>48</v>
      </c>
      <c r="E73" s="4" t="s">
        <v>49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497</v>
      </c>
      <c r="K73" s="6">
        <v>467.18</v>
      </c>
      <c r="L73" s="6">
        <v>20.617999999999999</v>
      </c>
      <c r="M73" s="6">
        <v>19.38092</v>
      </c>
      <c r="N73" s="6">
        <v>20.617999999999999</v>
      </c>
      <c r="O73" s="6">
        <v>19.38092</v>
      </c>
      <c r="P73" s="6">
        <v>0</v>
      </c>
      <c r="Q73" s="4" t="s">
        <v>26</v>
      </c>
      <c r="R73" s="4">
        <v>0</v>
      </c>
      <c r="S73" s="4" t="s">
        <v>141</v>
      </c>
      <c r="T73" s="4" t="s">
        <v>334</v>
      </c>
      <c r="U73" s="4">
        <v>17</v>
      </c>
      <c r="V73" s="4">
        <v>10</v>
      </c>
      <c r="W73" s="4">
        <v>64</v>
      </c>
    </row>
    <row r="74" spans="1:23" ht="11.25" customHeight="1" x14ac:dyDescent="0.25">
      <c r="A74" s="4" t="s">
        <v>21</v>
      </c>
      <c r="B74" s="4" t="s">
        <v>39</v>
      </c>
      <c r="C74" s="4" t="s">
        <v>40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0</v>
      </c>
      <c r="K74" s="6">
        <v>0</v>
      </c>
      <c r="L74" s="6">
        <v>402.84899999999999</v>
      </c>
      <c r="M74" s="6">
        <v>402.84899999999999</v>
      </c>
      <c r="N74" s="6">
        <v>402.84899999999999</v>
      </c>
      <c r="O74" s="6">
        <v>402.84899999999999</v>
      </c>
      <c r="P74" s="6">
        <v>0</v>
      </c>
      <c r="Q74" s="4" t="s">
        <v>26</v>
      </c>
      <c r="R74" s="4">
        <v>0</v>
      </c>
      <c r="S74" s="4" t="s">
        <v>142</v>
      </c>
      <c r="T74" s="4" t="s">
        <v>311</v>
      </c>
      <c r="U74" s="4">
        <v>0</v>
      </c>
      <c r="V74" s="4">
        <v>3</v>
      </c>
      <c r="W74" s="4">
        <v>85</v>
      </c>
    </row>
    <row r="75" spans="1:23" ht="11.25" customHeight="1" x14ac:dyDescent="0.25">
      <c r="A75" s="4" t="s">
        <v>21</v>
      </c>
      <c r="B75" s="4" t="s">
        <v>39</v>
      </c>
      <c r="C75" s="4" t="s">
        <v>40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44470</v>
      </c>
      <c r="J75" s="6">
        <v>0</v>
      </c>
      <c r="K75" s="6">
        <v>0</v>
      </c>
      <c r="L75" s="6">
        <v>414.13499999999999</v>
      </c>
      <c r="M75" s="6">
        <v>414.13499999999999</v>
      </c>
      <c r="N75" s="6">
        <v>414.13499999999999</v>
      </c>
      <c r="O75" s="6">
        <v>414.13499999999999</v>
      </c>
      <c r="P75" s="6">
        <v>0</v>
      </c>
      <c r="Q75" s="4" t="s">
        <v>26</v>
      </c>
      <c r="R75" s="4">
        <v>0</v>
      </c>
      <c r="S75" s="4" t="s">
        <v>143</v>
      </c>
      <c r="T75" s="4" t="s">
        <v>312</v>
      </c>
      <c r="U75" s="4">
        <v>0</v>
      </c>
      <c r="V75" s="4">
        <v>3</v>
      </c>
      <c r="W75" s="4">
        <v>85</v>
      </c>
    </row>
    <row r="76" spans="1:23" ht="11.25" customHeight="1" x14ac:dyDescent="0.25">
      <c r="A76" s="4" t="s">
        <v>21</v>
      </c>
      <c r="B76" s="4" t="s">
        <v>39</v>
      </c>
      <c r="C76" s="4" t="s">
        <v>40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44501</v>
      </c>
      <c r="J76" s="6">
        <v>0</v>
      </c>
      <c r="K76" s="6">
        <v>0</v>
      </c>
      <c r="L76" s="6">
        <v>443.66300000000001</v>
      </c>
      <c r="M76" s="6">
        <v>443.66300000000001</v>
      </c>
      <c r="N76" s="6">
        <v>443.66300000000001</v>
      </c>
      <c r="O76" s="6">
        <v>443.66300000000001</v>
      </c>
      <c r="P76" s="6">
        <v>0</v>
      </c>
      <c r="Q76" s="4" t="s">
        <v>26</v>
      </c>
      <c r="R76" s="4">
        <v>0</v>
      </c>
      <c r="S76" s="4" t="s">
        <v>144</v>
      </c>
      <c r="T76" s="4" t="s">
        <v>313</v>
      </c>
      <c r="U76" s="4">
        <v>0</v>
      </c>
      <c r="V76" s="4">
        <v>3</v>
      </c>
      <c r="W76" s="4">
        <v>85</v>
      </c>
    </row>
    <row r="77" spans="1:23" ht="11.25" customHeight="1" x14ac:dyDescent="0.25">
      <c r="A77" s="4" t="s">
        <v>21</v>
      </c>
      <c r="B77" s="4" t="s">
        <v>39</v>
      </c>
      <c r="C77" s="4" t="s">
        <v>40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44531</v>
      </c>
      <c r="J77" s="6">
        <v>0</v>
      </c>
      <c r="K77" s="6">
        <v>0</v>
      </c>
      <c r="L77" s="6">
        <v>474.50400000000002</v>
      </c>
      <c r="M77" s="6">
        <v>474.50400000000002</v>
      </c>
      <c r="N77" s="6">
        <v>474.50400000000002</v>
      </c>
      <c r="O77" s="6">
        <v>474.50400000000002</v>
      </c>
      <c r="P77" s="6">
        <v>0</v>
      </c>
      <c r="Q77" s="4" t="s">
        <v>26</v>
      </c>
      <c r="R77" s="4">
        <v>0</v>
      </c>
      <c r="S77" s="4" t="s">
        <v>145</v>
      </c>
      <c r="T77" s="4" t="s">
        <v>314</v>
      </c>
      <c r="U77" s="4">
        <v>0</v>
      </c>
      <c r="V77" s="4">
        <v>3</v>
      </c>
      <c r="W77" s="4">
        <v>85</v>
      </c>
    </row>
    <row r="78" spans="1:23" ht="11.25" customHeight="1" x14ac:dyDescent="0.25">
      <c r="A78" s="4" t="s">
        <v>21</v>
      </c>
      <c r="B78" s="4" t="s">
        <v>39</v>
      </c>
      <c r="C78" s="4" t="s">
        <v>40</v>
      </c>
      <c r="D78" s="4" t="s">
        <v>41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44562</v>
      </c>
      <c r="J78" s="6">
        <v>0</v>
      </c>
      <c r="K78" s="6">
        <v>0</v>
      </c>
      <c r="L78" s="6">
        <v>495.185</v>
      </c>
      <c r="M78" s="6">
        <v>495.185</v>
      </c>
      <c r="N78" s="6">
        <v>495.185</v>
      </c>
      <c r="O78" s="6">
        <v>495.185</v>
      </c>
      <c r="P78" s="6">
        <v>0</v>
      </c>
      <c r="Q78" s="4" t="s">
        <v>26</v>
      </c>
      <c r="R78" s="4">
        <v>0</v>
      </c>
      <c r="S78" s="4" t="s">
        <v>146</v>
      </c>
      <c r="T78" s="4" t="s">
        <v>315</v>
      </c>
      <c r="U78" s="4">
        <v>0</v>
      </c>
      <c r="V78" s="4">
        <v>3</v>
      </c>
      <c r="W78" s="4">
        <v>85</v>
      </c>
    </row>
    <row r="79" spans="1:23" ht="11.25" customHeight="1" x14ac:dyDescent="0.25">
      <c r="A79" s="4" t="s">
        <v>21</v>
      </c>
      <c r="B79" s="4" t="s">
        <v>39</v>
      </c>
      <c r="C79" s="4" t="s">
        <v>40</v>
      </c>
      <c r="D79" s="4" t="s">
        <v>41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44593</v>
      </c>
      <c r="J79" s="6">
        <v>0</v>
      </c>
      <c r="K79" s="6">
        <v>0</v>
      </c>
      <c r="L79" s="6">
        <v>447.32499999999999</v>
      </c>
      <c r="M79" s="6">
        <v>447.32499999999999</v>
      </c>
      <c r="N79" s="6">
        <v>447.32499999999999</v>
      </c>
      <c r="O79" s="6">
        <v>447.32499999999999</v>
      </c>
      <c r="P79" s="6">
        <v>0</v>
      </c>
      <c r="Q79" s="4" t="s">
        <v>26</v>
      </c>
      <c r="R79" s="4">
        <v>0</v>
      </c>
      <c r="S79" s="4" t="s">
        <v>147</v>
      </c>
      <c r="T79" s="4" t="s">
        <v>316</v>
      </c>
      <c r="U79" s="4">
        <v>0</v>
      </c>
      <c r="V79" s="4">
        <v>3</v>
      </c>
      <c r="W79" s="4">
        <v>85</v>
      </c>
    </row>
    <row r="80" spans="1:23" ht="11.25" customHeight="1" x14ac:dyDescent="0.25">
      <c r="A80" s="4" t="s">
        <v>21</v>
      </c>
      <c r="B80" s="4" t="s">
        <v>39</v>
      </c>
      <c r="C80" s="4" t="s">
        <v>40</v>
      </c>
      <c r="D80" s="4" t="s">
        <v>41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44621</v>
      </c>
      <c r="J80" s="6">
        <v>0</v>
      </c>
      <c r="K80" s="6">
        <v>0</v>
      </c>
      <c r="L80" s="6">
        <v>461.18900000000002</v>
      </c>
      <c r="M80" s="6">
        <v>461.18900000000002</v>
      </c>
      <c r="N80" s="6">
        <v>461.18900000000002</v>
      </c>
      <c r="O80" s="6">
        <v>461.18900000000002</v>
      </c>
      <c r="P80" s="6">
        <v>0</v>
      </c>
      <c r="Q80" s="4" t="s">
        <v>26</v>
      </c>
      <c r="R80" s="4">
        <v>0</v>
      </c>
      <c r="S80" s="4" t="s">
        <v>148</v>
      </c>
      <c r="T80" s="4" t="s">
        <v>317</v>
      </c>
      <c r="U80" s="4">
        <v>0</v>
      </c>
      <c r="V80" s="4">
        <v>3</v>
      </c>
      <c r="W80" s="4">
        <v>85</v>
      </c>
    </row>
    <row r="81" spans="1:23" ht="11.25" customHeight="1" x14ac:dyDescent="0.25">
      <c r="A81" s="4" t="s">
        <v>21</v>
      </c>
      <c r="B81" s="4" t="s">
        <v>39</v>
      </c>
      <c r="C81" s="4" t="s">
        <v>40</v>
      </c>
      <c r="D81" s="4" t="s">
        <v>41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44652</v>
      </c>
      <c r="J81" s="6">
        <v>0</v>
      </c>
      <c r="K81" s="6">
        <v>0</v>
      </c>
      <c r="L81" s="6">
        <v>415.10899999999998</v>
      </c>
      <c r="M81" s="6">
        <v>415.10899999999998</v>
      </c>
      <c r="N81" s="6">
        <v>415.10899999999998</v>
      </c>
      <c r="O81" s="6">
        <v>415.10899999999998</v>
      </c>
      <c r="P81" s="6">
        <v>0</v>
      </c>
      <c r="Q81" s="4" t="s">
        <v>26</v>
      </c>
      <c r="R81" s="4">
        <v>0</v>
      </c>
      <c r="S81" s="4" t="s">
        <v>149</v>
      </c>
      <c r="T81" s="4" t="s">
        <v>318</v>
      </c>
      <c r="U81" s="4">
        <v>0</v>
      </c>
      <c r="V81" s="4">
        <v>3</v>
      </c>
      <c r="W81" s="4">
        <v>85</v>
      </c>
    </row>
    <row r="82" spans="1:23" ht="11.25" customHeight="1" x14ac:dyDescent="0.25">
      <c r="A82" s="4" t="s">
        <v>21</v>
      </c>
      <c r="B82" s="4" t="s">
        <v>39</v>
      </c>
      <c r="C82" s="4" t="s">
        <v>40</v>
      </c>
      <c r="D82" s="4" t="s">
        <v>41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44682</v>
      </c>
      <c r="J82" s="6">
        <v>0</v>
      </c>
      <c r="K82" s="6">
        <v>0</v>
      </c>
      <c r="L82" s="6">
        <v>405.09</v>
      </c>
      <c r="M82" s="6">
        <v>405.09</v>
      </c>
      <c r="N82" s="6">
        <v>405.09</v>
      </c>
      <c r="O82" s="6">
        <v>405.09</v>
      </c>
      <c r="P82" s="6">
        <v>0</v>
      </c>
      <c r="Q82" s="4" t="s">
        <v>26</v>
      </c>
      <c r="R82" s="4">
        <v>0</v>
      </c>
      <c r="S82" s="4" t="s">
        <v>150</v>
      </c>
      <c r="T82" s="4" t="s">
        <v>319</v>
      </c>
      <c r="U82" s="4">
        <v>0</v>
      </c>
      <c r="V82" s="4">
        <v>3</v>
      </c>
      <c r="W82" s="4">
        <v>85</v>
      </c>
    </row>
    <row r="83" spans="1:23" ht="11.25" customHeight="1" x14ac:dyDescent="0.25">
      <c r="A83" s="4" t="s">
        <v>21</v>
      </c>
      <c r="B83" s="4" t="s">
        <v>39</v>
      </c>
      <c r="C83" s="4" t="s">
        <v>40</v>
      </c>
      <c r="D83" s="4" t="s">
        <v>41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44713</v>
      </c>
      <c r="J83" s="6">
        <v>0</v>
      </c>
      <c r="K83" s="6">
        <v>0</v>
      </c>
      <c r="L83" s="6">
        <v>381.92899999999997</v>
      </c>
      <c r="M83" s="6">
        <v>381.92899999999997</v>
      </c>
      <c r="N83" s="6">
        <v>381.92899999999997</v>
      </c>
      <c r="O83" s="6">
        <v>381.92899999999997</v>
      </c>
      <c r="P83" s="6">
        <v>0</v>
      </c>
      <c r="Q83" s="4" t="s">
        <v>26</v>
      </c>
      <c r="R83" s="4">
        <v>0</v>
      </c>
      <c r="S83" s="4" t="s">
        <v>151</v>
      </c>
      <c r="T83" s="4" t="s">
        <v>320</v>
      </c>
      <c r="U83" s="4">
        <v>0</v>
      </c>
      <c r="V83" s="4">
        <v>3</v>
      </c>
      <c r="W83" s="4">
        <v>85</v>
      </c>
    </row>
    <row r="84" spans="1:23" ht="11.25" customHeight="1" x14ac:dyDescent="0.25">
      <c r="A84" s="4" t="s">
        <v>21</v>
      </c>
      <c r="B84" s="4" t="s">
        <v>39</v>
      </c>
      <c r="C84" s="4" t="s">
        <v>40</v>
      </c>
      <c r="D84" s="4" t="s">
        <v>41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44743</v>
      </c>
      <c r="J84" s="6">
        <v>0</v>
      </c>
      <c r="K84" s="6">
        <v>0</v>
      </c>
      <c r="L84" s="6">
        <v>421.21100000000001</v>
      </c>
      <c r="M84" s="6">
        <v>421.21100000000001</v>
      </c>
      <c r="N84" s="6">
        <v>421.21100000000001</v>
      </c>
      <c r="O84" s="6">
        <v>421.21100000000001</v>
      </c>
      <c r="P84" s="6">
        <v>0</v>
      </c>
      <c r="Q84" s="4" t="s">
        <v>26</v>
      </c>
      <c r="R84" s="4">
        <v>0</v>
      </c>
      <c r="S84" s="4" t="s">
        <v>152</v>
      </c>
      <c r="T84" s="4" t="s">
        <v>321</v>
      </c>
      <c r="U84" s="4">
        <v>0</v>
      </c>
      <c r="V84" s="4">
        <v>3</v>
      </c>
      <c r="W84" s="4">
        <v>85</v>
      </c>
    </row>
    <row r="85" spans="1:23" ht="11.25" customHeight="1" x14ac:dyDescent="0.25">
      <c r="A85" s="4" t="s">
        <v>57</v>
      </c>
      <c r="B85" s="4" t="s">
        <v>39</v>
      </c>
      <c r="C85" s="4" t="s">
        <v>40</v>
      </c>
      <c r="D85" s="4" t="s">
        <v>41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44774</v>
      </c>
      <c r="J85" s="6">
        <v>0</v>
      </c>
      <c r="K85" s="6">
        <v>0</v>
      </c>
      <c r="L85" s="6">
        <v>421.21100000000001</v>
      </c>
      <c r="M85" s="6">
        <v>421.21100000000001</v>
      </c>
      <c r="N85" s="6">
        <v>421.21100000000001</v>
      </c>
      <c r="O85" s="6">
        <v>421.21100000000001</v>
      </c>
      <c r="P85" s="6">
        <v>0</v>
      </c>
      <c r="Q85" s="4" t="s">
        <v>26</v>
      </c>
      <c r="R85" s="4">
        <v>0</v>
      </c>
      <c r="S85" s="4" t="s">
        <v>153</v>
      </c>
      <c r="T85" s="4" t="s">
        <v>322</v>
      </c>
      <c r="U85" s="4">
        <v>0</v>
      </c>
      <c r="V85" s="4">
        <v>3</v>
      </c>
      <c r="W85" s="4">
        <v>85</v>
      </c>
    </row>
    <row r="86" spans="1:23" ht="11.25" customHeight="1" x14ac:dyDescent="0.25">
      <c r="A86" s="4" t="s">
        <v>21</v>
      </c>
      <c r="B86" s="4" t="s">
        <v>39</v>
      </c>
      <c r="C86" s="4" t="s">
        <v>40</v>
      </c>
      <c r="D86" s="4" t="s">
        <v>41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1642</v>
      </c>
      <c r="K86" s="6">
        <v>1642</v>
      </c>
      <c r="L86" s="6">
        <v>0</v>
      </c>
      <c r="M86" s="6">
        <v>0</v>
      </c>
      <c r="N86" s="6">
        <v>0</v>
      </c>
      <c r="O86" s="6">
        <v>0</v>
      </c>
      <c r="P86" s="6">
        <v>17</v>
      </c>
      <c r="Q86" s="4" t="s">
        <v>26</v>
      </c>
      <c r="R86" s="4">
        <v>0</v>
      </c>
      <c r="S86" s="4" t="s">
        <v>154</v>
      </c>
      <c r="U86" s="4">
        <v>28</v>
      </c>
      <c r="V86" s="4">
        <v>0</v>
      </c>
      <c r="W86" s="4">
        <v>0</v>
      </c>
    </row>
    <row r="87" spans="1:23" ht="11.25" customHeight="1" x14ac:dyDescent="0.25">
      <c r="A87" s="4" t="s">
        <v>21</v>
      </c>
      <c r="B87" s="4" t="s">
        <v>39</v>
      </c>
      <c r="C87" s="4" t="s">
        <v>40</v>
      </c>
      <c r="D87" s="4" t="s">
        <v>41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1656</v>
      </c>
      <c r="K87" s="6">
        <v>1656</v>
      </c>
      <c r="L87" s="6">
        <v>0</v>
      </c>
      <c r="M87" s="6">
        <v>0</v>
      </c>
      <c r="N87" s="6">
        <v>0</v>
      </c>
      <c r="O87" s="6">
        <v>0</v>
      </c>
      <c r="P87" s="6">
        <v>17</v>
      </c>
      <c r="Q87" s="4" t="s">
        <v>26</v>
      </c>
      <c r="R87" s="4">
        <v>0</v>
      </c>
      <c r="S87" s="4" t="s">
        <v>155</v>
      </c>
      <c r="U87" s="4">
        <v>28</v>
      </c>
      <c r="V87" s="4">
        <v>0</v>
      </c>
      <c r="W87" s="4">
        <v>0</v>
      </c>
    </row>
    <row r="88" spans="1:23" ht="11.25" customHeight="1" x14ac:dyDescent="0.25">
      <c r="A88" s="4" t="s">
        <v>21</v>
      </c>
      <c r="B88" s="4" t="s">
        <v>39</v>
      </c>
      <c r="C88" s="4" t="s">
        <v>40</v>
      </c>
      <c r="D88" s="4" t="s">
        <v>41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1693</v>
      </c>
      <c r="K88" s="6">
        <v>1693</v>
      </c>
      <c r="L88" s="6">
        <v>0</v>
      </c>
      <c r="M88" s="6">
        <v>0</v>
      </c>
      <c r="N88" s="6">
        <v>0</v>
      </c>
      <c r="O88" s="6">
        <v>0</v>
      </c>
      <c r="P88" s="6">
        <v>17</v>
      </c>
      <c r="Q88" s="4" t="s">
        <v>26</v>
      </c>
      <c r="R88" s="4">
        <v>0</v>
      </c>
      <c r="S88" s="4" t="s">
        <v>156</v>
      </c>
      <c r="U88" s="4">
        <v>28</v>
      </c>
      <c r="V88" s="4">
        <v>0</v>
      </c>
      <c r="W88" s="4">
        <v>0</v>
      </c>
    </row>
    <row r="89" spans="1:23" ht="11.25" customHeight="1" x14ac:dyDescent="0.25">
      <c r="A89" s="4" t="s">
        <v>21</v>
      </c>
      <c r="B89" s="4" t="s">
        <v>39</v>
      </c>
      <c r="C89" s="4" t="s">
        <v>40</v>
      </c>
      <c r="D89" s="4" t="s">
        <v>41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1741</v>
      </c>
      <c r="K89" s="6">
        <v>1741</v>
      </c>
      <c r="L89" s="6">
        <v>0</v>
      </c>
      <c r="M89" s="6">
        <v>0</v>
      </c>
      <c r="N89" s="6">
        <v>0</v>
      </c>
      <c r="O89" s="6">
        <v>0</v>
      </c>
      <c r="P89" s="6">
        <v>17</v>
      </c>
      <c r="Q89" s="4" t="s">
        <v>26</v>
      </c>
      <c r="R89" s="4">
        <v>0</v>
      </c>
      <c r="S89" s="4" t="s">
        <v>157</v>
      </c>
      <c r="U89" s="4">
        <v>28</v>
      </c>
      <c r="V89" s="4">
        <v>0</v>
      </c>
      <c r="W89" s="4">
        <v>0</v>
      </c>
    </row>
    <row r="90" spans="1:23" ht="11.25" customHeight="1" x14ac:dyDescent="0.25">
      <c r="A90" s="4" t="s">
        <v>21</v>
      </c>
      <c r="B90" s="4" t="s">
        <v>39</v>
      </c>
      <c r="C90" s="4" t="s">
        <v>40</v>
      </c>
      <c r="D90" s="4" t="s">
        <v>41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1778</v>
      </c>
      <c r="K90" s="6">
        <v>1778</v>
      </c>
      <c r="L90" s="6">
        <v>0</v>
      </c>
      <c r="M90" s="6">
        <v>0</v>
      </c>
      <c r="N90" s="6">
        <v>0</v>
      </c>
      <c r="O90" s="6">
        <v>0</v>
      </c>
      <c r="P90" s="6">
        <v>17</v>
      </c>
      <c r="Q90" s="4" t="s">
        <v>26</v>
      </c>
      <c r="R90" s="4">
        <v>0</v>
      </c>
      <c r="S90" s="4" t="s">
        <v>158</v>
      </c>
      <c r="U90" s="4">
        <v>28</v>
      </c>
      <c r="V90" s="4">
        <v>0</v>
      </c>
      <c r="W90" s="4">
        <v>0</v>
      </c>
    </row>
    <row r="91" spans="1:23" ht="11.25" customHeight="1" x14ac:dyDescent="0.25">
      <c r="A91" s="4" t="s">
        <v>21</v>
      </c>
      <c r="B91" s="4" t="s">
        <v>39</v>
      </c>
      <c r="C91" s="4" t="s">
        <v>40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1755</v>
      </c>
      <c r="K91" s="6">
        <v>1755</v>
      </c>
      <c r="L91" s="6">
        <v>0</v>
      </c>
      <c r="M91" s="6">
        <v>0</v>
      </c>
      <c r="N91" s="6">
        <v>0</v>
      </c>
      <c r="O91" s="6">
        <v>0</v>
      </c>
      <c r="P91" s="6">
        <v>17</v>
      </c>
      <c r="Q91" s="4" t="s">
        <v>26</v>
      </c>
      <c r="R91" s="4">
        <v>0</v>
      </c>
      <c r="S91" s="4" t="s">
        <v>159</v>
      </c>
      <c r="U91" s="4">
        <v>28</v>
      </c>
      <c r="V91" s="4">
        <v>0</v>
      </c>
      <c r="W91" s="4">
        <v>0</v>
      </c>
    </row>
    <row r="92" spans="1:23" ht="11.25" customHeight="1" x14ac:dyDescent="0.25">
      <c r="A92" s="4" t="s">
        <v>21</v>
      </c>
      <c r="B92" s="4" t="s">
        <v>39</v>
      </c>
      <c r="C92" s="4" t="s">
        <v>40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1724</v>
      </c>
      <c r="K92" s="6">
        <v>1724</v>
      </c>
      <c r="L92" s="6">
        <v>0</v>
      </c>
      <c r="M92" s="6">
        <v>0</v>
      </c>
      <c r="N92" s="6">
        <v>0</v>
      </c>
      <c r="O92" s="6">
        <v>0</v>
      </c>
      <c r="P92" s="6">
        <v>17</v>
      </c>
      <c r="Q92" s="4" t="s">
        <v>26</v>
      </c>
      <c r="R92" s="4">
        <v>0</v>
      </c>
      <c r="S92" s="4" t="s">
        <v>160</v>
      </c>
      <c r="U92" s="4">
        <v>28</v>
      </c>
      <c r="V92" s="4">
        <v>0</v>
      </c>
      <c r="W92" s="4">
        <v>0</v>
      </c>
    </row>
    <row r="93" spans="1:23" ht="11.25" customHeight="1" x14ac:dyDescent="0.25">
      <c r="A93" s="4" t="s">
        <v>21</v>
      </c>
      <c r="B93" s="4" t="s">
        <v>39</v>
      </c>
      <c r="C93" s="4" t="s">
        <v>40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1710</v>
      </c>
      <c r="K93" s="6">
        <v>1710</v>
      </c>
      <c r="L93" s="6">
        <v>0</v>
      </c>
      <c r="M93" s="6">
        <v>0</v>
      </c>
      <c r="N93" s="6">
        <v>0</v>
      </c>
      <c r="O93" s="6">
        <v>0</v>
      </c>
      <c r="P93" s="6">
        <v>17</v>
      </c>
      <c r="Q93" s="4" t="s">
        <v>26</v>
      </c>
      <c r="R93" s="4">
        <v>0</v>
      </c>
      <c r="S93" s="4" t="s">
        <v>161</v>
      </c>
      <c r="U93" s="4">
        <v>28</v>
      </c>
      <c r="V93" s="4">
        <v>0</v>
      </c>
      <c r="W93" s="4">
        <v>0</v>
      </c>
    </row>
    <row r="94" spans="1:23" ht="11.25" customHeight="1" x14ac:dyDescent="0.25">
      <c r="A94" s="4" t="s">
        <v>21</v>
      </c>
      <c r="B94" s="4" t="s">
        <v>39</v>
      </c>
      <c r="C94" s="4" t="s">
        <v>40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1636</v>
      </c>
      <c r="K94" s="6">
        <v>1636</v>
      </c>
      <c r="L94" s="6">
        <v>0</v>
      </c>
      <c r="M94" s="6">
        <v>0</v>
      </c>
      <c r="N94" s="6">
        <v>0</v>
      </c>
      <c r="O94" s="6">
        <v>0</v>
      </c>
      <c r="P94" s="6">
        <v>17</v>
      </c>
      <c r="Q94" s="4" t="s">
        <v>26</v>
      </c>
      <c r="R94" s="4">
        <v>0</v>
      </c>
      <c r="S94" s="4" t="s">
        <v>162</v>
      </c>
      <c r="U94" s="4">
        <v>28</v>
      </c>
      <c r="V94" s="4">
        <v>0</v>
      </c>
      <c r="W94" s="4">
        <v>0</v>
      </c>
    </row>
    <row r="95" spans="1:23" ht="11.25" customHeight="1" x14ac:dyDescent="0.25">
      <c r="A95" s="4" t="s">
        <v>21</v>
      </c>
      <c r="B95" s="4" t="s">
        <v>39</v>
      </c>
      <c r="C95" s="4" t="s">
        <v>40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1647</v>
      </c>
      <c r="K95" s="6">
        <v>1647</v>
      </c>
      <c r="L95" s="6">
        <v>0</v>
      </c>
      <c r="M95" s="6">
        <v>0</v>
      </c>
      <c r="N95" s="6">
        <v>0</v>
      </c>
      <c r="O95" s="6">
        <v>0</v>
      </c>
      <c r="P95" s="6">
        <v>17</v>
      </c>
      <c r="Q95" s="4" t="s">
        <v>26</v>
      </c>
      <c r="R95" s="4">
        <v>0</v>
      </c>
      <c r="S95" s="4" t="s">
        <v>163</v>
      </c>
      <c r="U95" s="4">
        <v>28</v>
      </c>
      <c r="V95" s="4">
        <v>0</v>
      </c>
      <c r="W95" s="4">
        <v>0</v>
      </c>
    </row>
    <row r="96" spans="1:23" ht="11.25" customHeight="1" x14ac:dyDescent="0.25">
      <c r="A96" s="4" t="s">
        <v>21</v>
      </c>
      <c r="B96" s="4" t="s">
        <v>39</v>
      </c>
      <c r="C96" s="4" t="s">
        <v>40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1684</v>
      </c>
      <c r="K96" s="6">
        <v>1684</v>
      </c>
      <c r="L96" s="6">
        <v>0</v>
      </c>
      <c r="M96" s="6">
        <v>0</v>
      </c>
      <c r="N96" s="6">
        <v>0</v>
      </c>
      <c r="O96" s="6">
        <v>0</v>
      </c>
      <c r="P96" s="6">
        <v>17</v>
      </c>
      <c r="Q96" s="4" t="s">
        <v>26</v>
      </c>
      <c r="R96" s="4">
        <v>0</v>
      </c>
      <c r="S96" s="4" t="s">
        <v>164</v>
      </c>
      <c r="U96" s="4">
        <v>28</v>
      </c>
      <c r="V96" s="4">
        <v>0</v>
      </c>
      <c r="W96" s="4">
        <v>0</v>
      </c>
    </row>
    <row r="97" spans="1:23" ht="11.25" customHeight="1" x14ac:dyDescent="0.25">
      <c r="A97" s="4" t="s">
        <v>57</v>
      </c>
      <c r="B97" s="4" t="s">
        <v>39</v>
      </c>
      <c r="C97" s="4" t="s">
        <v>40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1684</v>
      </c>
      <c r="K97" s="6">
        <v>1684</v>
      </c>
      <c r="L97" s="6">
        <v>0</v>
      </c>
      <c r="M97" s="6">
        <v>0</v>
      </c>
      <c r="N97" s="6">
        <v>0</v>
      </c>
      <c r="O97" s="6">
        <v>0</v>
      </c>
      <c r="P97" s="6">
        <v>17</v>
      </c>
      <c r="Q97" s="4" t="s">
        <v>26</v>
      </c>
      <c r="R97" s="4">
        <v>0</v>
      </c>
      <c r="S97" s="4" t="s">
        <v>165</v>
      </c>
      <c r="U97" s="4">
        <v>28</v>
      </c>
      <c r="V97" s="4">
        <v>0</v>
      </c>
      <c r="W97" s="4">
        <v>0</v>
      </c>
    </row>
    <row r="98" spans="1:23" ht="11.25" customHeight="1" x14ac:dyDescent="0.25">
      <c r="A98" s="4" t="s">
        <v>21</v>
      </c>
      <c r="B98" s="4" t="s">
        <v>39</v>
      </c>
      <c r="C98" s="4" t="s">
        <v>40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37</v>
      </c>
      <c r="I98" s="5">
        <v>44440</v>
      </c>
      <c r="J98" s="6">
        <v>0</v>
      </c>
      <c r="K98" s="6">
        <v>0</v>
      </c>
      <c r="L98" s="6">
        <v>34.100999999999999</v>
      </c>
      <c r="M98" s="6">
        <v>34.100999999999999</v>
      </c>
      <c r="N98" s="6">
        <v>34.100999999999999</v>
      </c>
      <c r="O98" s="6">
        <v>34.100999999999999</v>
      </c>
      <c r="P98" s="6">
        <v>0</v>
      </c>
      <c r="Q98" s="4" t="s">
        <v>26</v>
      </c>
      <c r="R98" s="4">
        <v>0</v>
      </c>
      <c r="S98" s="4" t="s">
        <v>166</v>
      </c>
      <c r="T98" s="4" t="s">
        <v>323</v>
      </c>
      <c r="U98" s="4">
        <v>0</v>
      </c>
      <c r="V98" s="4">
        <v>18</v>
      </c>
      <c r="W98" s="4">
        <v>64</v>
      </c>
    </row>
    <row r="99" spans="1:23" ht="11.25" customHeight="1" x14ac:dyDescent="0.25">
      <c r="A99" s="4" t="s">
        <v>21</v>
      </c>
      <c r="B99" s="4" t="s">
        <v>39</v>
      </c>
      <c r="C99" s="4" t="s">
        <v>40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37</v>
      </c>
      <c r="I99" s="5">
        <v>44470</v>
      </c>
      <c r="J99" s="6">
        <v>0</v>
      </c>
      <c r="K99" s="6">
        <v>0</v>
      </c>
      <c r="L99" s="6">
        <v>35.451000000000001</v>
      </c>
      <c r="M99" s="6">
        <v>35.451000000000001</v>
      </c>
      <c r="N99" s="6">
        <v>35.451000000000001</v>
      </c>
      <c r="O99" s="6">
        <v>35.451000000000001</v>
      </c>
      <c r="P99" s="6">
        <v>0</v>
      </c>
      <c r="Q99" s="4" t="s">
        <v>26</v>
      </c>
      <c r="R99" s="4">
        <v>0</v>
      </c>
      <c r="S99" s="4" t="s">
        <v>167</v>
      </c>
      <c r="T99" s="4" t="s">
        <v>324</v>
      </c>
      <c r="U99" s="4">
        <v>0</v>
      </c>
      <c r="V99" s="4">
        <v>18</v>
      </c>
      <c r="W99" s="4">
        <v>64</v>
      </c>
    </row>
    <row r="100" spans="1:23" ht="11.25" customHeight="1" x14ac:dyDescent="0.25">
      <c r="A100" s="4" t="s">
        <v>21</v>
      </c>
      <c r="B100" s="4" t="s">
        <v>39</v>
      </c>
      <c r="C100" s="4" t="s">
        <v>40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37</v>
      </c>
      <c r="I100" s="5">
        <v>44501</v>
      </c>
      <c r="J100" s="6">
        <v>0</v>
      </c>
      <c r="K100" s="6">
        <v>0</v>
      </c>
      <c r="L100" s="6">
        <v>40.037999999999997</v>
      </c>
      <c r="M100" s="6">
        <v>40.037999999999997</v>
      </c>
      <c r="N100" s="6">
        <v>40.037999999999997</v>
      </c>
      <c r="O100" s="6">
        <v>40.037999999999997</v>
      </c>
      <c r="P100" s="6">
        <v>0</v>
      </c>
      <c r="Q100" s="4" t="s">
        <v>26</v>
      </c>
      <c r="R100" s="4">
        <v>0</v>
      </c>
      <c r="S100" s="4" t="s">
        <v>168</v>
      </c>
      <c r="T100" s="4" t="s">
        <v>325</v>
      </c>
      <c r="U100" s="4">
        <v>0</v>
      </c>
      <c r="V100" s="4">
        <v>18</v>
      </c>
      <c r="W100" s="4">
        <v>64</v>
      </c>
    </row>
    <row r="101" spans="1:23" ht="11.25" customHeight="1" x14ac:dyDescent="0.25">
      <c r="A101" s="4" t="s">
        <v>21</v>
      </c>
      <c r="B101" s="4" t="s">
        <v>39</v>
      </c>
      <c r="C101" s="4" t="s">
        <v>40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37</v>
      </c>
      <c r="I101" s="5">
        <v>44531</v>
      </c>
      <c r="J101" s="6">
        <v>0</v>
      </c>
      <c r="K101" s="6">
        <v>0</v>
      </c>
      <c r="L101" s="6">
        <v>43.884999999999998</v>
      </c>
      <c r="M101" s="6">
        <v>43.884999999999998</v>
      </c>
      <c r="N101" s="6">
        <v>43.884999999999998</v>
      </c>
      <c r="O101" s="6">
        <v>43.884999999999998</v>
      </c>
      <c r="P101" s="6">
        <v>0</v>
      </c>
      <c r="Q101" s="4" t="s">
        <v>26</v>
      </c>
      <c r="R101" s="4">
        <v>0</v>
      </c>
      <c r="S101" s="4" t="s">
        <v>169</v>
      </c>
      <c r="T101" s="4" t="s">
        <v>326</v>
      </c>
      <c r="U101" s="4">
        <v>0</v>
      </c>
      <c r="V101" s="4">
        <v>18</v>
      </c>
      <c r="W101" s="4">
        <v>64</v>
      </c>
    </row>
    <row r="102" spans="1:23" ht="11.25" customHeight="1" x14ac:dyDescent="0.25">
      <c r="A102" s="4" t="s">
        <v>21</v>
      </c>
      <c r="B102" s="4" t="s">
        <v>39</v>
      </c>
      <c r="C102" s="4" t="s">
        <v>40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37</v>
      </c>
      <c r="I102" s="5">
        <v>44562</v>
      </c>
      <c r="J102" s="6">
        <v>0</v>
      </c>
      <c r="K102" s="6">
        <v>0</v>
      </c>
      <c r="L102" s="6">
        <v>43.957999999999998</v>
      </c>
      <c r="M102" s="6">
        <v>43.957999999999998</v>
      </c>
      <c r="N102" s="6">
        <v>43.957999999999998</v>
      </c>
      <c r="O102" s="6">
        <v>43.957999999999998</v>
      </c>
      <c r="P102" s="6">
        <v>0</v>
      </c>
      <c r="Q102" s="4" t="s">
        <v>26</v>
      </c>
      <c r="R102" s="4">
        <v>0</v>
      </c>
      <c r="S102" s="4" t="s">
        <v>170</v>
      </c>
      <c r="T102" s="4" t="s">
        <v>327</v>
      </c>
      <c r="U102" s="4">
        <v>0</v>
      </c>
      <c r="V102" s="4">
        <v>18</v>
      </c>
      <c r="W102" s="4">
        <v>64</v>
      </c>
    </row>
    <row r="103" spans="1:23" ht="11.25" customHeight="1" x14ac:dyDescent="0.25">
      <c r="A103" s="4" t="s">
        <v>21</v>
      </c>
      <c r="B103" s="4" t="s">
        <v>39</v>
      </c>
      <c r="C103" s="4" t="s">
        <v>40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44593</v>
      </c>
      <c r="J103" s="6">
        <v>0</v>
      </c>
      <c r="K103" s="6">
        <v>0</v>
      </c>
      <c r="L103" s="6">
        <v>40.201999999999998</v>
      </c>
      <c r="M103" s="6">
        <v>40.201999999999998</v>
      </c>
      <c r="N103" s="6">
        <v>40.201999999999998</v>
      </c>
      <c r="O103" s="6">
        <v>40.201999999999998</v>
      </c>
      <c r="P103" s="6">
        <v>0</v>
      </c>
      <c r="Q103" s="4" t="s">
        <v>26</v>
      </c>
      <c r="R103" s="4">
        <v>0</v>
      </c>
      <c r="S103" s="4" t="s">
        <v>171</v>
      </c>
      <c r="T103" s="4" t="s">
        <v>328</v>
      </c>
      <c r="U103" s="4">
        <v>0</v>
      </c>
      <c r="V103" s="4">
        <v>18</v>
      </c>
      <c r="W103" s="4">
        <v>64</v>
      </c>
    </row>
    <row r="104" spans="1:23" ht="11.25" customHeight="1" x14ac:dyDescent="0.25">
      <c r="A104" s="4" t="s">
        <v>21</v>
      </c>
      <c r="B104" s="4" t="s">
        <v>39</v>
      </c>
      <c r="C104" s="4" t="s">
        <v>40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44621</v>
      </c>
      <c r="J104" s="6">
        <v>0</v>
      </c>
      <c r="K104" s="6">
        <v>0</v>
      </c>
      <c r="L104" s="6">
        <v>40.914999999999999</v>
      </c>
      <c r="M104" s="6">
        <v>40.914999999999999</v>
      </c>
      <c r="N104" s="6">
        <v>40.914999999999999</v>
      </c>
      <c r="O104" s="6">
        <v>40.914999999999999</v>
      </c>
      <c r="P104" s="6">
        <v>0</v>
      </c>
      <c r="Q104" s="4" t="s">
        <v>26</v>
      </c>
      <c r="R104" s="4">
        <v>0</v>
      </c>
      <c r="S104" s="4" t="s">
        <v>172</v>
      </c>
      <c r="T104" s="4" t="s">
        <v>329</v>
      </c>
      <c r="U104" s="4">
        <v>0</v>
      </c>
      <c r="V104" s="4">
        <v>18</v>
      </c>
      <c r="W104" s="4">
        <v>64</v>
      </c>
    </row>
    <row r="105" spans="1:23" ht="11.25" customHeight="1" x14ac:dyDescent="0.25">
      <c r="A105" s="4" t="s">
        <v>21</v>
      </c>
      <c r="B105" s="4" t="s">
        <v>39</v>
      </c>
      <c r="C105" s="4" t="s">
        <v>40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44652</v>
      </c>
      <c r="J105" s="6">
        <v>0</v>
      </c>
      <c r="K105" s="6">
        <v>0</v>
      </c>
      <c r="L105" s="6">
        <v>33.695</v>
      </c>
      <c r="M105" s="6">
        <v>33.695</v>
      </c>
      <c r="N105" s="6">
        <v>33.695</v>
      </c>
      <c r="O105" s="6">
        <v>33.695</v>
      </c>
      <c r="P105" s="6">
        <v>0</v>
      </c>
      <c r="Q105" s="4" t="s">
        <v>26</v>
      </c>
      <c r="R105" s="4">
        <v>0</v>
      </c>
      <c r="S105" s="4" t="s">
        <v>173</v>
      </c>
      <c r="T105" s="4" t="s">
        <v>330</v>
      </c>
      <c r="U105" s="4">
        <v>0</v>
      </c>
      <c r="V105" s="4">
        <v>18</v>
      </c>
      <c r="W105" s="4">
        <v>64</v>
      </c>
    </row>
    <row r="106" spans="1:23" ht="11.25" customHeight="1" x14ac:dyDescent="0.25">
      <c r="A106" s="4" t="s">
        <v>21</v>
      </c>
      <c r="B106" s="4" t="s">
        <v>39</v>
      </c>
      <c r="C106" s="4" t="s">
        <v>40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44682</v>
      </c>
      <c r="J106" s="6">
        <v>0</v>
      </c>
      <c r="K106" s="6">
        <v>0</v>
      </c>
      <c r="L106" s="6">
        <v>35.722000000000001</v>
      </c>
      <c r="M106" s="6">
        <v>35.722000000000001</v>
      </c>
      <c r="N106" s="6">
        <v>35.722000000000001</v>
      </c>
      <c r="O106" s="6">
        <v>35.722000000000001</v>
      </c>
      <c r="P106" s="6">
        <v>0</v>
      </c>
      <c r="Q106" s="4" t="s">
        <v>26</v>
      </c>
      <c r="R106" s="4">
        <v>0</v>
      </c>
      <c r="S106" s="4" t="s">
        <v>174</v>
      </c>
      <c r="T106" s="4" t="s">
        <v>331</v>
      </c>
      <c r="U106" s="4">
        <v>0</v>
      </c>
      <c r="V106" s="4">
        <v>18</v>
      </c>
      <c r="W106" s="4">
        <v>64</v>
      </c>
    </row>
    <row r="107" spans="1:23" ht="11.25" customHeight="1" x14ac:dyDescent="0.25">
      <c r="A107" s="4" t="s">
        <v>21</v>
      </c>
      <c r="B107" s="4" t="s">
        <v>39</v>
      </c>
      <c r="C107" s="4" t="s">
        <v>40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37</v>
      </c>
      <c r="I107" s="5">
        <v>44713</v>
      </c>
      <c r="J107" s="6">
        <v>0</v>
      </c>
      <c r="K107" s="6">
        <v>0</v>
      </c>
      <c r="L107" s="6">
        <v>34.24</v>
      </c>
      <c r="M107" s="6">
        <v>34.24</v>
      </c>
      <c r="N107" s="6">
        <v>34.24</v>
      </c>
      <c r="O107" s="6">
        <v>34.24</v>
      </c>
      <c r="P107" s="6">
        <v>0</v>
      </c>
      <c r="Q107" s="4" t="s">
        <v>26</v>
      </c>
      <c r="R107" s="4">
        <v>0</v>
      </c>
      <c r="S107" s="4" t="s">
        <v>175</v>
      </c>
      <c r="T107" s="4" t="s">
        <v>332</v>
      </c>
      <c r="U107" s="4">
        <v>0</v>
      </c>
      <c r="V107" s="4">
        <v>18</v>
      </c>
      <c r="W107" s="4">
        <v>64</v>
      </c>
    </row>
    <row r="108" spans="1:23" ht="11.25" customHeight="1" x14ac:dyDescent="0.25">
      <c r="A108" s="4" t="s">
        <v>21</v>
      </c>
      <c r="B108" s="4" t="s">
        <v>39</v>
      </c>
      <c r="C108" s="4" t="s">
        <v>40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37</v>
      </c>
      <c r="I108" s="5">
        <v>44743</v>
      </c>
      <c r="J108" s="6">
        <v>0</v>
      </c>
      <c r="K108" s="6">
        <v>0</v>
      </c>
      <c r="L108" s="6">
        <v>35.9</v>
      </c>
      <c r="M108" s="6">
        <v>35.9</v>
      </c>
      <c r="N108" s="6">
        <v>35.9</v>
      </c>
      <c r="O108" s="6">
        <v>35.9</v>
      </c>
      <c r="P108" s="6">
        <v>0</v>
      </c>
      <c r="Q108" s="4" t="s">
        <v>26</v>
      </c>
      <c r="R108" s="4">
        <v>0</v>
      </c>
      <c r="S108" s="4" t="s">
        <v>176</v>
      </c>
      <c r="T108" s="4" t="s">
        <v>333</v>
      </c>
      <c r="U108" s="4">
        <v>0</v>
      </c>
      <c r="V108" s="4">
        <v>18</v>
      </c>
      <c r="W108" s="4">
        <v>64</v>
      </c>
    </row>
    <row r="109" spans="1:23" ht="11.25" customHeight="1" x14ac:dyDescent="0.25">
      <c r="A109" s="4" t="s">
        <v>57</v>
      </c>
      <c r="B109" s="4" t="s">
        <v>39</v>
      </c>
      <c r="C109" s="4" t="s">
        <v>40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37</v>
      </c>
      <c r="I109" s="5">
        <v>44774</v>
      </c>
      <c r="J109" s="6">
        <v>0</v>
      </c>
      <c r="K109" s="6">
        <v>0</v>
      </c>
      <c r="L109" s="6">
        <v>35.9</v>
      </c>
      <c r="M109" s="6">
        <v>35.9</v>
      </c>
      <c r="N109" s="6">
        <v>35.9</v>
      </c>
      <c r="O109" s="6">
        <v>35.9</v>
      </c>
      <c r="P109" s="6">
        <v>0</v>
      </c>
      <c r="Q109" s="4" t="s">
        <v>26</v>
      </c>
      <c r="R109" s="4">
        <v>0</v>
      </c>
      <c r="S109" s="4" t="s">
        <v>177</v>
      </c>
      <c r="T109" s="4" t="s">
        <v>334</v>
      </c>
      <c r="U109" s="4">
        <v>0</v>
      </c>
      <c r="V109" s="4">
        <v>18</v>
      </c>
      <c r="W109" s="4">
        <v>64</v>
      </c>
    </row>
    <row r="110" spans="1:23" ht="11.25" customHeight="1" x14ac:dyDescent="0.25">
      <c r="A110" s="4" t="s">
        <v>21</v>
      </c>
      <c r="B110" s="4" t="s">
        <v>39</v>
      </c>
      <c r="C110" s="4" t="s">
        <v>40</v>
      </c>
      <c r="D110" s="4" t="s">
        <v>50</v>
      </c>
      <c r="E110" s="4" t="s">
        <v>25</v>
      </c>
      <c r="F110" s="4" t="s">
        <v>25</v>
      </c>
      <c r="G110" s="4" t="s">
        <v>25</v>
      </c>
      <c r="H110" s="4" t="s">
        <v>38</v>
      </c>
      <c r="I110" s="5">
        <v>44440</v>
      </c>
      <c r="J110" s="6">
        <v>0</v>
      </c>
      <c r="K110" s="6">
        <v>0</v>
      </c>
      <c r="L110" s="6">
        <v>11.663</v>
      </c>
      <c r="M110" s="6">
        <v>11.663</v>
      </c>
      <c r="N110" s="6">
        <v>11.663</v>
      </c>
      <c r="O110" s="6">
        <v>11.663</v>
      </c>
      <c r="P110" s="6">
        <v>0</v>
      </c>
      <c r="Q110" s="4" t="s">
        <v>26</v>
      </c>
      <c r="R110" s="4">
        <v>0</v>
      </c>
      <c r="S110" s="4" t="s">
        <v>142</v>
      </c>
      <c r="T110" s="4" t="s">
        <v>311</v>
      </c>
      <c r="U110" s="4">
        <v>0</v>
      </c>
      <c r="V110" s="4">
        <v>3</v>
      </c>
      <c r="W110" s="4">
        <v>85</v>
      </c>
    </row>
    <row r="111" spans="1:23" ht="11.25" customHeight="1" x14ac:dyDescent="0.25">
      <c r="A111" s="4" t="s">
        <v>21</v>
      </c>
      <c r="B111" s="4" t="s">
        <v>39</v>
      </c>
      <c r="C111" s="4" t="s">
        <v>40</v>
      </c>
      <c r="D111" s="4" t="s">
        <v>50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44470</v>
      </c>
      <c r="J111" s="6">
        <v>0</v>
      </c>
      <c r="K111" s="6">
        <v>0</v>
      </c>
      <c r="L111" s="6">
        <v>12.083</v>
      </c>
      <c r="M111" s="6">
        <v>12.083</v>
      </c>
      <c r="N111" s="6">
        <v>12.083</v>
      </c>
      <c r="O111" s="6">
        <v>12.083</v>
      </c>
      <c r="P111" s="6">
        <v>0</v>
      </c>
      <c r="Q111" s="4" t="s">
        <v>26</v>
      </c>
      <c r="R111" s="4">
        <v>0</v>
      </c>
      <c r="S111" s="4" t="s">
        <v>143</v>
      </c>
      <c r="T111" s="4" t="s">
        <v>312</v>
      </c>
      <c r="U111" s="4">
        <v>0</v>
      </c>
      <c r="V111" s="4">
        <v>3</v>
      </c>
      <c r="W111" s="4">
        <v>85</v>
      </c>
    </row>
    <row r="112" spans="1:23" ht="11.25" customHeight="1" x14ac:dyDescent="0.25">
      <c r="A112" s="4" t="s">
        <v>21</v>
      </c>
      <c r="B112" s="4" t="s">
        <v>39</v>
      </c>
      <c r="C112" s="4" t="s">
        <v>40</v>
      </c>
      <c r="D112" s="4" t="s">
        <v>50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44501</v>
      </c>
      <c r="J112" s="6">
        <v>0</v>
      </c>
      <c r="K112" s="6">
        <v>0</v>
      </c>
      <c r="L112" s="6">
        <v>14.297000000000001</v>
      </c>
      <c r="M112" s="6">
        <v>14.297000000000001</v>
      </c>
      <c r="N112" s="6">
        <v>14.297000000000001</v>
      </c>
      <c r="O112" s="6">
        <v>14.297000000000001</v>
      </c>
      <c r="P112" s="6">
        <v>0</v>
      </c>
      <c r="Q112" s="4" t="s">
        <v>26</v>
      </c>
      <c r="R112" s="4">
        <v>0</v>
      </c>
      <c r="S112" s="4" t="s">
        <v>144</v>
      </c>
      <c r="T112" s="4" t="s">
        <v>313</v>
      </c>
      <c r="U112" s="4">
        <v>0</v>
      </c>
      <c r="V112" s="4">
        <v>3</v>
      </c>
      <c r="W112" s="4">
        <v>85</v>
      </c>
    </row>
    <row r="113" spans="1:23" ht="11.25" customHeight="1" x14ac:dyDescent="0.25">
      <c r="A113" s="4" t="s">
        <v>21</v>
      </c>
      <c r="B113" s="4" t="s">
        <v>39</v>
      </c>
      <c r="C113" s="4" t="s">
        <v>40</v>
      </c>
      <c r="D113" s="4" t="s">
        <v>50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44531</v>
      </c>
      <c r="J113" s="6">
        <v>0</v>
      </c>
      <c r="K113" s="6">
        <v>0</v>
      </c>
      <c r="L113" s="6">
        <v>15.787000000000001</v>
      </c>
      <c r="M113" s="6">
        <v>15.787000000000001</v>
      </c>
      <c r="N113" s="6">
        <v>15.787000000000001</v>
      </c>
      <c r="O113" s="6">
        <v>15.787000000000001</v>
      </c>
      <c r="P113" s="6">
        <v>0</v>
      </c>
      <c r="Q113" s="4" t="s">
        <v>26</v>
      </c>
      <c r="R113" s="4">
        <v>0</v>
      </c>
      <c r="S113" s="4" t="s">
        <v>145</v>
      </c>
      <c r="T113" s="4" t="s">
        <v>314</v>
      </c>
      <c r="U113" s="4">
        <v>0</v>
      </c>
      <c r="V113" s="4">
        <v>3</v>
      </c>
      <c r="W113" s="4">
        <v>85</v>
      </c>
    </row>
    <row r="114" spans="1:23" ht="11.25" customHeight="1" x14ac:dyDescent="0.25">
      <c r="A114" s="4" t="s">
        <v>21</v>
      </c>
      <c r="B114" s="4" t="s">
        <v>39</v>
      </c>
      <c r="C114" s="4" t="s">
        <v>40</v>
      </c>
      <c r="D114" s="4" t="s">
        <v>50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44562</v>
      </c>
      <c r="J114" s="6">
        <v>0</v>
      </c>
      <c r="K114" s="6">
        <v>0</v>
      </c>
      <c r="L114" s="6">
        <v>19.510000000000002</v>
      </c>
      <c r="M114" s="6">
        <v>19.510000000000002</v>
      </c>
      <c r="N114" s="6">
        <v>19.510000000000002</v>
      </c>
      <c r="O114" s="6">
        <v>19.510000000000002</v>
      </c>
      <c r="P114" s="6">
        <v>0</v>
      </c>
      <c r="Q114" s="4" t="s">
        <v>26</v>
      </c>
      <c r="R114" s="4">
        <v>0</v>
      </c>
      <c r="S114" s="4" t="s">
        <v>146</v>
      </c>
      <c r="T114" s="4" t="s">
        <v>315</v>
      </c>
      <c r="U114" s="4">
        <v>0</v>
      </c>
      <c r="V114" s="4">
        <v>3</v>
      </c>
      <c r="W114" s="4">
        <v>85</v>
      </c>
    </row>
    <row r="115" spans="1:23" ht="11.25" customHeight="1" x14ac:dyDescent="0.25">
      <c r="A115" s="4" t="s">
        <v>21</v>
      </c>
      <c r="B115" s="4" t="s">
        <v>39</v>
      </c>
      <c r="C115" s="4" t="s">
        <v>40</v>
      </c>
      <c r="D115" s="4" t="s">
        <v>50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44593</v>
      </c>
      <c r="J115" s="6">
        <v>0</v>
      </c>
      <c r="K115" s="6">
        <v>0</v>
      </c>
      <c r="L115" s="6">
        <v>15.8</v>
      </c>
      <c r="M115" s="6">
        <v>15.8</v>
      </c>
      <c r="N115" s="6">
        <v>15.8</v>
      </c>
      <c r="O115" s="6">
        <v>15.8</v>
      </c>
      <c r="P115" s="6">
        <v>0</v>
      </c>
      <c r="Q115" s="4" t="s">
        <v>26</v>
      </c>
      <c r="R115" s="4">
        <v>0</v>
      </c>
      <c r="S115" s="4" t="s">
        <v>147</v>
      </c>
      <c r="T115" s="4" t="s">
        <v>316</v>
      </c>
      <c r="U115" s="4">
        <v>0</v>
      </c>
      <c r="V115" s="4">
        <v>3</v>
      </c>
      <c r="W115" s="4">
        <v>85</v>
      </c>
    </row>
    <row r="116" spans="1:23" ht="11.25" customHeight="1" x14ac:dyDescent="0.25">
      <c r="A116" s="4" t="s">
        <v>21</v>
      </c>
      <c r="B116" s="4" t="s">
        <v>39</v>
      </c>
      <c r="C116" s="4" t="s">
        <v>40</v>
      </c>
      <c r="D116" s="4" t="s">
        <v>50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44621</v>
      </c>
      <c r="J116" s="6">
        <v>0</v>
      </c>
      <c r="K116" s="6">
        <v>0</v>
      </c>
      <c r="L116" s="6">
        <v>17.056999999999999</v>
      </c>
      <c r="M116" s="6">
        <v>17.056999999999999</v>
      </c>
      <c r="N116" s="6">
        <v>17.056999999999999</v>
      </c>
      <c r="O116" s="6">
        <v>17.056999999999999</v>
      </c>
      <c r="P116" s="6">
        <v>0</v>
      </c>
      <c r="Q116" s="4" t="s">
        <v>26</v>
      </c>
      <c r="R116" s="4">
        <v>0</v>
      </c>
      <c r="S116" s="4" t="s">
        <v>148</v>
      </c>
      <c r="T116" s="4" t="s">
        <v>317</v>
      </c>
      <c r="U116" s="4">
        <v>0</v>
      </c>
      <c r="V116" s="4">
        <v>3</v>
      </c>
      <c r="W116" s="4">
        <v>85</v>
      </c>
    </row>
    <row r="117" spans="1:23" ht="11.25" customHeight="1" x14ac:dyDescent="0.25">
      <c r="A117" s="4" t="s">
        <v>21</v>
      </c>
      <c r="B117" s="4" t="s">
        <v>39</v>
      </c>
      <c r="C117" s="4" t="s">
        <v>40</v>
      </c>
      <c r="D117" s="4" t="s">
        <v>50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44652</v>
      </c>
      <c r="J117" s="6">
        <v>0</v>
      </c>
      <c r="K117" s="6">
        <v>0</v>
      </c>
      <c r="L117" s="6">
        <v>12.231999999999999</v>
      </c>
      <c r="M117" s="6">
        <v>12.231999999999999</v>
      </c>
      <c r="N117" s="6">
        <v>12.231999999999999</v>
      </c>
      <c r="O117" s="6">
        <v>12.231999999999999</v>
      </c>
      <c r="P117" s="6">
        <v>0</v>
      </c>
      <c r="Q117" s="4" t="s">
        <v>26</v>
      </c>
      <c r="R117" s="4">
        <v>0</v>
      </c>
      <c r="S117" s="4" t="s">
        <v>149</v>
      </c>
      <c r="T117" s="4" t="s">
        <v>318</v>
      </c>
      <c r="U117" s="4">
        <v>0</v>
      </c>
      <c r="V117" s="4">
        <v>3</v>
      </c>
      <c r="W117" s="4">
        <v>85</v>
      </c>
    </row>
    <row r="118" spans="1:23" ht="11.25" customHeight="1" x14ac:dyDescent="0.25">
      <c r="A118" s="4" t="s">
        <v>21</v>
      </c>
      <c r="B118" s="4" t="s">
        <v>39</v>
      </c>
      <c r="C118" s="4" t="s">
        <v>40</v>
      </c>
      <c r="D118" s="4" t="s">
        <v>50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44682</v>
      </c>
      <c r="J118" s="6">
        <v>0</v>
      </c>
      <c r="K118" s="6">
        <v>0</v>
      </c>
      <c r="L118" s="6">
        <v>11.667999999999999</v>
      </c>
      <c r="M118" s="6">
        <v>11.667999999999999</v>
      </c>
      <c r="N118" s="6">
        <v>11.667999999999999</v>
      </c>
      <c r="O118" s="6">
        <v>11.667999999999999</v>
      </c>
      <c r="P118" s="6">
        <v>0</v>
      </c>
      <c r="Q118" s="4" t="s">
        <v>26</v>
      </c>
      <c r="R118" s="4">
        <v>0</v>
      </c>
      <c r="S118" s="4" t="s">
        <v>150</v>
      </c>
      <c r="T118" s="4" t="s">
        <v>319</v>
      </c>
      <c r="U118" s="4">
        <v>0</v>
      </c>
      <c r="V118" s="4">
        <v>3</v>
      </c>
      <c r="W118" s="4">
        <v>85</v>
      </c>
    </row>
    <row r="119" spans="1:23" ht="11.25" customHeight="1" x14ac:dyDescent="0.25">
      <c r="A119" s="4" t="s">
        <v>21</v>
      </c>
      <c r="B119" s="4" t="s">
        <v>39</v>
      </c>
      <c r="C119" s="4" t="s">
        <v>40</v>
      </c>
      <c r="D119" s="4" t="s">
        <v>50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44713</v>
      </c>
      <c r="J119" s="6">
        <v>0</v>
      </c>
      <c r="K119" s="6">
        <v>0</v>
      </c>
      <c r="L119" s="6">
        <v>12.244</v>
      </c>
      <c r="M119" s="6">
        <v>12.244</v>
      </c>
      <c r="N119" s="6">
        <v>12.244</v>
      </c>
      <c r="O119" s="6">
        <v>12.244</v>
      </c>
      <c r="P119" s="6">
        <v>0</v>
      </c>
      <c r="Q119" s="4" t="s">
        <v>26</v>
      </c>
      <c r="R119" s="4">
        <v>0</v>
      </c>
      <c r="S119" s="4" t="s">
        <v>151</v>
      </c>
      <c r="T119" s="4" t="s">
        <v>320</v>
      </c>
      <c r="U119" s="4">
        <v>0</v>
      </c>
      <c r="V119" s="4">
        <v>3</v>
      </c>
      <c r="W119" s="4">
        <v>85</v>
      </c>
    </row>
    <row r="120" spans="1:23" ht="11.25" customHeight="1" x14ac:dyDescent="0.25">
      <c r="A120" s="4" t="s">
        <v>21</v>
      </c>
      <c r="B120" s="4" t="s">
        <v>39</v>
      </c>
      <c r="C120" s="4" t="s">
        <v>40</v>
      </c>
      <c r="D120" s="4" t="s">
        <v>50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44743</v>
      </c>
      <c r="J120" s="6">
        <v>0</v>
      </c>
      <c r="K120" s="6">
        <v>0</v>
      </c>
      <c r="L120" s="6">
        <v>12.145</v>
      </c>
      <c r="M120" s="6">
        <v>12.145</v>
      </c>
      <c r="N120" s="6">
        <v>12.145</v>
      </c>
      <c r="O120" s="6">
        <v>12.145</v>
      </c>
      <c r="P120" s="6">
        <v>0</v>
      </c>
      <c r="Q120" s="4" t="s">
        <v>26</v>
      </c>
      <c r="R120" s="4">
        <v>0</v>
      </c>
      <c r="S120" s="4" t="s">
        <v>152</v>
      </c>
      <c r="T120" s="4" t="s">
        <v>321</v>
      </c>
      <c r="U120" s="4">
        <v>0</v>
      </c>
      <c r="V120" s="4">
        <v>3</v>
      </c>
      <c r="W120" s="4">
        <v>85</v>
      </c>
    </row>
    <row r="121" spans="1:23" ht="11.25" customHeight="1" x14ac:dyDescent="0.25">
      <c r="A121" s="4" t="s">
        <v>57</v>
      </c>
      <c r="B121" s="4" t="s">
        <v>39</v>
      </c>
      <c r="C121" s="4" t="s">
        <v>40</v>
      </c>
      <c r="D121" s="4" t="s">
        <v>50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44774</v>
      </c>
      <c r="J121" s="6">
        <v>0</v>
      </c>
      <c r="K121" s="6">
        <v>0</v>
      </c>
      <c r="L121" s="6">
        <v>12.145</v>
      </c>
      <c r="M121" s="6">
        <v>12.145</v>
      </c>
      <c r="N121" s="6">
        <v>12.145</v>
      </c>
      <c r="O121" s="6">
        <v>12.145</v>
      </c>
      <c r="P121" s="6">
        <v>0</v>
      </c>
      <c r="Q121" s="4" t="s">
        <v>26</v>
      </c>
      <c r="R121" s="4">
        <v>0</v>
      </c>
      <c r="S121" s="4" t="s">
        <v>153</v>
      </c>
      <c r="T121" s="4" t="s">
        <v>322</v>
      </c>
      <c r="U121" s="4">
        <v>0</v>
      </c>
      <c r="V121" s="4">
        <v>3</v>
      </c>
      <c r="W121" s="4">
        <v>85</v>
      </c>
    </row>
    <row r="122" spans="1:23" ht="11.25" customHeight="1" x14ac:dyDescent="0.25">
      <c r="A122" s="4" t="s">
        <v>21</v>
      </c>
      <c r="B122" s="4" t="s">
        <v>39</v>
      </c>
      <c r="C122" s="4" t="s">
        <v>40</v>
      </c>
      <c r="D122" s="4" t="s">
        <v>50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44440</v>
      </c>
      <c r="J122" s="6">
        <v>95</v>
      </c>
      <c r="K122" s="6">
        <v>95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4" t="s">
        <v>26</v>
      </c>
      <c r="R122" s="4">
        <v>0</v>
      </c>
      <c r="S122" s="4" t="s">
        <v>154</v>
      </c>
      <c r="U122" s="4">
        <v>28</v>
      </c>
      <c r="V122" s="4">
        <v>0</v>
      </c>
      <c r="W122" s="4">
        <v>0</v>
      </c>
    </row>
    <row r="123" spans="1:23" ht="11.25" customHeight="1" x14ac:dyDescent="0.25">
      <c r="A123" s="4" t="s">
        <v>21</v>
      </c>
      <c r="B123" s="4" t="s">
        <v>39</v>
      </c>
      <c r="C123" s="4" t="s">
        <v>40</v>
      </c>
      <c r="D123" s="4" t="s">
        <v>50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95</v>
      </c>
      <c r="K123" s="6">
        <v>95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4" t="s">
        <v>26</v>
      </c>
      <c r="R123" s="4">
        <v>0</v>
      </c>
      <c r="S123" s="4" t="s">
        <v>155</v>
      </c>
      <c r="U123" s="4">
        <v>28</v>
      </c>
      <c r="V123" s="4">
        <v>0</v>
      </c>
      <c r="W123" s="4">
        <v>0</v>
      </c>
    </row>
    <row r="124" spans="1:23" ht="11.25" customHeight="1" x14ac:dyDescent="0.25">
      <c r="A124" s="4" t="s">
        <v>21</v>
      </c>
      <c r="B124" s="4" t="s">
        <v>39</v>
      </c>
      <c r="C124" s="4" t="s">
        <v>40</v>
      </c>
      <c r="D124" s="4" t="s">
        <v>50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95</v>
      </c>
      <c r="K124" s="6">
        <v>95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4" t="s">
        <v>26</v>
      </c>
      <c r="R124" s="4">
        <v>0</v>
      </c>
      <c r="S124" s="4" t="s">
        <v>156</v>
      </c>
      <c r="U124" s="4">
        <v>28</v>
      </c>
      <c r="V124" s="4">
        <v>0</v>
      </c>
      <c r="W124" s="4">
        <v>0</v>
      </c>
    </row>
    <row r="125" spans="1:23" ht="11.25" customHeight="1" x14ac:dyDescent="0.25">
      <c r="A125" s="4" t="s">
        <v>21</v>
      </c>
      <c r="B125" s="4" t="s">
        <v>39</v>
      </c>
      <c r="C125" s="4" t="s">
        <v>40</v>
      </c>
      <c r="D125" s="4" t="s">
        <v>50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95</v>
      </c>
      <c r="K125" s="6">
        <v>95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4" t="s">
        <v>26</v>
      </c>
      <c r="R125" s="4">
        <v>0</v>
      </c>
      <c r="S125" s="4" t="s">
        <v>157</v>
      </c>
      <c r="U125" s="4">
        <v>28</v>
      </c>
      <c r="V125" s="4">
        <v>0</v>
      </c>
      <c r="W125" s="4">
        <v>0</v>
      </c>
    </row>
    <row r="126" spans="1:23" ht="11.25" customHeight="1" x14ac:dyDescent="0.25">
      <c r="A126" s="4" t="s">
        <v>21</v>
      </c>
      <c r="B126" s="4" t="s">
        <v>39</v>
      </c>
      <c r="C126" s="4" t="s">
        <v>40</v>
      </c>
      <c r="D126" s="4" t="s">
        <v>50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95</v>
      </c>
      <c r="K126" s="6">
        <v>95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4" t="s">
        <v>26</v>
      </c>
      <c r="R126" s="4">
        <v>0</v>
      </c>
      <c r="S126" s="4" t="s">
        <v>158</v>
      </c>
      <c r="U126" s="4">
        <v>28</v>
      </c>
      <c r="V126" s="4">
        <v>0</v>
      </c>
      <c r="W126" s="4">
        <v>0</v>
      </c>
    </row>
    <row r="127" spans="1:23" ht="11.25" customHeight="1" x14ac:dyDescent="0.25">
      <c r="A127" s="4" t="s">
        <v>21</v>
      </c>
      <c r="B127" s="4" t="s">
        <v>39</v>
      </c>
      <c r="C127" s="4" t="s">
        <v>40</v>
      </c>
      <c r="D127" s="4" t="s">
        <v>50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44593</v>
      </c>
      <c r="J127" s="6">
        <v>97</v>
      </c>
      <c r="K127" s="6">
        <v>97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4" t="s">
        <v>26</v>
      </c>
      <c r="R127" s="4">
        <v>0</v>
      </c>
      <c r="S127" s="4" t="s">
        <v>159</v>
      </c>
      <c r="U127" s="4">
        <v>28</v>
      </c>
      <c r="V127" s="4">
        <v>0</v>
      </c>
      <c r="W127" s="4">
        <v>0</v>
      </c>
    </row>
    <row r="128" spans="1:23" ht="11.25" customHeight="1" x14ac:dyDescent="0.25">
      <c r="A128" s="4" t="s">
        <v>21</v>
      </c>
      <c r="B128" s="4" t="s">
        <v>39</v>
      </c>
      <c r="C128" s="4" t="s">
        <v>40</v>
      </c>
      <c r="D128" s="4" t="s">
        <v>50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96</v>
      </c>
      <c r="K128" s="6">
        <v>96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4" t="s">
        <v>26</v>
      </c>
      <c r="R128" s="4">
        <v>0</v>
      </c>
      <c r="S128" s="4" t="s">
        <v>160</v>
      </c>
      <c r="U128" s="4">
        <v>28</v>
      </c>
      <c r="V128" s="4">
        <v>0</v>
      </c>
      <c r="W128" s="4">
        <v>0</v>
      </c>
    </row>
    <row r="129" spans="1:23" ht="11.25" customHeight="1" x14ac:dyDescent="0.25">
      <c r="A129" s="4" t="s">
        <v>21</v>
      </c>
      <c r="B129" s="4" t="s">
        <v>39</v>
      </c>
      <c r="C129" s="4" t="s">
        <v>40</v>
      </c>
      <c r="D129" s="4" t="s">
        <v>50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95</v>
      </c>
      <c r="K129" s="6">
        <v>95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4" t="s">
        <v>26</v>
      </c>
      <c r="R129" s="4">
        <v>0</v>
      </c>
      <c r="S129" s="4" t="s">
        <v>161</v>
      </c>
      <c r="U129" s="4">
        <v>28</v>
      </c>
      <c r="V129" s="4">
        <v>0</v>
      </c>
      <c r="W129" s="4">
        <v>0</v>
      </c>
    </row>
    <row r="130" spans="1:23" ht="11.25" customHeight="1" x14ac:dyDescent="0.25">
      <c r="A130" s="4" t="s">
        <v>21</v>
      </c>
      <c r="B130" s="4" t="s">
        <v>39</v>
      </c>
      <c r="C130" s="4" t="s">
        <v>40</v>
      </c>
      <c r="D130" s="4" t="s">
        <v>50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44682</v>
      </c>
      <c r="J130" s="6">
        <v>95</v>
      </c>
      <c r="K130" s="6">
        <v>95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4" t="s">
        <v>162</v>
      </c>
      <c r="U130" s="4">
        <v>28</v>
      </c>
      <c r="V130" s="4">
        <v>0</v>
      </c>
      <c r="W130" s="4">
        <v>0</v>
      </c>
    </row>
    <row r="131" spans="1:23" ht="11.25" customHeight="1" x14ac:dyDescent="0.25">
      <c r="A131" s="4" t="s">
        <v>21</v>
      </c>
      <c r="B131" s="4" t="s">
        <v>39</v>
      </c>
      <c r="C131" s="4" t="s">
        <v>40</v>
      </c>
      <c r="D131" s="4" t="s">
        <v>50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95</v>
      </c>
      <c r="K131" s="6">
        <v>95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4" t="s">
        <v>26</v>
      </c>
      <c r="R131" s="4">
        <v>0</v>
      </c>
      <c r="S131" s="4" t="s">
        <v>163</v>
      </c>
      <c r="U131" s="4">
        <v>28</v>
      </c>
      <c r="V131" s="4">
        <v>0</v>
      </c>
      <c r="W131" s="4">
        <v>0</v>
      </c>
    </row>
    <row r="132" spans="1:23" ht="11.25" customHeight="1" x14ac:dyDescent="0.25">
      <c r="A132" s="4" t="s">
        <v>21</v>
      </c>
      <c r="B132" s="4" t="s">
        <v>39</v>
      </c>
      <c r="C132" s="4" t="s">
        <v>40</v>
      </c>
      <c r="D132" s="4" t="s">
        <v>50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95</v>
      </c>
      <c r="K132" s="6">
        <v>95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4" t="s">
        <v>164</v>
      </c>
      <c r="U132" s="4">
        <v>28</v>
      </c>
      <c r="V132" s="4">
        <v>0</v>
      </c>
      <c r="W132" s="4">
        <v>0</v>
      </c>
    </row>
    <row r="133" spans="1:23" ht="11.25" customHeight="1" x14ac:dyDescent="0.25">
      <c r="A133" s="4" t="s">
        <v>57</v>
      </c>
      <c r="B133" s="4" t="s">
        <v>39</v>
      </c>
      <c r="C133" s="4" t="s">
        <v>40</v>
      </c>
      <c r="D133" s="4" t="s">
        <v>50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44774</v>
      </c>
      <c r="J133" s="6">
        <v>95</v>
      </c>
      <c r="K133" s="6">
        <v>95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4" t="s">
        <v>165</v>
      </c>
      <c r="U133" s="4">
        <v>28</v>
      </c>
      <c r="V133" s="4">
        <v>0</v>
      </c>
      <c r="W133" s="4">
        <v>0</v>
      </c>
    </row>
    <row r="134" spans="1:23" ht="11.25" customHeight="1" x14ac:dyDescent="0.25">
      <c r="A134" s="4" t="s">
        <v>21</v>
      </c>
      <c r="B134" s="4" t="s">
        <v>39</v>
      </c>
      <c r="C134" s="4" t="s">
        <v>40</v>
      </c>
      <c r="D134" s="4" t="s">
        <v>50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44440</v>
      </c>
      <c r="J134" s="6">
        <v>0</v>
      </c>
      <c r="K134" s="6">
        <v>0</v>
      </c>
      <c r="L134" s="6">
        <v>1.103</v>
      </c>
      <c r="M134" s="6">
        <v>1.103</v>
      </c>
      <c r="N134" s="6">
        <v>1.103</v>
      </c>
      <c r="O134" s="6">
        <v>1.103</v>
      </c>
      <c r="P134" s="6">
        <v>0</v>
      </c>
      <c r="Q134" s="4" t="s">
        <v>26</v>
      </c>
      <c r="R134" s="4">
        <v>0</v>
      </c>
      <c r="S134" s="4" t="s">
        <v>166</v>
      </c>
      <c r="T134" s="4" t="s">
        <v>323</v>
      </c>
      <c r="U134" s="4">
        <v>0</v>
      </c>
      <c r="V134" s="4">
        <v>18</v>
      </c>
      <c r="W134" s="4">
        <v>64</v>
      </c>
    </row>
    <row r="135" spans="1:23" ht="11.25" customHeight="1" x14ac:dyDescent="0.25">
      <c r="A135" s="4" t="s">
        <v>21</v>
      </c>
      <c r="B135" s="4" t="s">
        <v>39</v>
      </c>
      <c r="C135" s="4" t="s">
        <v>40</v>
      </c>
      <c r="D135" s="4" t="s">
        <v>50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44470</v>
      </c>
      <c r="J135" s="6">
        <v>0</v>
      </c>
      <c r="K135" s="6">
        <v>0</v>
      </c>
      <c r="L135" s="6">
        <v>1.0249999999999999</v>
      </c>
      <c r="M135" s="6">
        <v>1.0249999999999999</v>
      </c>
      <c r="N135" s="6">
        <v>1.0249999999999999</v>
      </c>
      <c r="O135" s="6">
        <v>1.0249999999999999</v>
      </c>
      <c r="P135" s="6">
        <v>0</v>
      </c>
      <c r="Q135" s="4" t="s">
        <v>26</v>
      </c>
      <c r="R135" s="4">
        <v>0</v>
      </c>
      <c r="S135" s="4" t="s">
        <v>167</v>
      </c>
      <c r="T135" s="4" t="s">
        <v>324</v>
      </c>
      <c r="U135" s="4">
        <v>0</v>
      </c>
      <c r="V135" s="4">
        <v>18</v>
      </c>
      <c r="W135" s="4">
        <v>64</v>
      </c>
    </row>
    <row r="136" spans="1:23" ht="11.25" customHeight="1" x14ac:dyDescent="0.25">
      <c r="A136" s="4" t="s">
        <v>21</v>
      </c>
      <c r="B136" s="4" t="s">
        <v>39</v>
      </c>
      <c r="C136" s="4" t="s">
        <v>40</v>
      </c>
      <c r="D136" s="4" t="s">
        <v>50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44501</v>
      </c>
      <c r="J136" s="6">
        <v>0</v>
      </c>
      <c r="K136" s="6">
        <v>0</v>
      </c>
      <c r="L136" s="6">
        <v>1.085</v>
      </c>
      <c r="M136" s="6">
        <v>1.085</v>
      </c>
      <c r="N136" s="6">
        <v>1.085</v>
      </c>
      <c r="O136" s="6">
        <v>1.085</v>
      </c>
      <c r="P136" s="6">
        <v>0</v>
      </c>
      <c r="Q136" s="4" t="s">
        <v>26</v>
      </c>
      <c r="R136" s="4">
        <v>0</v>
      </c>
      <c r="S136" s="4" t="s">
        <v>168</v>
      </c>
      <c r="T136" s="4" t="s">
        <v>325</v>
      </c>
      <c r="U136" s="4">
        <v>0</v>
      </c>
      <c r="V136" s="4">
        <v>18</v>
      </c>
      <c r="W136" s="4">
        <v>64</v>
      </c>
    </row>
    <row r="137" spans="1:23" ht="11.25" customHeight="1" x14ac:dyDescent="0.25">
      <c r="A137" s="4" t="s">
        <v>21</v>
      </c>
      <c r="B137" s="4" t="s">
        <v>39</v>
      </c>
      <c r="C137" s="4" t="s">
        <v>40</v>
      </c>
      <c r="D137" s="4" t="s">
        <v>50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44531</v>
      </c>
      <c r="J137" s="6">
        <v>0</v>
      </c>
      <c r="K137" s="6">
        <v>0</v>
      </c>
      <c r="L137" s="6">
        <v>1.1830000000000001</v>
      </c>
      <c r="M137" s="6">
        <v>1.1830000000000001</v>
      </c>
      <c r="N137" s="6">
        <v>1.1830000000000001</v>
      </c>
      <c r="O137" s="6">
        <v>1.1830000000000001</v>
      </c>
      <c r="P137" s="6">
        <v>0</v>
      </c>
      <c r="Q137" s="4" t="s">
        <v>26</v>
      </c>
      <c r="R137" s="4">
        <v>0</v>
      </c>
      <c r="S137" s="4" t="s">
        <v>169</v>
      </c>
      <c r="T137" s="4" t="s">
        <v>326</v>
      </c>
      <c r="U137" s="4">
        <v>0</v>
      </c>
      <c r="V137" s="4">
        <v>18</v>
      </c>
      <c r="W137" s="4">
        <v>64</v>
      </c>
    </row>
    <row r="138" spans="1:23" ht="11.25" customHeight="1" x14ac:dyDescent="0.25">
      <c r="A138" s="4" t="s">
        <v>21</v>
      </c>
      <c r="B138" s="4" t="s">
        <v>39</v>
      </c>
      <c r="C138" s="4" t="s">
        <v>40</v>
      </c>
      <c r="D138" s="4" t="s">
        <v>50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44562</v>
      </c>
      <c r="J138" s="6">
        <v>0</v>
      </c>
      <c r="K138" s="6">
        <v>0</v>
      </c>
      <c r="L138" s="6">
        <v>1.1850000000000001</v>
      </c>
      <c r="M138" s="6">
        <v>1.1850000000000001</v>
      </c>
      <c r="N138" s="6">
        <v>1.1850000000000001</v>
      </c>
      <c r="O138" s="6">
        <v>1.1850000000000001</v>
      </c>
      <c r="P138" s="6">
        <v>0</v>
      </c>
      <c r="Q138" s="4" t="s">
        <v>26</v>
      </c>
      <c r="R138" s="4">
        <v>0</v>
      </c>
      <c r="S138" s="4" t="s">
        <v>170</v>
      </c>
      <c r="T138" s="4" t="s">
        <v>327</v>
      </c>
      <c r="U138" s="4">
        <v>0</v>
      </c>
      <c r="V138" s="4">
        <v>18</v>
      </c>
      <c r="W138" s="4">
        <v>64</v>
      </c>
    </row>
    <row r="139" spans="1:23" ht="11.25" customHeight="1" x14ac:dyDescent="0.25">
      <c r="A139" s="4" t="s">
        <v>21</v>
      </c>
      <c r="B139" s="4" t="s">
        <v>39</v>
      </c>
      <c r="C139" s="4" t="s">
        <v>40</v>
      </c>
      <c r="D139" s="4" t="s">
        <v>50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44593</v>
      </c>
      <c r="J139" s="6">
        <v>0</v>
      </c>
      <c r="K139" s="6">
        <v>0</v>
      </c>
      <c r="L139" s="6">
        <v>1.1040000000000001</v>
      </c>
      <c r="M139" s="6">
        <v>1.1040000000000001</v>
      </c>
      <c r="N139" s="6">
        <v>1.1040000000000001</v>
      </c>
      <c r="O139" s="6">
        <v>1.1040000000000001</v>
      </c>
      <c r="P139" s="6">
        <v>0</v>
      </c>
      <c r="Q139" s="4" t="s">
        <v>26</v>
      </c>
      <c r="R139" s="4">
        <v>0</v>
      </c>
      <c r="S139" s="4" t="s">
        <v>171</v>
      </c>
      <c r="T139" s="4" t="s">
        <v>328</v>
      </c>
      <c r="U139" s="4">
        <v>0</v>
      </c>
      <c r="V139" s="4">
        <v>18</v>
      </c>
      <c r="W139" s="4">
        <v>64</v>
      </c>
    </row>
    <row r="140" spans="1:23" ht="11.25" customHeight="1" x14ac:dyDescent="0.25">
      <c r="A140" s="4" t="s">
        <v>21</v>
      </c>
      <c r="B140" s="4" t="s">
        <v>39</v>
      </c>
      <c r="C140" s="4" t="s">
        <v>40</v>
      </c>
      <c r="D140" s="4" t="s">
        <v>50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44621</v>
      </c>
      <c r="J140" s="6">
        <v>0</v>
      </c>
      <c r="K140" s="6">
        <v>0</v>
      </c>
      <c r="L140" s="6">
        <v>1.284</v>
      </c>
      <c r="M140" s="6">
        <v>1.284</v>
      </c>
      <c r="N140" s="6">
        <v>1.284</v>
      </c>
      <c r="O140" s="6">
        <v>1.284</v>
      </c>
      <c r="P140" s="6">
        <v>0</v>
      </c>
      <c r="Q140" s="4" t="s">
        <v>26</v>
      </c>
      <c r="R140" s="4">
        <v>0</v>
      </c>
      <c r="S140" s="4" t="s">
        <v>172</v>
      </c>
      <c r="T140" s="4" t="s">
        <v>329</v>
      </c>
      <c r="U140" s="4">
        <v>0</v>
      </c>
      <c r="V140" s="4">
        <v>18</v>
      </c>
      <c r="W140" s="4">
        <v>64</v>
      </c>
    </row>
    <row r="141" spans="1:23" ht="11.25" customHeight="1" x14ac:dyDescent="0.25">
      <c r="A141" s="4" t="s">
        <v>21</v>
      </c>
      <c r="B141" s="4" t="s">
        <v>39</v>
      </c>
      <c r="C141" s="4" t="s">
        <v>40</v>
      </c>
      <c r="D141" s="4" t="s">
        <v>50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44652</v>
      </c>
      <c r="J141" s="6">
        <v>0</v>
      </c>
      <c r="K141" s="6">
        <v>0</v>
      </c>
      <c r="L141" s="6">
        <v>1.0269999999999999</v>
      </c>
      <c r="M141" s="6">
        <v>1.0269999999999999</v>
      </c>
      <c r="N141" s="6">
        <v>1.0269999999999999</v>
      </c>
      <c r="O141" s="6">
        <v>1.0269999999999999</v>
      </c>
      <c r="P141" s="6">
        <v>0</v>
      </c>
      <c r="Q141" s="4" t="s">
        <v>26</v>
      </c>
      <c r="R141" s="4">
        <v>0</v>
      </c>
      <c r="S141" s="4" t="s">
        <v>173</v>
      </c>
      <c r="T141" s="4" t="s">
        <v>330</v>
      </c>
      <c r="U141" s="4">
        <v>0</v>
      </c>
      <c r="V141" s="4">
        <v>18</v>
      </c>
      <c r="W141" s="4">
        <v>64</v>
      </c>
    </row>
    <row r="142" spans="1:23" ht="11.25" customHeight="1" x14ac:dyDescent="0.25">
      <c r="A142" s="4" t="s">
        <v>21</v>
      </c>
      <c r="B142" s="4" t="s">
        <v>39</v>
      </c>
      <c r="C142" s="4" t="s">
        <v>40</v>
      </c>
      <c r="D142" s="4" t="s">
        <v>50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44682</v>
      </c>
      <c r="J142" s="6">
        <v>0</v>
      </c>
      <c r="K142" s="6">
        <v>0</v>
      </c>
      <c r="L142" s="6">
        <v>1.0860000000000001</v>
      </c>
      <c r="M142" s="6">
        <v>1.0860000000000001</v>
      </c>
      <c r="N142" s="6">
        <v>1.0860000000000001</v>
      </c>
      <c r="O142" s="6">
        <v>1.0860000000000001</v>
      </c>
      <c r="P142" s="6">
        <v>0</v>
      </c>
      <c r="Q142" s="4" t="s">
        <v>26</v>
      </c>
      <c r="R142" s="4">
        <v>0</v>
      </c>
      <c r="S142" s="4" t="s">
        <v>174</v>
      </c>
      <c r="T142" s="4" t="s">
        <v>331</v>
      </c>
      <c r="U142" s="4">
        <v>0</v>
      </c>
      <c r="V142" s="4">
        <v>18</v>
      </c>
      <c r="W142" s="4">
        <v>64</v>
      </c>
    </row>
    <row r="143" spans="1:23" ht="11.25" customHeight="1" x14ac:dyDescent="0.25">
      <c r="A143" s="4" t="s">
        <v>21</v>
      </c>
      <c r="B143" s="4" t="s">
        <v>39</v>
      </c>
      <c r="C143" s="4" t="s">
        <v>40</v>
      </c>
      <c r="D143" s="4" t="s">
        <v>50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44713</v>
      </c>
      <c r="J143" s="6">
        <v>0</v>
      </c>
      <c r="K143" s="6">
        <v>0</v>
      </c>
      <c r="L143" s="6">
        <v>1.014</v>
      </c>
      <c r="M143" s="6">
        <v>1.014</v>
      </c>
      <c r="N143" s="6">
        <v>1.014</v>
      </c>
      <c r="O143" s="6">
        <v>1.014</v>
      </c>
      <c r="P143" s="6">
        <v>0</v>
      </c>
      <c r="Q143" s="4" t="s">
        <v>26</v>
      </c>
      <c r="R143" s="4">
        <v>0</v>
      </c>
      <c r="S143" s="4" t="s">
        <v>175</v>
      </c>
      <c r="T143" s="4" t="s">
        <v>332</v>
      </c>
      <c r="U143" s="4">
        <v>0</v>
      </c>
      <c r="V143" s="4">
        <v>18</v>
      </c>
      <c r="W143" s="4">
        <v>64</v>
      </c>
    </row>
    <row r="144" spans="1:23" ht="11.25" customHeight="1" x14ac:dyDescent="0.25">
      <c r="A144" s="4" t="s">
        <v>21</v>
      </c>
      <c r="B144" s="4" t="s">
        <v>39</v>
      </c>
      <c r="C144" s="4" t="s">
        <v>40</v>
      </c>
      <c r="D144" s="4" t="s">
        <v>50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44743</v>
      </c>
      <c r="J144" s="6">
        <v>0</v>
      </c>
      <c r="K144" s="6">
        <v>0</v>
      </c>
      <c r="L144" s="6">
        <v>1.0349999999999999</v>
      </c>
      <c r="M144" s="6">
        <v>1.0349999999999999</v>
      </c>
      <c r="N144" s="6">
        <v>1.0349999999999999</v>
      </c>
      <c r="O144" s="6">
        <v>1.0349999999999999</v>
      </c>
      <c r="P144" s="6">
        <v>0</v>
      </c>
      <c r="Q144" s="4" t="s">
        <v>26</v>
      </c>
      <c r="R144" s="4">
        <v>0</v>
      </c>
      <c r="S144" s="4" t="s">
        <v>176</v>
      </c>
      <c r="T144" s="4" t="s">
        <v>333</v>
      </c>
      <c r="U144" s="4">
        <v>0</v>
      </c>
      <c r="V144" s="4">
        <v>18</v>
      </c>
      <c r="W144" s="4">
        <v>64</v>
      </c>
    </row>
    <row r="145" spans="1:23" ht="11.25" customHeight="1" x14ac:dyDescent="0.25">
      <c r="A145" s="4" t="s">
        <v>57</v>
      </c>
      <c r="B145" s="4" t="s">
        <v>39</v>
      </c>
      <c r="C145" s="4" t="s">
        <v>40</v>
      </c>
      <c r="D145" s="4" t="s">
        <v>50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44774</v>
      </c>
      <c r="J145" s="6">
        <v>0</v>
      </c>
      <c r="K145" s="6">
        <v>0</v>
      </c>
      <c r="L145" s="6">
        <v>1.0349999999999999</v>
      </c>
      <c r="M145" s="6">
        <v>1.0349999999999999</v>
      </c>
      <c r="N145" s="6">
        <v>1.0349999999999999</v>
      </c>
      <c r="O145" s="6">
        <v>1.0349999999999999</v>
      </c>
      <c r="P145" s="6">
        <v>0</v>
      </c>
      <c r="Q145" s="4" t="s">
        <v>26</v>
      </c>
      <c r="R145" s="4">
        <v>0</v>
      </c>
      <c r="S145" s="4" t="s">
        <v>177</v>
      </c>
      <c r="T145" s="4" t="s">
        <v>334</v>
      </c>
      <c r="U145" s="4">
        <v>0</v>
      </c>
      <c r="V145" s="4">
        <v>18</v>
      </c>
      <c r="W145" s="4">
        <v>64</v>
      </c>
    </row>
    <row r="146" spans="1:23" ht="11.25" customHeight="1" x14ac:dyDescent="0.25">
      <c r="A146" s="4" t="s">
        <v>21</v>
      </c>
      <c r="B146" s="4" t="s">
        <v>39</v>
      </c>
      <c r="C146" s="4" t="s">
        <v>40</v>
      </c>
      <c r="D146" s="4" t="s">
        <v>34</v>
      </c>
      <c r="E146" s="4" t="s">
        <v>25</v>
      </c>
      <c r="F146" s="4" t="s">
        <v>25</v>
      </c>
      <c r="G146" s="4" t="s">
        <v>25</v>
      </c>
      <c r="H146" s="4" t="s">
        <v>38</v>
      </c>
      <c r="I146" s="5">
        <v>44440</v>
      </c>
      <c r="J146" s="6">
        <v>0</v>
      </c>
      <c r="K146" s="6">
        <v>0</v>
      </c>
      <c r="L146" s="6">
        <v>12866.733</v>
      </c>
      <c r="M146" s="6">
        <v>12866.733</v>
      </c>
      <c r="N146" s="6">
        <v>12866.733</v>
      </c>
      <c r="O146" s="6">
        <v>12866.733</v>
      </c>
      <c r="P146" s="6">
        <v>0</v>
      </c>
      <c r="Q146" s="4" t="s">
        <v>26</v>
      </c>
      <c r="R146" s="4">
        <v>0</v>
      </c>
      <c r="S146" s="4" t="s">
        <v>142</v>
      </c>
      <c r="T146" s="4" t="s">
        <v>311</v>
      </c>
      <c r="U146" s="4">
        <v>0</v>
      </c>
      <c r="V146" s="4">
        <v>3</v>
      </c>
      <c r="W146" s="4">
        <v>85</v>
      </c>
    </row>
    <row r="147" spans="1:23" ht="11.25" customHeight="1" x14ac:dyDescent="0.25">
      <c r="A147" s="4" t="s">
        <v>21</v>
      </c>
      <c r="B147" s="4" t="s">
        <v>39</v>
      </c>
      <c r="C147" s="4" t="s">
        <v>40</v>
      </c>
      <c r="D147" s="4" t="s">
        <v>34</v>
      </c>
      <c r="E147" s="4" t="s">
        <v>25</v>
      </c>
      <c r="F147" s="4" t="s">
        <v>25</v>
      </c>
      <c r="G147" s="4" t="s">
        <v>25</v>
      </c>
      <c r="H147" s="4" t="s">
        <v>38</v>
      </c>
      <c r="I147" s="5">
        <v>44470</v>
      </c>
      <c r="J147" s="6">
        <v>0</v>
      </c>
      <c r="K147" s="6">
        <v>0</v>
      </c>
      <c r="L147" s="6">
        <v>13220.275</v>
      </c>
      <c r="M147" s="6">
        <v>13220.275</v>
      </c>
      <c r="N147" s="6">
        <v>13220.275</v>
      </c>
      <c r="O147" s="6">
        <v>13220.275</v>
      </c>
      <c r="P147" s="6">
        <v>0</v>
      </c>
      <c r="Q147" s="4" t="s">
        <v>26</v>
      </c>
      <c r="R147" s="4">
        <v>0</v>
      </c>
      <c r="S147" s="4" t="s">
        <v>143</v>
      </c>
      <c r="T147" s="4" t="s">
        <v>312</v>
      </c>
      <c r="U147" s="4">
        <v>0</v>
      </c>
      <c r="V147" s="4">
        <v>3</v>
      </c>
      <c r="W147" s="4">
        <v>85</v>
      </c>
    </row>
    <row r="148" spans="1:23" ht="11.25" customHeight="1" x14ac:dyDescent="0.25">
      <c r="A148" s="4" t="s">
        <v>21</v>
      </c>
      <c r="B148" s="4" t="s">
        <v>39</v>
      </c>
      <c r="C148" s="4" t="s">
        <v>40</v>
      </c>
      <c r="D148" s="4" t="s">
        <v>34</v>
      </c>
      <c r="E148" s="4" t="s">
        <v>25</v>
      </c>
      <c r="F148" s="4" t="s">
        <v>25</v>
      </c>
      <c r="G148" s="4" t="s">
        <v>25</v>
      </c>
      <c r="H148" s="4" t="s">
        <v>38</v>
      </c>
      <c r="I148" s="5">
        <v>44501</v>
      </c>
      <c r="J148" s="6">
        <v>0</v>
      </c>
      <c r="K148" s="6">
        <v>0</v>
      </c>
      <c r="L148" s="6">
        <v>13251.582</v>
      </c>
      <c r="M148" s="6">
        <v>13251.582</v>
      </c>
      <c r="N148" s="6">
        <v>13251.582</v>
      </c>
      <c r="O148" s="6">
        <v>13251.582</v>
      </c>
      <c r="P148" s="6">
        <v>0</v>
      </c>
      <c r="Q148" s="4" t="s">
        <v>26</v>
      </c>
      <c r="R148" s="4">
        <v>0</v>
      </c>
      <c r="S148" s="4" t="s">
        <v>144</v>
      </c>
      <c r="T148" s="4" t="s">
        <v>313</v>
      </c>
      <c r="U148" s="4">
        <v>0</v>
      </c>
      <c r="V148" s="4">
        <v>3</v>
      </c>
      <c r="W148" s="4">
        <v>85</v>
      </c>
    </row>
    <row r="149" spans="1:23" ht="11.25" customHeight="1" x14ac:dyDescent="0.25">
      <c r="A149" s="4" t="s">
        <v>21</v>
      </c>
      <c r="B149" s="4" t="s">
        <v>39</v>
      </c>
      <c r="C149" s="4" t="s">
        <v>40</v>
      </c>
      <c r="D149" s="4" t="s">
        <v>34</v>
      </c>
      <c r="E149" s="4" t="s">
        <v>25</v>
      </c>
      <c r="F149" s="4" t="s">
        <v>25</v>
      </c>
      <c r="G149" s="4" t="s">
        <v>25</v>
      </c>
      <c r="H149" s="4" t="s">
        <v>38</v>
      </c>
      <c r="I149" s="5">
        <v>44531</v>
      </c>
      <c r="J149" s="6">
        <v>0</v>
      </c>
      <c r="K149" s="6">
        <v>0</v>
      </c>
      <c r="L149" s="6">
        <v>12253.656000000001</v>
      </c>
      <c r="M149" s="6">
        <v>12253.656000000001</v>
      </c>
      <c r="N149" s="6">
        <v>12253.656000000001</v>
      </c>
      <c r="O149" s="6">
        <v>12253.656000000001</v>
      </c>
      <c r="P149" s="6">
        <v>0</v>
      </c>
      <c r="Q149" s="4" t="s">
        <v>26</v>
      </c>
      <c r="R149" s="4">
        <v>0</v>
      </c>
      <c r="S149" s="4" t="s">
        <v>145</v>
      </c>
      <c r="T149" s="4" t="s">
        <v>314</v>
      </c>
      <c r="U149" s="4">
        <v>0</v>
      </c>
      <c r="V149" s="4">
        <v>3</v>
      </c>
      <c r="W149" s="4">
        <v>85</v>
      </c>
    </row>
    <row r="150" spans="1:23" ht="11.25" customHeight="1" x14ac:dyDescent="0.25">
      <c r="A150" s="4" t="s">
        <v>21</v>
      </c>
      <c r="B150" s="4" t="s">
        <v>39</v>
      </c>
      <c r="C150" s="4" t="s">
        <v>40</v>
      </c>
      <c r="D150" s="4" t="s">
        <v>34</v>
      </c>
      <c r="E150" s="4" t="s">
        <v>25</v>
      </c>
      <c r="F150" s="4" t="s">
        <v>25</v>
      </c>
      <c r="G150" s="4" t="s">
        <v>25</v>
      </c>
      <c r="H150" s="4" t="s">
        <v>38</v>
      </c>
      <c r="I150" s="5">
        <v>44562</v>
      </c>
      <c r="J150" s="6">
        <v>0</v>
      </c>
      <c r="K150" s="6">
        <v>0</v>
      </c>
      <c r="L150" s="6">
        <v>12307.626</v>
      </c>
      <c r="M150" s="6">
        <v>12307.626</v>
      </c>
      <c r="N150" s="6">
        <v>12307.626</v>
      </c>
      <c r="O150" s="6">
        <v>12307.626</v>
      </c>
      <c r="P150" s="6">
        <v>0</v>
      </c>
      <c r="Q150" s="4" t="s">
        <v>26</v>
      </c>
      <c r="R150" s="4">
        <v>0</v>
      </c>
      <c r="S150" s="4" t="s">
        <v>146</v>
      </c>
      <c r="T150" s="4" t="s">
        <v>315</v>
      </c>
      <c r="U150" s="4">
        <v>0</v>
      </c>
      <c r="V150" s="4">
        <v>3</v>
      </c>
      <c r="W150" s="4">
        <v>85</v>
      </c>
    </row>
    <row r="151" spans="1:23" ht="11.25" customHeight="1" x14ac:dyDescent="0.25">
      <c r="A151" s="4" t="s">
        <v>21</v>
      </c>
      <c r="B151" s="4" t="s">
        <v>39</v>
      </c>
      <c r="C151" s="4" t="s">
        <v>40</v>
      </c>
      <c r="D151" s="4" t="s">
        <v>34</v>
      </c>
      <c r="E151" s="4" t="s">
        <v>25</v>
      </c>
      <c r="F151" s="4" t="s">
        <v>25</v>
      </c>
      <c r="G151" s="4" t="s">
        <v>25</v>
      </c>
      <c r="H151" s="4" t="s">
        <v>38</v>
      </c>
      <c r="I151" s="5">
        <v>44593</v>
      </c>
      <c r="J151" s="6">
        <v>0</v>
      </c>
      <c r="K151" s="6">
        <v>0</v>
      </c>
      <c r="L151" s="6">
        <v>12617.851000000001</v>
      </c>
      <c r="M151" s="6">
        <v>12617.851000000001</v>
      </c>
      <c r="N151" s="6">
        <v>12617.851000000001</v>
      </c>
      <c r="O151" s="6">
        <v>12617.851000000001</v>
      </c>
      <c r="P151" s="6">
        <v>0</v>
      </c>
      <c r="Q151" s="4" t="s">
        <v>26</v>
      </c>
      <c r="R151" s="4">
        <v>0</v>
      </c>
      <c r="S151" s="4" t="s">
        <v>147</v>
      </c>
      <c r="T151" s="4" t="s">
        <v>316</v>
      </c>
      <c r="U151" s="4">
        <v>0</v>
      </c>
      <c r="V151" s="4">
        <v>3</v>
      </c>
      <c r="W151" s="4">
        <v>85</v>
      </c>
    </row>
    <row r="152" spans="1:23" ht="11.25" customHeight="1" x14ac:dyDescent="0.25">
      <c r="A152" s="4" t="s">
        <v>21</v>
      </c>
      <c r="B152" s="4" t="s">
        <v>39</v>
      </c>
      <c r="C152" s="4" t="s">
        <v>40</v>
      </c>
      <c r="D152" s="4" t="s">
        <v>34</v>
      </c>
      <c r="E152" s="4" t="s">
        <v>25</v>
      </c>
      <c r="F152" s="4" t="s">
        <v>25</v>
      </c>
      <c r="G152" s="4" t="s">
        <v>25</v>
      </c>
      <c r="H152" s="4" t="s">
        <v>38</v>
      </c>
      <c r="I152" s="5">
        <v>44621</v>
      </c>
      <c r="J152" s="6">
        <v>0</v>
      </c>
      <c r="K152" s="6">
        <v>0</v>
      </c>
      <c r="L152" s="6">
        <v>14615.763000000001</v>
      </c>
      <c r="M152" s="6">
        <v>14615.763000000001</v>
      </c>
      <c r="N152" s="6">
        <v>14615.763000000001</v>
      </c>
      <c r="O152" s="6">
        <v>14615.763000000001</v>
      </c>
      <c r="P152" s="6">
        <v>0</v>
      </c>
      <c r="Q152" s="4" t="s">
        <v>26</v>
      </c>
      <c r="R152" s="4">
        <v>0</v>
      </c>
      <c r="S152" s="4" t="s">
        <v>148</v>
      </c>
      <c r="T152" s="4" t="s">
        <v>317</v>
      </c>
      <c r="U152" s="4">
        <v>0</v>
      </c>
      <c r="V152" s="4">
        <v>3</v>
      </c>
      <c r="W152" s="4">
        <v>85</v>
      </c>
    </row>
    <row r="153" spans="1:23" ht="11.25" customHeight="1" x14ac:dyDescent="0.25">
      <c r="A153" s="4" t="s">
        <v>21</v>
      </c>
      <c r="B153" s="4" t="s">
        <v>39</v>
      </c>
      <c r="C153" s="4" t="s">
        <v>40</v>
      </c>
      <c r="D153" s="4" t="s">
        <v>34</v>
      </c>
      <c r="E153" s="4" t="s">
        <v>25</v>
      </c>
      <c r="F153" s="4" t="s">
        <v>25</v>
      </c>
      <c r="G153" s="4" t="s">
        <v>25</v>
      </c>
      <c r="H153" s="4" t="s">
        <v>38</v>
      </c>
      <c r="I153" s="5">
        <v>44652</v>
      </c>
      <c r="J153" s="6">
        <v>0</v>
      </c>
      <c r="K153" s="6">
        <v>0</v>
      </c>
      <c r="L153" s="6">
        <v>13316.296</v>
      </c>
      <c r="M153" s="6">
        <v>13316.296</v>
      </c>
      <c r="N153" s="6">
        <v>13316.296</v>
      </c>
      <c r="O153" s="6">
        <v>13316.296</v>
      </c>
      <c r="P153" s="6">
        <v>0</v>
      </c>
      <c r="Q153" s="4" t="s">
        <v>26</v>
      </c>
      <c r="R153" s="4">
        <v>0</v>
      </c>
      <c r="S153" s="4" t="s">
        <v>149</v>
      </c>
      <c r="T153" s="4" t="s">
        <v>318</v>
      </c>
      <c r="U153" s="4">
        <v>0</v>
      </c>
      <c r="V153" s="4">
        <v>3</v>
      </c>
      <c r="W153" s="4">
        <v>85</v>
      </c>
    </row>
    <row r="154" spans="1:23" ht="11.25" customHeight="1" x14ac:dyDescent="0.25">
      <c r="A154" s="4" t="s">
        <v>21</v>
      </c>
      <c r="B154" s="4" t="s">
        <v>39</v>
      </c>
      <c r="C154" s="4" t="s">
        <v>40</v>
      </c>
      <c r="D154" s="4" t="s">
        <v>34</v>
      </c>
      <c r="E154" s="4" t="s">
        <v>25</v>
      </c>
      <c r="F154" s="4" t="s">
        <v>25</v>
      </c>
      <c r="G154" s="4" t="s">
        <v>25</v>
      </c>
      <c r="H154" s="4" t="s">
        <v>38</v>
      </c>
      <c r="I154" s="5">
        <v>44682</v>
      </c>
      <c r="J154" s="6">
        <v>0</v>
      </c>
      <c r="K154" s="6">
        <v>0</v>
      </c>
      <c r="L154" s="6">
        <v>13825.42</v>
      </c>
      <c r="M154" s="6">
        <v>13825.42</v>
      </c>
      <c r="N154" s="6">
        <v>13825.42</v>
      </c>
      <c r="O154" s="6">
        <v>13825.42</v>
      </c>
      <c r="P154" s="6">
        <v>0</v>
      </c>
      <c r="Q154" s="4" t="s">
        <v>26</v>
      </c>
      <c r="R154" s="4">
        <v>0</v>
      </c>
      <c r="S154" s="4" t="s">
        <v>150</v>
      </c>
      <c r="T154" s="4" t="s">
        <v>319</v>
      </c>
      <c r="U154" s="4">
        <v>0</v>
      </c>
      <c r="V154" s="4">
        <v>3</v>
      </c>
      <c r="W154" s="4">
        <v>85</v>
      </c>
    </row>
    <row r="155" spans="1:23" ht="11.25" customHeight="1" x14ac:dyDescent="0.25">
      <c r="A155" s="4" t="s">
        <v>21</v>
      </c>
      <c r="B155" s="4" t="s">
        <v>39</v>
      </c>
      <c r="C155" s="4" t="s">
        <v>40</v>
      </c>
      <c r="D155" s="4" t="s">
        <v>34</v>
      </c>
      <c r="E155" s="4" t="s">
        <v>25</v>
      </c>
      <c r="F155" s="4" t="s">
        <v>25</v>
      </c>
      <c r="G155" s="4" t="s">
        <v>25</v>
      </c>
      <c r="H155" s="4" t="s">
        <v>38</v>
      </c>
      <c r="I155" s="5">
        <v>44713</v>
      </c>
      <c r="J155" s="6">
        <v>0</v>
      </c>
      <c r="K155" s="6">
        <v>0</v>
      </c>
      <c r="L155" s="6">
        <v>12988.965</v>
      </c>
      <c r="M155" s="6">
        <v>12988.965</v>
      </c>
      <c r="N155" s="6">
        <v>12988.965</v>
      </c>
      <c r="O155" s="6">
        <v>12988.965</v>
      </c>
      <c r="P155" s="6">
        <v>0</v>
      </c>
      <c r="Q155" s="4" t="s">
        <v>26</v>
      </c>
      <c r="R155" s="4">
        <v>0</v>
      </c>
      <c r="S155" s="4" t="s">
        <v>151</v>
      </c>
      <c r="T155" s="4" t="s">
        <v>320</v>
      </c>
      <c r="U155" s="4">
        <v>0</v>
      </c>
      <c r="V155" s="4">
        <v>3</v>
      </c>
      <c r="W155" s="4">
        <v>85</v>
      </c>
    </row>
    <row r="156" spans="1:23" ht="11.25" customHeight="1" x14ac:dyDescent="0.25">
      <c r="A156" s="4" t="s">
        <v>21</v>
      </c>
      <c r="B156" s="4" t="s">
        <v>39</v>
      </c>
      <c r="C156" s="4" t="s">
        <v>40</v>
      </c>
      <c r="D156" s="4" t="s">
        <v>34</v>
      </c>
      <c r="E156" s="4" t="s">
        <v>25</v>
      </c>
      <c r="F156" s="4" t="s">
        <v>25</v>
      </c>
      <c r="G156" s="4" t="s">
        <v>25</v>
      </c>
      <c r="H156" s="4" t="s">
        <v>38</v>
      </c>
      <c r="I156" s="5">
        <v>44743</v>
      </c>
      <c r="J156" s="6">
        <v>0</v>
      </c>
      <c r="K156" s="6">
        <v>0</v>
      </c>
      <c r="L156" s="6">
        <v>12817.423000000001</v>
      </c>
      <c r="M156" s="6">
        <v>12817.423000000001</v>
      </c>
      <c r="N156" s="6">
        <v>12817.423000000001</v>
      </c>
      <c r="O156" s="6">
        <v>12817.423000000001</v>
      </c>
      <c r="P156" s="6">
        <v>0</v>
      </c>
      <c r="Q156" s="4" t="s">
        <v>26</v>
      </c>
      <c r="R156" s="4">
        <v>0</v>
      </c>
      <c r="S156" s="4" t="s">
        <v>152</v>
      </c>
      <c r="T156" s="4" t="s">
        <v>321</v>
      </c>
      <c r="U156" s="4">
        <v>0</v>
      </c>
      <c r="V156" s="4">
        <v>3</v>
      </c>
      <c r="W156" s="4">
        <v>85</v>
      </c>
    </row>
    <row r="157" spans="1:23" ht="11.25" customHeight="1" x14ac:dyDescent="0.25">
      <c r="A157" s="4" t="s">
        <v>57</v>
      </c>
      <c r="B157" s="4" t="s">
        <v>39</v>
      </c>
      <c r="C157" s="4" t="s">
        <v>40</v>
      </c>
      <c r="D157" s="4" t="s">
        <v>34</v>
      </c>
      <c r="E157" s="4" t="s">
        <v>25</v>
      </c>
      <c r="F157" s="4" t="s">
        <v>25</v>
      </c>
      <c r="G157" s="4" t="s">
        <v>25</v>
      </c>
      <c r="H157" s="4" t="s">
        <v>38</v>
      </c>
      <c r="I157" s="5">
        <v>44774</v>
      </c>
      <c r="J157" s="6">
        <v>0</v>
      </c>
      <c r="K157" s="6">
        <v>0</v>
      </c>
      <c r="L157" s="6">
        <v>12817.423000000001</v>
      </c>
      <c r="M157" s="6">
        <v>12817.423000000001</v>
      </c>
      <c r="N157" s="6">
        <v>12817.423000000001</v>
      </c>
      <c r="O157" s="6">
        <v>12817.423000000001</v>
      </c>
      <c r="P157" s="6">
        <v>0</v>
      </c>
      <c r="Q157" s="4" t="s">
        <v>26</v>
      </c>
      <c r="R157" s="4">
        <v>0</v>
      </c>
      <c r="S157" s="4" t="s">
        <v>153</v>
      </c>
      <c r="T157" s="4" t="s">
        <v>322</v>
      </c>
      <c r="U157" s="4">
        <v>0</v>
      </c>
      <c r="V157" s="4">
        <v>3</v>
      </c>
      <c r="W157" s="4">
        <v>85</v>
      </c>
    </row>
    <row r="158" spans="1:23" ht="11.25" customHeight="1" x14ac:dyDescent="0.25">
      <c r="A158" s="4" t="s">
        <v>21</v>
      </c>
      <c r="B158" s="4" t="s">
        <v>39</v>
      </c>
      <c r="C158" s="4" t="s">
        <v>40</v>
      </c>
      <c r="D158" s="4" t="s">
        <v>34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44440</v>
      </c>
      <c r="J158" s="6">
        <v>49987</v>
      </c>
      <c r="K158" s="6">
        <v>49987</v>
      </c>
      <c r="L158" s="6">
        <v>0</v>
      </c>
      <c r="M158" s="6">
        <v>0</v>
      </c>
      <c r="N158" s="6">
        <v>0</v>
      </c>
      <c r="O158" s="6">
        <v>0</v>
      </c>
      <c r="P158" s="6">
        <v>97</v>
      </c>
      <c r="Q158" s="4" t="s">
        <v>26</v>
      </c>
      <c r="R158" s="4">
        <v>0</v>
      </c>
      <c r="S158" s="4" t="s">
        <v>154</v>
      </c>
      <c r="U158" s="4">
        <v>28</v>
      </c>
      <c r="V158" s="4">
        <v>0</v>
      </c>
      <c r="W158" s="4">
        <v>0</v>
      </c>
    </row>
    <row r="159" spans="1:23" ht="11.25" customHeight="1" x14ac:dyDescent="0.25">
      <c r="A159" s="4" t="s">
        <v>21</v>
      </c>
      <c r="B159" s="4" t="s">
        <v>39</v>
      </c>
      <c r="C159" s="4" t="s">
        <v>40</v>
      </c>
      <c r="D159" s="4" t="s">
        <v>34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44470</v>
      </c>
      <c r="J159" s="6">
        <v>50387</v>
      </c>
      <c r="K159" s="6">
        <v>50387</v>
      </c>
      <c r="L159" s="6">
        <v>0</v>
      </c>
      <c r="M159" s="6">
        <v>0</v>
      </c>
      <c r="N159" s="6">
        <v>0</v>
      </c>
      <c r="O159" s="6">
        <v>0</v>
      </c>
      <c r="P159" s="6">
        <v>98</v>
      </c>
      <c r="Q159" s="4" t="s">
        <v>26</v>
      </c>
      <c r="R159" s="4">
        <v>0</v>
      </c>
      <c r="S159" s="4" t="s">
        <v>155</v>
      </c>
      <c r="U159" s="4">
        <v>28</v>
      </c>
      <c r="V159" s="4">
        <v>0</v>
      </c>
      <c r="W159" s="4">
        <v>0</v>
      </c>
    </row>
    <row r="160" spans="1:23" ht="11.25" customHeight="1" x14ac:dyDescent="0.25">
      <c r="A160" s="4" t="s">
        <v>21</v>
      </c>
      <c r="B160" s="4" t="s">
        <v>39</v>
      </c>
      <c r="C160" s="4" t="s">
        <v>40</v>
      </c>
      <c r="D160" s="4" t="s">
        <v>34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44501</v>
      </c>
      <c r="J160" s="6">
        <v>49779</v>
      </c>
      <c r="K160" s="6">
        <v>49779</v>
      </c>
      <c r="L160" s="6">
        <v>0</v>
      </c>
      <c r="M160" s="6">
        <v>0</v>
      </c>
      <c r="N160" s="6">
        <v>0</v>
      </c>
      <c r="O160" s="6">
        <v>0</v>
      </c>
      <c r="P160" s="6">
        <v>98</v>
      </c>
      <c r="Q160" s="4" t="s">
        <v>26</v>
      </c>
      <c r="R160" s="4">
        <v>0</v>
      </c>
      <c r="S160" s="4" t="s">
        <v>156</v>
      </c>
      <c r="U160" s="4">
        <v>28</v>
      </c>
      <c r="V160" s="4">
        <v>0</v>
      </c>
      <c r="W160" s="4">
        <v>0</v>
      </c>
    </row>
    <row r="161" spans="1:23" ht="11.25" customHeight="1" x14ac:dyDescent="0.25">
      <c r="A161" s="4" t="s">
        <v>21</v>
      </c>
      <c r="B161" s="4" t="s">
        <v>39</v>
      </c>
      <c r="C161" s="4" t="s">
        <v>40</v>
      </c>
      <c r="D161" s="4" t="s">
        <v>34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44531</v>
      </c>
      <c r="J161" s="6">
        <v>49875</v>
      </c>
      <c r="K161" s="6">
        <v>49875</v>
      </c>
      <c r="L161" s="6">
        <v>0</v>
      </c>
      <c r="M161" s="6">
        <v>0</v>
      </c>
      <c r="N161" s="6">
        <v>0</v>
      </c>
      <c r="O161" s="6">
        <v>0</v>
      </c>
      <c r="P161" s="6">
        <v>99</v>
      </c>
      <c r="Q161" s="4" t="s">
        <v>26</v>
      </c>
      <c r="R161" s="4">
        <v>0</v>
      </c>
      <c r="S161" s="4" t="s">
        <v>157</v>
      </c>
      <c r="U161" s="4">
        <v>28</v>
      </c>
      <c r="V161" s="4">
        <v>0</v>
      </c>
      <c r="W161" s="4">
        <v>0</v>
      </c>
    </row>
    <row r="162" spans="1:23" ht="11.25" customHeight="1" x14ac:dyDescent="0.25">
      <c r="A162" s="4" t="s">
        <v>21</v>
      </c>
      <c r="B162" s="4" t="s">
        <v>39</v>
      </c>
      <c r="C162" s="4" t="s">
        <v>40</v>
      </c>
      <c r="D162" s="4" t="s">
        <v>34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44562</v>
      </c>
      <c r="J162" s="6">
        <v>49908</v>
      </c>
      <c r="K162" s="6">
        <v>49908</v>
      </c>
      <c r="L162" s="6">
        <v>0</v>
      </c>
      <c r="M162" s="6">
        <v>0</v>
      </c>
      <c r="N162" s="6">
        <v>0</v>
      </c>
      <c r="O162" s="6">
        <v>0</v>
      </c>
      <c r="P162" s="6">
        <v>98</v>
      </c>
      <c r="Q162" s="4" t="s">
        <v>26</v>
      </c>
      <c r="R162" s="4">
        <v>0</v>
      </c>
      <c r="S162" s="4" t="s">
        <v>158</v>
      </c>
      <c r="U162" s="4">
        <v>28</v>
      </c>
      <c r="V162" s="4">
        <v>0</v>
      </c>
      <c r="W162" s="4">
        <v>0</v>
      </c>
    </row>
    <row r="163" spans="1:23" ht="11.25" customHeight="1" x14ac:dyDescent="0.25">
      <c r="A163" s="4" t="s">
        <v>21</v>
      </c>
      <c r="B163" s="4" t="s">
        <v>39</v>
      </c>
      <c r="C163" s="4" t="s">
        <v>40</v>
      </c>
      <c r="D163" s="4" t="s">
        <v>34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44593</v>
      </c>
      <c r="J163" s="6">
        <v>50952</v>
      </c>
      <c r="K163" s="6">
        <v>50952</v>
      </c>
      <c r="L163" s="6">
        <v>0</v>
      </c>
      <c r="M163" s="6">
        <v>0</v>
      </c>
      <c r="N163" s="6">
        <v>0</v>
      </c>
      <c r="O163" s="6">
        <v>0</v>
      </c>
      <c r="P163" s="6">
        <v>98</v>
      </c>
      <c r="Q163" s="4" t="s">
        <v>26</v>
      </c>
      <c r="R163" s="4">
        <v>0</v>
      </c>
      <c r="S163" s="4" t="s">
        <v>159</v>
      </c>
      <c r="U163" s="4">
        <v>28</v>
      </c>
      <c r="V163" s="4">
        <v>0</v>
      </c>
      <c r="W163" s="4">
        <v>0</v>
      </c>
    </row>
    <row r="164" spans="1:23" ht="11.25" customHeight="1" x14ac:dyDescent="0.25">
      <c r="A164" s="4" t="s">
        <v>21</v>
      </c>
      <c r="B164" s="4" t="s">
        <v>39</v>
      </c>
      <c r="C164" s="4" t="s">
        <v>40</v>
      </c>
      <c r="D164" s="4" t="s">
        <v>34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44621</v>
      </c>
      <c r="J164" s="6">
        <v>51344</v>
      </c>
      <c r="K164" s="6">
        <v>51344</v>
      </c>
      <c r="L164" s="6">
        <v>0</v>
      </c>
      <c r="M164" s="6">
        <v>0</v>
      </c>
      <c r="N164" s="6">
        <v>0</v>
      </c>
      <c r="O164" s="6">
        <v>0</v>
      </c>
      <c r="P164" s="6">
        <v>98</v>
      </c>
      <c r="Q164" s="4" t="s">
        <v>26</v>
      </c>
      <c r="R164" s="4">
        <v>0</v>
      </c>
      <c r="S164" s="4" t="s">
        <v>160</v>
      </c>
      <c r="U164" s="4">
        <v>28</v>
      </c>
      <c r="V164" s="4">
        <v>0</v>
      </c>
      <c r="W164" s="4">
        <v>0</v>
      </c>
    </row>
    <row r="165" spans="1:23" ht="11.25" customHeight="1" x14ac:dyDescent="0.25">
      <c r="A165" s="4" t="s">
        <v>21</v>
      </c>
      <c r="B165" s="4" t="s">
        <v>39</v>
      </c>
      <c r="C165" s="4" t="s">
        <v>40</v>
      </c>
      <c r="D165" s="4" t="s">
        <v>34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44652</v>
      </c>
      <c r="J165" s="6">
        <v>51137</v>
      </c>
      <c r="K165" s="6">
        <v>51137</v>
      </c>
      <c r="L165" s="6">
        <v>0</v>
      </c>
      <c r="M165" s="6">
        <v>0</v>
      </c>
      <c r="N165" s="6">
        <v>0</v>
      </c>
      <c r="O165" s="6">
        <v>0</v>
      </c>
      <c r="P165" s="6">
        <v>98</v>
      </c>
      <c r="Q165" s="4" t="s">
        <v>26</v>
      </c>
      <c r="R165" s="4">
        <v>0</v>
      </c>
      <c r="S165" s="4" t="s">
        <v>161</v>
      </c>
      <c r="U165" s="4">
        <v>28</v>
      </c>
      <c r="V165" s="4">
        <v>0</v>
      </c>
      <c r="W165" s="4">
        <v>0</v>
      </c>
    </row>
    <row r="166" spans="1:23" ht="11.25" customHeight="1" x14ac:dyDescent="0.25">
      <c r="A166" s="4" t="s">
        <v>21</v>
      </c>
      <c r="B166" s="4" t="s">
        <v>39</v>
      </c>
      <c r="C166" s="4" t="s">
        <v>40</v>
      </c>
      <c r="D166" s="4" t="s">
        <v>34</v>
      </c>
      <c r="E166" s="4" t="s">
        <v>25</v>
      </c>
      <c r="F166" s="4" t="s">
        <v>25</v>
      </c>
      <c r="G166" s="4" t="s">
        <v>25</v>
      </c>
      <c r="H166" s="4" t="s">
        <v>25</v>
      </c>
      <c r="I166" s="5">
        <v>44682</v>
      </c>
      <c r="J166" s="6">
        <v>50938</v>
      </c>
      <c r="K166" s="6">
        <v>50938</v>
      </c>
      <c r="L166" s="6">
        <v>0</v>
      </c>
      <c r="M166" s="6">
        <v>0</v>
      </c>
      <c r="N166" s="6">
        <v>0</v>
      </c>
      <c r="O166" s="6">
        <v>0</v>
      </c>
      <c r="P166" s="6">
        <v>96</v>
      </c>
      <c r="Q166" s="4" t="s">
        <v>26</v>
      </c>
      <c r="R166" s="4">
        <v>0</v>
      </c>
      <c r="S166" s="4" t="s">
        <v>162</v>
      </c>
      <c r="U166" s="4">
        <v>28</v>
      </c>
      <c r="V166" s="4">
        <v>0</v>
      </c>
      <c r="W166" s="4">
        <v>0</v>
      </c>
    </row>
    <row r="167" spans="1:23" ht="11.25" customHeight="1" x14ac:dyDescent="0.25">
      <c r="A167" s="4" t="s">
        <v>21</v>
      </c>
      <c r="B167" s="4" t="s">
        <v>39</v>
      </c>
      <c r="C167" s="4" t="s">
        <v>40</v>
      </c>
      <c r="D167" s="4" t="s">
        <v>34</v>
      </c>
      <c r="E167" s="4" t="s">
        <v>25</v>
      </c>
      <c r="F167" s="4" t="s">
        <v>25</v>
      </c>
      <c r="G167" s="4" t="s">
        <v>25</v>
      </c>
      <c r="H167" s="4" t="s">
        <v>25</v>
      </c>
      <c r="I167" s="5">
        <v>44713</v>
      </c>
      <c r="J167" s="6">
        <v>50300</v>
      </c>
      <c r="K167" s="6">
        <v>50300</v>
      </c>
      <c r="L167" s="6">
        <v>0</v>
      </c>
      <c r="M167" s="6">
        <v>0</v>
      </c>
      <c r="N167" s="6">
        <v>0</v>
      </c>
      <c r="O167" s="6">
        <v>0</v>
      </c>
      <c r="P167" s="6">
        <v>97</v>
      </c>
      <c r="Q167" s="4" t="s">
        <v>26</v>
      </c>
      <c r="R167" s="4">
        <v>0</v>
      </c>
      <c r="S167" s="4" t="s">
        <v>163</v>
      </c>
      <c r="U167" s="4">
        <v>28</v>
      </c>
      <c r="V167" s="4">
        <v>0</v>
      </c>
      <c r="W167" s="4">
        <v>0</v>
      </c>
    </row>
    <row r="168" spans="1:23" ht="11.25" customHeight="1" x14ac:dyDescent="0.25">
      <c r="A168" s="4" t="s">
        <v>21</v>
      </c>
      <c r="B168" s="4" t="s">
        <v>39</v>
      </c>
      <c r="C168" s="4" t="s">
        <v>40</v>
      </c>
      <c r="D168" s="4" t="s">
        <v>34</v>
      </c>
      <c r="E168" s="4" t="s">
        <v>25</v>
      </c>
      <c r="F168" s="4" t="s">
        <v>25</v>
      </c>
      <c r="G168" s="4" t="s">
        <v>25</v>
      </c>
      <c r="H168" s="4" t="s">
        <v>25</v>
      </c>
      <c r="I168" s="5">
        <v>44743</v>
      </c>
      <c r="J168" s="6">
        <v>50687</v>
      </c>
      <c r="K168" s="6">
        <v>50687</v>
      </c>
      <c r="L168" s="6">
        <v>0</v>
      </c>
      <c r="M168" s="6">
        <v>0</v>
      </c>
      <c r="N168" s="6">
        <v>0</v>
      </c>
      <c r="O168" s="6">
        <v>0</v>
      </c>
      <c r="P168" s="6">
        <v>97</v>
      </c>
      <c r="Q168" s="4" t="s">
        <v>26</v>
      </c>
      <c r="R168" s="4">
        <v>0</v>
      </c>
      <c r="S168" s="4" t="s">
        <v>164</v>
      </c>
      <c r="U168" s="4">
        <v>28</v>
      </c>
      <c r="V168" s="4">
        <v>0</v>
      </c>
      <c r="W168" s="4">
        <v>0</v>
      </c>
    </row>
    <row r="169" spans="1:23" ht="11.25" customHeight="1" x14ac:dyDescent="0.25">
      <c r="A169" s="4" t="s">
        <v>57</v>
      </c>
      <c r="B169" s="4" t="s">
        <v>39</v>
      </c>
      <c r="C169" s="4" t="s">
        <v>40</v>
      </c>
      <c r="D169" s="4" t="s">
        <v>34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44774</v>
      </c>
      <c r="J169" s="6">
        <v>50687</v>
      </c>
      <c r="K169" s="6">
        <v>50687</v>
      </c>
      <c r="L169" s="6">
        <v>0</v>
      </c>
      <c r="M169" s="6">
        <v>0</v>
      </c>
      <c r="N169" s="6">
        <v>0</v>
      </c>
      <c r="O169" s="6">
        <v>0</v>
      </c>
      <c r="P169" s="6">
        <v>97</v>
      </c>
      <c r="Q169" s="4" t="s">
        <v>26</v>
      </c>
      <c r="R169" s="4">
        <v>0</v>
      </c>
      <c r="S169" s="4" t="s">
        <v>165</v>
      </c>
      <c r="U169" s="4">
        <v>28</v>
      </c>
      <c r="V169" s="4">
        <v>0</v>
      </c>
      <c r="W169" s="4">
        <v>0</v>
      </c>
    </row>
    <row r="170" spans="1:23" ht="11.25" customHeight="1" x14ac:dyDescent="0.25">
      <c r="A170" s="4" t="s">
        <v>21</v>
      </c>
      <c r="B170" s="4" t="s">
        <v>39</v>
      </c>
      <c r="C170" s="4" t="s">
        <v>40</v>
      </c>
      <c r="D170" s="4" t="s">
        <v>34</v>
      </c>
      <c r="E170" s="4" t="s">
        <v>25</v>
      </c>
      <c r="F170" s="4" t="s">
        <v>25</v>
      </c>
      <c r="G170" s="4" t="s">
        <v>25</v>
      </c>
      <c r="H170" s="4" t="s">
        <v>37</v>
      </c>
      <c r="I170" s="5">
        <v>44440</v>
      </c>
      <c r="J170" s="6">
        <v>0</v>
      </c>
      <c r="K170" s="6">
        <v>0</v>
      </c>
      <c r="L170" s="6">
        <v>811.77</v>
      </c>
      <c r="M170" s="6">
        <v>811.77</v>
      </c>
      <c r="N170" s="6">
        <v>811.77</v>
      </c>
      <c r="O170" s="6">
        <v>811.77</v>
      </c>
      <c r="P170" s="6">
        <v>0</v>
      </c>
      <c r="Q170" s="4" t="s">
        <v>26</v>
      </c>
      <c r="R170" s="4">
        <v>0</v>
      </c>
      <c r="S170" s="4" t="s">
        <v>166</v>
      </c>
      <c r="T170" s="4" t="s">
        <v>323</v>
      </c>
      <c r="U170" s="4">
        <v>0</v>
      </c>
      <c r="V170" s="4">
        <v>18</v>
      </c>
      <c r="W170" s="4">
        <v>64</v>
      </c>
    </row>
    <row r="171" spans="1:23" ht="11.25" customHeight="1" x14ac:dyDescent="0.25">
      <c r="A171" s="4" t="s">
        <v>21</v>
      </c>
      <c r="B171" s="4" t="s">
        <v>39</v>
      </c>
      <c r="C171" s="4" t="s">
        <v>40</v>
      </c>
      <c r="D171" s="4" t="s">
        <v>34</v>
      </c>
      <c r="E171" s="4" t="s">
        <v>25</v>
      </c>
      <c r="F171" s="4" t="s">
        <v>25</v>
      </c>
      <c r="G171" s="4" t="s">
        <v>25</v>
      </c>
      <c r="H171" s="4" t="s">
        <v>37</v>
      </c>
      <c r="I171" s="5">
        <v>44470</v>
      </c>
      <c r="J171" s="6">
        <v>0</v>
      </c>
      <c r="K171" s="6">
        <v>0</v>
      </c>
      <c r="L171" s="6">
        <v>789.99699999999996</v>
      </c>
      <c r="M171" s="6">
        <v>789.99699999999996</v>
      </c>
      <c r="N171" s="6">
        <v>789.99699999999996</v>
      </c>
      <c r="O171" s="6">
        <v>789.99699999999996</v>
      </c>
      <c r="P171" s="6">
        <v>0</v>
      </c>
      <c r="Q171" s="4" t="s">
        <v>26</v>
      </c>
      <c r="R171" s="4">
        <v>0</v>
      </c>
      <c r="S171" s="4" t="s">
        <v>167</v>
      </c>
      <c r="T171" s="4" t="s">
        <v>324</v>
      </c>
      <c r="U171" s="4">
        <v>0</v>
      </c>
      <c r="V171" s="4">
        <v>18</v>
      </c>
      <c r="W171" s="4">
        <v>64</v>
      </c>
    </row>
    <row r="172" spans="1:23" ht="11.25" customHeight="1" x14ac:dyDescent="0.25">
      <c r="A172" s="4" t="s">
        <v>21</v>
      </c>
      <c r="B172" s="4" t="s">
        <v>39</v>
      </c>
      <c r="C172" s="4" t="s">
        <v>40</v>
      </c>
      <c r="D172" s="4" t="s">
        <v>34</v>
      </c>
      <c r="E172" s="4" t="s">
        <v>25</v>
      </c>
      <c r="F172" s="4" t="s">
        <v>25</v>
      </c>
      <c r="G172" s="4" t="s">
        <v>25</v>
      </c>
      <c r="H172" s="4" t="s">
        <v>37</v>
      </c>
      <c r="I172" s="5">
        <v>44501</v>
      </c>
      <c r="J172" s="6">
        <v>0</v>
      </c>
      <c r="K172" s="6">
        <v>0</v>
      </c>
      <c r="L172" s="6">
        <v>805.73800000000006</v>
      </c>
      <c r="M172" s="6">
        <v>805.73800000000006</v>
      </c>
      <c r="N172" s="6">
        <v>805.73800000000006</v>
      </c>
      <c r="O172" s="6">
        <v>805.73800000000006</v>
      </c>
      <c r="P172" s="6">
        <v>0</v>
      </c>
      <c r="Q172" s="4" t="s">
        <v>26</v>
      </c>
      <c r="R172" s="4">
        <v>0</v>
      </c>
      <c r="S172" s="4" t="s">
        <v>168</v>
      </c>
      <c r="T172" s="4" t="s">
        <v>325</v>
      </c>
      <c r="U172" s="4">
        <v>0</v>
      </c>
      <c r="V172" s="4">
        <v>18</v>
      </c>
      <c r="W172" s="4">
        <v>64</v>
      </c>
    </row>
    <row r="173" spans="1:23" ht="11.25" customHeight="1" x14ac:dyDescent="0.25">
      <c r="A173" s="4" t="s">
        <v>21</v>
      </c>
      <c r="B173" s="4" t="s">
        <v>39</v>
      </c>
      <c r="C173" s="4" t="s">
        <v>40</v>
      </c>
      <c r="D173" s="4" t="s">
        <v>34</v>
      </c>
      <c r="E173" s="4" t="s">
        <v>25</v>
      </c>
      <c r="F173" s="4" t="s">
        <v>25</v>
      </c>
      <c r="G173" s="4" t="s">
        <v>25</v>
      </c>
      <c r="H173" s="4" t="s">
        <v>37</v>
      </c>
      <c r="I173" s="5">
        <v>44531</v>
      </c>
      <c r="J173" s="6">
        <v>0</v>
      </c>
      <c r="K173" s="6">
        <v>0</v>
      </c>
      <c r="L173" s="6">
        <v>823.31500000000005</v>
      </c>
      <c r="M173" s="6">
        <v>823.31500000000005</v>
      </c>
      <c r="N173" s="6">
        <v>823.31500000000005</v>
      </c>
      <c r="O173" s="6">
        <v>823.31500000000005</v>
      </c>
      <c r="P173" s="6">
        <v>0</v>
      </c>
      <c r="Q173" s="4" t="s">
        <v>26</v>
      </c>
      <c r="R173" s="4">
        <v>0</v>
      </c>
      <c r="S173" s="4" t="s">
        <v>169</v>
      </c>
      <c r="T173" s="4" t="s">
        <v>326</v>
      </c>
      <c r="U173" s="4">
        <v>0</v>
      </c>
      <c r="V173" s="4">
        <v>18</v>
      </c>
      <c r="W173" s="4">
        <v>64</v>
      </c>
    </row>
    <row r="174" spans="1:23" ht="11.25" customHeight="1" x14ac:dyDescent="0.25">
      <c r="A174" s="4" t="s">
        <v>21</v>
      </c>
      <c r="B174" s="4" t="s">
        <v>39</v>
      </c>
      <c r="C174" s="4" t="s">
        <v>40</v>
      </c>
      <c r="D174" s="4" t="s">
        <v>34</v>
      </c>
      <c r="E174" s="4" t="s">
        <v>25</v>
      </c>
      <c r="F174" s="4" t="s">
        <v>25</v>
      </c>
      <c r="G174" s="4" t="s">
        <v>25</v>
      </c>
      <c r="H174" s="4" t="s">
        <v>37</v>
      </c>
      <c r="I174" s="5">
        <v>44562</v>
      </c>
      <c r="J174" s="6">
        <v>0</v>
      </c>
      <c r="K174" s="6">
        <v>0</v>
      </c>
      <c r="L174" s="6">
        <v>778.56700000000001</v>
      </c>
      <c r="M174" s="6">
        <v>778.56700000000001</v>
      </c>
      <c r="N174" s="6">
        <v>778.56700000000001</v>
      </c>
      <c r="O174" s="6">
        <v>778.56700000000001</v>
      </c>
      <c r="P174" s="6">
        <v>0</v>
      </c>
      <c r="Q174" s="4" t="s">
        <v>26</v>
      </c>
      <c r="R174" s="4">
        <v>0</v>
      </c>
      <c r="S174" s="4" t="s">
        <v>170</v>
      </c>
      <c r="T174" s="4" t="s">
        <v>327</v>
      </c>
      <c r="U174" s="4">
        <v>0</v>
      </c>
      <c r="V174" s="4">
        <v>18</v>
      </c>
      <c r="W174" s="4">
        <v>64</v>
      </c>
    </row>
    <row r="175" spans="1:23" ht="11.25" customHeight="1" x14ac:dyDescent="0.25">
      <c r="A175" s="4" t="s">
        <v>21</v>
      </c>
      <c r="B175" s="4" t="s">
        <v>39</v>
      </c>
      <c r="C175" s="4" t="s">
        <v>40</v>
      </c>
      <c r="D175" s="4" t="s">
        <v>34</v>
      </c>
      <c r="E175" s="4" t="s">
        <v>25</v>
      </c>
      <c r="F175" s="4" t="s">
        <v>25</v>
      </c>
      <c r="G175" s="4" t="s">
        <v>25</v>
      </c>
      <c r="H175" s="4" t="s">
        <v>37</v>
      </c>
      <c r="I175" s="5">
        <v>44593</v>
      </c>
      <c r="J175" s="6">
        <v>0</v>
      </c>
      <c r="K175" s="6">
        <v>0</v>
      </c>
      <c r="L175" s="6">
        <v>778.85</v>
      </c>
      <c r="M175" s="6">
        <v>778.85</v>
      </c>
      <c r="N175" s="6">
        <v>778.85</v>
      </c>
      <c r="O175" s="6">
        <v>778.85</v>
      </c>
      <c r="P175" s="6">
        <v>0</v>
      </c>
      <c r="Q175" s="4" t="s">
        <v>26</v>
      </c>
      <c r="R175" s="4">
        <v>0</v>
      </c>
      <c r="S175" s="4" t="s">
        <v>171</v>
      </c>
      <c r="T175" s="4" t="s">
        <v>328</v>
      </c>
      <c r="U175" s="4">
        <v>0</v>
      </c>
      <c r="V175" s="4">
        <v>18</v>
      </c>
      <c r="W175" s="4">
        <v>64</v>
      </c>
    </row>
    <row r="176" spans="1:23" ht="11.25" customHeight="1" x14ac:dyDescent="0.25">
      <c r="A176" s="4" t="s">
        <v>21</v>
      </c>
      <c r="B176" s="4" t="s">
        <v>39</v>
      </c>
      <c r="C176" s="4" t="s">
        <v>40</v>
      </c>
      <c r="D176" s="4" t="s">
        <v>34</v>
      </c>
      <c r="E176" s="4" t="s">
        <v>25</v>
      </c>
      <c r="F176" s="4" t="s">
        <v>25</v>
      </c>
      <c r="G176" s="4" t="s">
        <v>25</v>
      </c>
      <c r="H176" s="4" t="s">
        <v>37</v>
      </c>
      <c r="I176" s="5">
        <v>44621</v>
      </c>
      <c r="J176" s="6">
        <v>0</v>
      </c>
      <c r="K176" s="6">
        <v>0</v>
      </c>
      <c r="L176" s="6">
        <v>860.54499999999996</v>
      </c>
      <c r="M176" s="6">
        <v>860.54499999999996</v>
      </c>
      <c r="N176" s="6">
        <v>860.54499999999996</v>
      </c>
      <c r="O176" s="6">
        <v>860.54499999999996</v>
      </c>
      <c r="P176" s="6">
        <v>0</v>
      </c>
      <c r="Q176" s="4" t="s">
        <v>26</v>
      </c>
      <c r="R176" s="4">
        <v>0</v>
      </c>
      <c r="S176" s="4" t="s">
        <v>172</v>
      </c>
      <c r="T176" s="4" t="s">
        <v>329</v>
      </c>
      <c r="U176" s="4">
        <v>0</v>
      </c>
      <c r="V176" s="4">
        <v>18</v>
      </c>
      <c r="W176" s="4">
        <v>64</v>
      </c>
    </row>
    <row r="177" spans="1:23" ht="11.25" customHeight="1" x14ac:dyDescent="0.25">
      <c r="A177" s="4" t="s">
        <v>21</v>
      </c>
      <c r="B177" s="4" t="s">
        <v>39</v>
      </c>
      <c r="C177" s="4" t="s">
        <v>40</v>
      </c>
      <c r="D177" s="4" t="s">
        <v>34</v>
      </c>
      <c r="E177" s="4" t="s">
        <v>25</v>
      </c>
      <c r="F177" s="4" t="s">
        <v>25</v>
      </c>
      <c r="G177" s="4" t="s">
        <v>25</v>
      </c>
      <c r="H177" s="4" t="s">
        <v>37</v>
      </c>
      <c r="I177" s="5">
        <v>44652</v>
      </c>
      <c r="J177" s="6">
        <v>0</v>
      </c>
      <c r="K177" s="6">
        <v>0</v>
      </c>
      <c r="L177" s="6">
        <v>770.42499999999995</v>
      </c>
      <c r="M177" s="6">
        <v>770.42499999999995</v>
      </c>
      <c r="N177" s="6">
        <v>770.42499999999995</v>
      </c>
      <c r="O177" s="6">
        <v>770.42499999999995</v>
      </c>
      <c r="P177" s="6">
        <v>0</v>
      </c>
      <c r="Q177" s="4" t="s">
        <v>26</v>
      </c>
      <c r="R177" s="4">
        <v>0</v>
      </c>
      <c r="S177" s="4" t="s">
        <v>173</v>
      </c>
      <c r="T177" s="4" t="s">
        <v>330</v>
      </c>
      <c r="U177" s="4">
        <v>0</v>
      </c>
      <c r="V177" s="4">
        <v>18</v>
      </c>
      <c r="W177" s="4">
        <v>64</v>
      </c>
    </row>
    <row r="178" spans="1:23" ht="11.25" customHeight="1" x14ac:dyDescent="0.25">
      <c r="A178" s="4" t="s">
        <v>21</v>
      </c>
      <c r="B178" s="4" t="s">
        <v>39</v>
      </c>
      <c r="C178" s="4" t="s">
        <v>40</v>
      </c>
      <c r="D178" s="4" t="s">
        <v>34</v>
      </c>
      <c r="E178" s="4" t="s">
        <v>25</v>
      </c>
      <c r="F178" s="4" t="s">
        <v>25</v>
      </c>
      <c r="G178" s="4" t="s">
        <v>25</v>
      </c>
      <c r="H178" s="4" t="s">
        <v>37</v>
      </c>
      <c r="I178" s="5">
        <v>44682</v>
      </c>
      <c r="J178" s="6">
        <v>0</v>
      </c>
      <c r="K178" s="6">
        <v>0</v>
      </c>
      <c r="L178" s="6">
        <v>887.73900000000003</v>
      </c>
      <c r="M178" s="6">
        <v>887.73900000000003</v>
      </c>
      <c r="N178" s="6">
        <v>887.73900000000003</v>
      </c>
      <c r="O178" s="6">
        <v>887.73900000000003</v>
      </c>
      <c r="P178" s="6">
        <v>0</v>
      </c>
      <c r="Q178" s="4" t="s">
        <v>26</v>
      </c>
      <c r="R178" s="4">
        <v>0</v>
      </c>
      <c r="S178" s="4" t="s">
        <v>174</v>
      </c>
      <c r="T178" s="4" t="s">
        <v>331</v>
      </c>
      <c r="U178" s="4">
        <v>0</v>
      </c>
      <c r="V178" s="4">
        <v>18</v>
      </c>
      <c r="W178" s="4">
        <v>64</v>
      </c>
    </row>
    <row r="179" spans="1:23" ht="11.25" customHeight="1" x14ac:dyDescent="0.25">
      <c r="A179" s="4" t="s">
        <v>21</v>
      </c>
      <c r="B179" s="4" t="s">
        <v>39</v>
      </c>
      <c r="C179" s="4" t="s">
        <v>40</v>
      </c>
      <c r="D179" s="4" t="s">
        <v>34</v>
      </c>
      <c r="E179" s="4" t="s">
        <v>25</v>
      </c>
      <c r="F179" s="4" t="s">
        <v>25</v>
      </c>
      <c r="G179" s="4" t="s">
        <v>25</v>
      </c>
      <c r="H179" s="4" t="s">
        <v>37</v>
      </c>
      <c r="I179" s="5">
        <v>44713</v>
      </c>
      <c r="J179" s="6">
        <v>0</v>
      </c>
      <c r="K179" s="6">
        <v>0</v>
      </c>
      <c r="L179" s="6">
        <v>867.57</v>
      </c>
      <c r="M179" s="6">
        <v>867.57</v>
      </c>
      <c r="N179" s="6">
        <v>867.57</v>
      </c>
      <c r="O179" s="6">
        <v>867.57</v>
      </c>
      <c r="P179" s="6">
        <v>0</v>
      </c>
      <c r="Q179" s="4" t="s">
        <v>26</v>
      </c>
      <c r="R179" s="4">
        <v>0</v>
      </c>
      <c r="S179" s="4" t="s">
        <v>175</v>
      </c>
      <c r="T179" s="4" t="s">
        <v>332</v>
      </c>
      <c r="U179" s="4">
        <v>0</v>
      </c>
      <c r="V179" s="4">
        <v>18</v>
      </c>
      <c r="W179" s="4">
        <v>64</v>
      </c>
    </row>
    <row r="180" spans="1:23" ht="11.25" customHeight="1" x14ac:dyDescent="0.25">
      <c r="A180" s="4" t="s">
        <v>21</v>
      </c>
      <c r="B180" s="4" t="s">
        <v>39</v>
      </c>
      <c r="C180" s="4" t="s">
        <v>40</v>
      </c>
      <c r="D180" s="4" t="s">
        <v>34</v>
      </c>
      <c r="E180" s="4" t="s">
        <v>25</v>
      </c>
      <c r="F180" s="4" t="s">
        <v>25</v>
      </c>
      <c r="G180" s="4" t="s">
        <v>25</v>
      </c>
      <c r="H180" s="4" t="s">
        <v>37</v>
      </c>
      <c r="I180" s="5">
        <v>44743</v>
      </c>
      <c r="J180" s="6">
        <v>0</v>
      </c>
      <c r="K180" s="6">
        <v>0</v>
      </c>
      <c r="L180" s="6">
        <v>893.82100000000003</v>
      </c>
      <c r="M180" s="6">
        <v>893.82100000000003</v>
      </c>
      <c r="N180" s="6">
        <v>893.82100000000003</v>
      </c>
      <c r="O180" s="6">
        <v>893.82100000000003</v>
      </c>
      <c r="P180" s="6">
        <v>0</v>
      </c>
      <c r="Q180" s="4" t="s">
        <v>26</v>
      </c>
      <c r="R180" s="4">
        <v>0</v>
      </c>
      <c r="S180" s="4" t="s">
        <v>176</v>
      </c>
      <c r="T180" s="4" t="s">
        <v>333</v>
      </c>
      <c r="U180" s="4">
        <v>0</v>
      </c>
      <c r="V180" s="4">
        <v>18</v>
      </c>
      <c r="W180" s="4">
        <v>64</v>
      </c>
    </row>
    <row r="181" spans="1:23" ht="11.25" customHeight="1" x14ac:dyDescent="0.25">
      <c r="A181" s="4" t="s">
        <v>57</v>
      </c>
      <c r="B181" s="4" t="s">
        <v>39</v>
      </c>
      <c r="C181" s="4" t="s">
        <v>40</v>
      </c>
      <c r="D181" s="4" t="s">
        <v>34</v>
      </c>
      <c r="E181" s="4" t="s">
        <v>25</v>
      </c>
      <c r="F181" s="4" t="s">
        <v>25</v>
      </c>
      <c r="G181" s="4" t="s">
        <v>25</v>
      </c>
      <c r="H181" s="4" t="s">
        <v>37</v>
      </c>
      <c r="I181" s="5">
        <v>44774</v>
      </c>
      <c r="J181" s="6">
        <v>0</v>
      </c>
      <c r="K181" s="6">
        <v>0</v>
      </c>
      <c r="L181" s="6">
        <v>893.82100000000003</v>
      </c>
      <c r="M181" s="6">
        <v>893.82100000000003</v>
      </c>
      <c r="N181" s="6">
        <v>893.82100000000003</v>
      </c>
      <c r="O181" s="6">
        <v>893.82100000000003</v>
      </c>
      <c r="P181" s="6">
        <v>0</v>
      </c>
      <c r="Q181" s="4" t="s">
        <v>26</v>
      </c>
      <c r="R181" s="4">
        <v>0</v>
      </c>
      <c r="S181" s="4" t="s">
        <v>177</v>
      </c>
      <c r="T181" s="4" t="s">
        <v>334</v>
      </c>
      <c r="U181" s="4">
        <v>0</v>
      </c>
      <c r="V181" s="4">
        <v>18</v>
      </c>
      <c r="W181" s="4">
        <v>64</v>
      </c>
    </row>
    <row r="182" spans="1:23" ht="11.25" customHeight="1" x14ac:dyDescent="0.25">
      <c r="A182" s="4" t="s">
        <v>21</v>
      </c>
      <c r="B182" s="4" t="s">
        <v>39</v>
      </c>
      <c r="C182" s="4" t="s">
        <v>40</v>
      </c>
      <c r="D182" s="4" t="s">
        <v>44</v>
      </c>
      <c r="E182" s="4" t="s">
        <v>25</v>
      </c>
      <c r="F182" s="4" t="s">
        <v>25</v>
      </c>
      <c r="G182" s="4" t="s">
        <v>25</v>
      </c>
      <c r="H182" s="4" t="s">
        <v>38</v>
      </c>
      <c r="I182" s="5">
        <v>44440</v>
      </c>
      <c r="J182" s="6">
        <v>0</v>
      </c>
      <c r="K182" s="6">
        <v>0</v>
      </c>
      <c r="L182" s="6">
        <v>20.654</v>
      </c>
      <c r="M182" s="6">
        <v>20.654</v>
      </c>
      <c r="N182" s="6">
        <v>20.654</v>
      </c>
      <c r="O182" s="6">
        <v>20.654</v>
      </c>
      <c r="P182" s="6">
        <v>0</v>
      </c>
      <c r="Q182" s="4" t="s">
        <v>26</v>
      </c>
      <c r="R182" s="4">
        <v>0</v>
      </c>
      <c r="S182" s="4" t="s">
        <v>142</v>
      </c>
      <c r="T182" s="4" t="s">
        <v>311</v>
      </c>
      <c r="U182" s="4">
        <v>0</v>
      </c>
      <c r="V182" s="4">
        <v>3</v>
      </c>
      <c r="W182" s="4">
        <v>85</v>
      </c>
    </row>
    <row r="183" spans="1:23" ht="11.25" customHeight="1" x14ac:dyDescent="0.25">
      <c r="A183" s="4" t="s">
        <v>21</v>
      </c>
      <c r="B183" s="4" t="s">
        <v>39</v>
      </c>
      <c r="C183" s="4" t="s">
        <v>40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38</v>
      </c>
      <c r="I183" s="5">
        <v>44470</v>
      </c>
      <c r="J183" s="6">
        <v>0</v>
      </c>
      <c r="K183" s="6">
        <v>0</v>
      </c>
      <c r="L183" s="6">
        <v>21.516999999999999</v>
      </c>
      <c r="M183" s="6">
        <v>21.516999999999999</v>
      </c>
      <c r="N183" s="6">
        <v>21.516999999999999</v>
      </c>
      <c r="O183" s="6">
        <v>21.516999999999999</v>
      </c>
      <c r="P183" s="6">
        <v>0</v>
      </c>
      <c r="Q183" s="4" t="s">
        <v>26</v>
      </c>
      <c r="R183" s="4">
        <v>0</v>
      </c>
      <c r="S183" s="4" t="s">
        <v>143</v>
      </c>
      <c r="T183" s="4" t="s">
        <v>312</v>
      </c>
      <c r="U183" s="4">
        <v>0</v>
      </c>
      <c r="V183" s="4">
        <v>3</v>
      </c>
      <c r="W183" s="4">
        <v>85</v>
      </c>
    </row>
    <row r="184" spans="1:23" ht="11.25" customHeight="1" x14ac:dyDescent="0.25">
      <c r="A184" s="4" t="s">
        <v>21</v>
      </c>
      <c r="B184" s="4" t="s">
        <v>39</v>
      </c>
      <c r="C184" s="4" t="s">
        <v>40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38</v>
      </c>
      <c r="I184" s="5">
        <v>44501</v>
      </c>
      <c r="J184" s="6">
        <v>0</v>
      </c>
      <c r="K184" s="6">
        <v>0</v>
      </c>
      <c r="L184" s="6">
        <v>22.597000000000001</v>
      </c>
      <c r="M184" s="6">
        <v>22.597000000000001</v>
      </c>
      <c r="N184" s="6">
        <v>22.597000000000001</v>
      </c>
      <c r="O184" s="6">
        <v>22.597000000000001</v>
      </c>
      <c r="P184" s="6">
        <v>0</v>
      </c>
      <c r="Q184" s="4" t="s">
        <v>26</v>
      </c>
      <c r="R184" s="4">
        <v>0</v>
      </c>
      <c r="S184" s="4" t="s">
        <v>144</v>
      </c>
      <c r="T184" s="4" t="s">
        <v>313</v>
      </c>
      <c r="U184" s="4">
        <v>0</v>
      </c>
      <c r="V184" s="4">
        <v>3</v>
      </c>
      <c r="W184" s="4">
        <v>85</v>
      </c>
    </row>
    <row r="185" spans="1:23" ht="11.25" customHeight="1" x14ac:dyDescent="0.25">
      <c r="A185" s="4" t="s">
        <v>21</v>
      </c>
      <c r="B185" s="4" t="s">
        <v>39</v>
      </c>
      <c r="C185" s="4" t="s">
        <v>40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38</v>
      </c>
      <c r="I185" s="5">
        <v>44531</v>
      </c>
      <c r="J185" s="6">
        <v>0</v>
      </c>
      <c r="K185" s="6">
        <v>0</v>
      </c>
      <c r="L185" s="6">
        <v>20.936</v>
      </c>
      <c r="M185" s="6">
        <v>20.936</v>
      </c>
      <c r="N185" s="6">
        <v>20.936</v>
      </c>
      <c r="O185" s="6">
        <v>20.936</v>
      </c>
      <c r="P185" s="6">
        <v>0</v>
      </c>
      <c r="Q185" s="4" t="s">
        <v>26</v>
      </c>
      <c r="R185" s="4">
        <v>0</v>
      </c>
      <c r="S185" s="4" t="s">
        <v>145</v>
      </c>
      <c r="T185" s="4" t="s">
        <v>314</v>
      </c>
      <c r="U185" s="4">
        <v>0</v>
      </c>
      <c r="V185" s="4">
        <v>3</v>
      </c>
      <c r="W185" s="4">
        <v>85</v>
      </c>
    </row>
    <row r="186" spans="1:23" ht="11.25" customHeight="1" x14ac:dyDescent="0.25">
      <c r="A186" s="4" t="s">
        <v>21</v>
      </c>
      <c r="B186" s="4" t="s">
        <v>39</v>
      </c>
      <c r="C186" s="4" t="s">
        <v>40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38</v>
      </c>
      <c r="I186" s="5">
        <v>44562</v>
      </c>
      <c r="J186" s="6">
        <v>0</v>
      </c>
      <c r="K186" s="6">
        <v>0</v>
      </c>
      <c r="L186" s="6">
        <v>25.707000000000001</v>
      </c>
      <c r="M186" s="6">
        <v>25.707000000000001</v>
      </c>
      <c r="N186" s="6">
        <v>25.707000000000001</v>
      </c>
      <c r="O186" s="6">
        <v>25.707000000000001</v>
      </c>
      <c r="P186" s="6">
        <v>0</v>
      </c>
      <c r="Q186" s="4" t="s">
        <v>26</v>
      </c>
      <c r="R186" s="4">
        <v>0</v>
      </c>
      <c r="S186" s="4" t="s">
        <v>146</v>
      </c>
      <c r="T186" s="4" t="s">
        <v>315</v>
      </c>
      <c r="U186" s="4">
        <v>0</v>
      </c>
      <c r="V186" s="4">
        <v>3</v>
      </c>
      <c r="W186" s="4">
        <v>85</v>
      </c>
    </row>
    <row r="187" spans="1:23" ht="11.25" customHeight="1" x14ac:dyDescent="0.25">
      <c r="A187" s="4" t="s">
        <v>21</v>
      </c>
      <c r="B187" s="4" t="s">
        <v>39</v>
      </c>
      <c r="C187" s="4" t="s">
        <v>40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38</v>
      </c>
      <c r="I187" s="5">
        <v>44593</v>
      </c>
      <c r="J187" s="6">
        <v>0</v>
      </c>
      <c r="K187" s="6">
        <v>0</v>
      </c>
      <c r="L187" s="6">
        <v>28.829000000000001</v>
      </c>
      <c r="M187" s="6">
        <v>28.829000000000001</v>
      </c>
      <c r="N187" s="6">
        <v>28.829000000000001</v>
      </c>
      <c r="O187" s="6">
        <v>28.829000000000001</v>
      </c>
      <c r="P187" s="6">
        <v>0</v>
      </c>
      <c r="Q187" s="4" t="s">
        <v>26</v>
      </c>
      <c r="R187" s="4">
        <v>0</v>
      </c>
      <c r="S187" s="4" t="s">
        <v>147</v>
      </c>
      <c r="T187" s="4" t="s">
        <v>316</v>
      </c>
      <c r="U187" s="4">
        <v>0</v>
      </c>
      <c r="V187" s="4">
        <v>3</v>
      </c>
      <c r="W187" s="4">
        <v>85</v>
      </c>
    </row>
    <row r="188" spans="1:23" ht="11.25" customHeight="1" x14ac:dyDescent="0.25">
      <c r="A188" s="4" t="s">
        <v>21</v>
      </c>
      <c r="B188" s="4" t="s">
        <v>39</v>
      </c>
      <c r="C188" s="4" t="s">
        <v>40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38</v>
      </c>
      <c r="I188" s="5">
        <v>44621</v>
      </c>
      <c r="J188" s="6">
        <v>0</v>
      </c>
      <c r="K188" s="6">
        <v>0</v>
      </c>
      <c r="L188" s="6">
        <v>28.777000000000001</v>
      </c>
      <c r="M188" s="6">
        <v>28.777000000000001</v>
      </c>
      <c r="N188" s="6">
        <v>28.777000000000001</v>
      </c>
      <c r="O188" s="6">
        <v>28.777000000000001</v>
      </c>
      <c r="P188" s="6">
        <v>0</v>
      </c>
      <c r="Q188" s="4" t="s">
        <v>26</v>
      </c>
      <c r="R188" s="4">
        <v>0</v>
      </c>
      <c r="S188" s="4" t="s">
        <v>148</v>
      </c>
      <c r="T188" s="4" t="s">
        <v>317</v>
      </c>
      <c r="U188" s="4">
        <v>0</v>
      </c>
      <c r="V188" s="4">
        <v>3</v>
      </c>
      <c r="W188" s="4">
        <v>85</v>
      </c>
    </row>
    <row r="189" spans="1:23" ht="11.25" customHeight="1" x14ac:dyDescent="0.25">
      <c r="A189" s="4" t="s">
        <v>21</v>
      </c>
      <c r="B189" s="4" t="s">
        <v>39</v>
      </c>
      <c r="C189" s="4" t="s">
        <v>40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38</v>
      </c>
      <c r="I189" s="5">
        <v>44652</v>
      </c>
      <c r="J189" s="6">
        <v>0</v>
      </c>
      <c r="K189" s="6">
        <v>0</v>
      </c>
      <c r="L189" s="6">
        <v>22.367000000000001</v>
      </c>
      <c r="M189" s="6">
        <v>22.367000000000001</v>
      </c>
      <c r="N189" s="6">
        <v>22.367000000000001</v>
      </c>
      <c r="O189" s="6">
        <v>22.367000000000001</v>
      </c>
      <c r="P189" s="6">
        <v>0</v>
      </c>
      <c r="Q189" s="4" t="s">
        <v>26</v>
      </c>
      <c r="R189" s="4">
        <v>0</v>
      </c>
      <c r="S189" s="4" t="s">
        <v>149</v>
      </c>
      <c r="T189" s="4" t="s">
        <v>318</v>
      </c>
      <c r="U189" s="4">
        <v>0</v>
      </c>
      <c r="V189" s="4">
        <v>3</v>
      </c>
      <c r="W189" s="4">
        <v>85</v>
      </c>
    </row>
    <row r="190" spans="1:23" ht="11.25" customHeight="1" x14ac:dyDescent="0.25">
      <c r="A190" s="4" t="s">
        <v>21</v>
      </c>
      <c r="B190" s="4" t="s">
        <v>39</v>
      </c>
      <c r="C190" s="4" t="s">
        <v>40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38</v>
      </c>
      <c r="I190" s="5">
        <v>44682</v>
      </c>
      <c r="J190" s="6">
        <v>0</v>
      </c>
      <c r="K190" s="6">
        <v>0</v>
      </c>
      <c r="L190" s="6">
        <v>20.501999999999999</v>
      </c>
      <c r="M190" s="6">
        <v>20.501999999999999</v>
      </c>
      <c r="N190" s="6">
        <v>20.501999999999999</v>
      </c>
      <c r="O190" s="6">
        <v>20.501999999999999</v>
      </c>
      <c r="P190" s="6">
        <v>0</v>
      </c>
      <c r="Q190" s="4" t="s">
        <v>26</v>
      </c>
      <c r="R190" s="4">
        <v>0</v>
      </c>
      <c r="S190" s="4" t="s">
        <v>150</v>
      </c>
      <c r="T190" s="4" t="s">
        <v>319</v>
      </c>
      <c r="U190" s="4">
        <v>0</v>
      </c>
      <c r="V190" s="4">
        <v>3</v>
      </c>
      <c r="W190" s="4">
        <v>85</v>
      </c>
    </row>
    <row r="191" spans="1:23" ht="11.25" customHeight="1" x14ac:dyDescent="0.25">
      <c r="A191" s="4" t="s">
        <v>21</v>
      </c>
      <c r="B191" s="4" t="s">
        <v>39</v>
      </c>
      <c r="C191" s="4" t="s">
        <v>40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38</v>
      </c>
      <c r="I191" s="5">
        <v>44713</v>
      </c>
      <c r="J191" s="6">
        <v>0</v>
      </c>
      <c r="K191" s="6">
        <v>0</v>
      </c>
      <c r="L191" s="6">
        <v>21.259</v>
      </c>
      <c r="M191" s="6">
        <v>21.259</v>
      </c>
      <c r="N191" s="6">
        <v>21.259</v>
      </c>
      <c r="O191" s="6">
        <v>21.259</v>
      </c>
      <c r="P191" s="6">
        <v>0</v>
      </c>
      <c r="Q191" s="4" t="s">
        <v>26</v>
      </c>
      <c r="R191" s="4">
        <v>0</v>
      </c>
      <c r="S191" s="4" t="s">
        <v>151</v>
      </c>
      <c r="T191" s="4" t="s">
        <v>320</v>
      </c>
      <c r="U191" s="4">
        <v>0</v>
      </c>
      <c r="V191" s="4">
        <v>3</v>
      </c>
      <c r="W191" s="4">
        <v>85</v>
      </c>
    </row>
    <row r="192" spans="1:23" ht="11.25" customHeight="1" x14ac:dyDescent="0.25">
      <c r="A192" s="4" t="s">
        <v>21</v>
      </c>
      <c r="B192" s="4" t="s">
        <v>39</v>
      </c>
      <c r="C192" s="4" t="s">
        <v>40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38</v>
      </c>
      <c r="I192" s="5">
        <v>44743</v>
      </c>
      <c r="J192" s="6">
        <v>0</v>
      </c>
      <c r="K192" s="6">
        <v>0</v>
      </c>
      <c r="L192" s="6">
        <v>20.71</v>
      </c>
      <c r="M192" s="6">
        <v>20.71</v>
      </c>
      <c r="N192" s="6">
        <v>20.71</v>
      </c>
      <c r="O192" s="6">
        <v>20.71</v>
      </c>
      <c r="P192" s="6">
        <v>0</v>
      </c>
      <c r="Q192" s="4" t="s">
        <v>26</v>
      </c>
      <c r="R192" s="4">
        <v>0</v>
      </c>
      <c r="S192" s="4" t="s">
        <v>152</v>
      </c>
      <c r="T192" s="4" t="s">
        <v>321</v>
      </c>
      <c r="U192" s="4">
        <v>0</v>
      </c>
      <c r="V192" s="4">
        <v>3</v>
      </c>
      <c r="W192" s="4">
        <v>85</v>
      </c>
    </row>
    <row r="193" spans="1:23" ht="11.25" customHeight="1" x14ac:dyDescent="0.25">
      <c r="A193" s="4" t="s">
        <v>57</v>
      </c>
      <c r="B193" s="4" t="s">
        <v>39</v>
      </c>
      <c r="C193" s="4" t="s">
        <v>40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38</v>
      </c>
      <c r="I193" s="5">
        <v>44774</v>
      </c>
      <c r="J193" s="6">
        <v>0</v>
      </c>
      <c r="K193" s="6">
        <v>0</v>
      </c>
      <c r="L193" s="6">
        <v>20.71</v>
      </c>
      <c r="M193" s="6">
        <v>20.71</v>
      </c>
      <c r="N193" s="6">
        <v>20.71</v>
      </c>
      <c r="O193" s="6">
        <v>20.71</v>
      </c>
      <c r="P193" s="6">
        <v>0</v>
      </c>
      <c r="Q193" s="4" t="s">
        <v>26</v>
      </c>
      <c r="R193" s="4">
        <v>0</v>
      </c>
      <c r="S193" s="4" t="s">
        <v>153</v>
      </c>
      <c r="T193" s="4" t="s">
        <v>322</v>
      </c>
      <c r="U193" s="4">
        <v>0</v>
      </c>
      <c r="V193" s="4">
        <v>3</v>
      </c>
      <c r="W193" s="4">
        <v>85</v>
      </c>
    </row>
    <row r="194" spans="1:23" ht="11.25" customHeight="1" x14ac:dyDescent="0.25">
      <c r="A194" s="4" t="s">
        <v>21</v>
      </c>
      <c r="B194" s="4" t="s">
        <v>39</v>
      </c>
      <c r="C194" s="4" t="s">
        <v>40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320</v>
      </c>
      <c r="K194" s="6">
        <v>320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4" t="s">
        <v>154</v>
      </c>
      <c r="U194" s="4">
        <v>28</v>
      </c>
      <c r="V194" s="4">
        <v>0</v>
      </c>
      <c r="W194" s="4">
        <v>0</v>
      </c>
    </row>
    <row r="195" spans="1:23" ht="11.25" customHeight="1" x14ac:dyDescent="0.25">
      <c r="A195" s="4" t="s">
        <v>21</v>
      </c>
      <c r="B195" s="4" t="s">
        <v>39</v>
      </c>
      <c r="C195" s="4" t="s">
        <v>40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320</v>
      </c>
      <c r="K195" s="6">
        <v>320</v>
      </c>
      <c r="L195" s="6">
        <v>0</v>
      </c>
      <c r="M195" s="6">
        <v>0</v>
      </c>
      <c r="N195" s="6">
        <v>0</v>
      </c>
      <c r="O195" s="6">
        <v>0</v>
      </c>
      <c r="P195" s="6">
        <v>3</v>
      </c>
      <c r="Q195" s="4" t="s">
        <v>26</v>
      </c>
      <c r="R195" s="4">
        <v>0</v>
      </c>
      <c r="S195" s="4" t="s">
        <v>155</v>
      </c>
      <c r="U195" s="4">
        <v>28</v>
      </c>
      <c r="V195" s="4">
        <v>0</v>
      </c>
      <c r="W195" s="4">
        <v>0</v>
      </c>
    </row>
    <row r="196" spans="1:23" ht="11.25" customHeight="1" x14ac:dyDescent="0.25">
      <c r="A196" s="4" t="s">
        <v>21</v>
      </c>
      <c r="B196" s="4" t="s">
        <v>39</v>
      </c>
      <c r="C196" s="4" t="s">
        <v>40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320</v>
      </c>
      <c r="K196" s="6">
        <v>320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4" t="s">
        <v>156</v>
      </c>
      <c r="U196" s="4">
        <v>28</v>
      </c>
      <c r="V196" s="4">
        <v>0</v>
      </c>
      <c r="W196" s="4">
        <v>0</v>
      </c>
    </row>
    <row r="197" spans="1:23" ht="11.25" customHeight="1" x14ac:dyDescent="0.25">
      <c r="A197" s="4" t="s">
        <v>21</v>
      </c>
      <c r="B197" s="4" t="s">
        <v>39</v>
      </c>
      <c r="C197" s="4" t="s">
        <v>40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44531</v>
      </c>
      <c r="J197" s="6">
        <v>351</v>
      </c>
      <c r="K197" s="6">
        <v>351</v>
      </c>
      <c r="L197" s="6">
        <v>0</v>
      </c>
      <c r="M197" s="6">
        <v>0</v>
      </c>
      <c r="N197" s="6">
        <v>0</v>
      </c>
      <c r="O197" s="6">
        <v>0</v>
      </c>
      <c r="P197" s="6">
        <v>3</v>
      </c>
      <c r="Q197" s="4" t="s">
        <v>26</v>
      </c>
      <c r="R197" s="4">
        <v>0</v>
      </c>
      <c r="S197" s="4" t="s">
        <v>157</v>
      </c>
      <c r="U197" s="4">
        <v>28</v>
      </c>
      <c r="V197" s="4">
        <v>0</v>
      </c>
      <c r="W197" s="4">
        <v>0</v>
      </c>
    </row>
    <row r="198" spans="1:23" ht="11.25" customHeight="1" x14ac:dyDescent="0.25">
      <c r="A198" s="4" t="s">
        <v>21</v>
      </c>
      <c r="B198" s="4" t="s">
        <v>39</v>
      </c>
      <c r="C198" s="4" t="s">
        <v>40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44562</v>
      </c>
      <c r="J198" s="6">
        <v>347</v>
      </c>
      <c r="K198" s="6">
        <v>347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4" t="s">
        <v>158</v>
      </c>
      <c r="U198" s="4">
        <v>28</v>
      </c>
      <c r="V198" s="4">
        <v>0</v>
      </c>
      <c r="W198" s="4">
        <v>0</v>
      </c>
    </row>
    <row r="199" spans="1:23" ht="11.25" customHeight="1" x14ac:dyDescent="0.25">
      <c r="A199" s="4" t="s">
        <v>21</v>
      </c>
      <c r="B199" s="4" t="s">
        <v>39</v>
      </c>
      <c r="C199" s="4" t="s">
        <v>40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44593</v>
      </c>
      <c r="J199" s="6">
        <v>320</v>
      </c>
      <c r="K199" s="6">
        <v>320</v>
      </c>
      <c r="L199" s="6">
        <v>0</v>
      </c>
      <c r="M199" s="6">
        <v>0</v>
      </c>
      <c r="N199" s="6">
        <v>0</v>
      </c>
      <c r="O199" s="6">
        <v>0</v>
      </c>
      <c r="P199" s="6">
        <v>3</v>
      </c>
      <c r="Q199" s="4" t="s">
        <v>26</v>
      </c>
      <c r="R199" s="4">
        <v>0</v>
      </c>
      <c r="S199" s="4" t="s">
        <v>159</v>
      </c>
      <c r="U199" s="4">
        <v>28</v>
      </c>
      <c r="V199" s="4">
        <v>0</v>
      </c>
      <c r="W199" s="4">
        <v>0</v>
      </c>
    </row>
    <row r="200" spans="1:23" ht="11.25" customHeight="1" x14ac:dyDescent="0.25">
      <c r="A200" s="4" t="s">
        <v>21</v>
      </c>
      <c r="B200" s="4" t="s">
        <v>39</v>
      </c>
      <c r="C200" s="4" t="s">
        <v>40</v>
      </c>
      <c r="D200" s="4" t="s">
        <v>44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44621</v>
      </c>
      <c r="J200" s="6">
        <v>320</v>
      </c>
      <c r="K200" s="6">
        <v>320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4" t="s">
        <v>160</v>
      </c>
      <c r="U200" s="4">
        <v>28</v>
      </c>
      <c r="V200" s="4">
        <v>0</v>
      </c>
      <c r="W200" s="4">
        <v>0</v>
      </c>
    </row>
    <row r="201" spans="1:23" ht="11.25" customHeight="1" x14ac:dyDescent="0.25">
      <c r="A201" s="4" t="s">
        <v>21</v>
      </c>
      <c r="B201" s="4" t="s">
        <v>39</v>
      </c>
      <c r="C201" s="4" t="s">
        <v>40</v>
      </c>
      <c r="D201" s="4" t="s">
        <v>44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44652</v>
      </c>
      <c r="J201" s="6">
        <v>320</v>
      </c>
      <c r="K201" s="6">
        <v>320</v>
      </c>
      <c r="L201" s="6">
        <v>0</v>
      </c>
      <c r="M201" s="6">
        <v>0</v>
      </c>
      <c r="N201" s="6">
        <v>0</v>
      </c>
      <c r="O201" s="6">
        <v>0</v>
      </c>
      <c r="P201" s="6">
        <v>3</v>
      </c>
      <c r="Q201" s="4" t="s">
        <v>26</v>
      </c>
      <c r="R201" s="4">
        <v>0</v>
      </c>
      <c r="S201" s="4" t="s">
        <v>161</v>
      </c>
      <c r="U201" s="4">
        <v>28</v>
      </c>
      <c r="V201" s="4">
        <v>0</v>
      </c>
      <c r="W201" s="4">
        <v>0</v>
      </c>
    </row>
    <row r="202" spans="1:23" ht="11.25" customHeight="1" x14ac:dyDescent="0.25">
      <c r="A202" s="4" t="s">
        <v>21</v>
      </c>
      <c r="B202" s="4" t="s">
        <v>39</v>
      </c>
      <c r="C202" s="4" t="s">
        <v>40</v>
      </c>
      <c r="D202" s="4" t="s">
        <v>44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44682</v>
      </c>
      <c r="J202" s="6">
        <v>320</v>
      </c>
      <c r="K202" s="6">
        <v>320</v>
      </c>
      <c r="L202" s="6">
        <v>0</v>
      </c>
      <c r="M202" s="6">
        <v>0</v>
      </c>
      <c r="N202" s="6">
        <v>0</v>
      </c>
      <c r="O202" s="6">
        <v>0</v>
      </c>
      <c r="P202" s="6">
        <v>3</v>
      </c>
      <c r="Q202" s="4" t="s">
        <v>26</v>
      </c>
      <c r="R202" s="4">
        <v>0</v>
      </c>
      <c r="S202" s="4" t="s">
        <v>162</v>
      </c>
      <c r="U202" s="4">
        <v>28</v>
      </c>
      <c r="V202" s="4">
        <v>0</v>
      </c>
      <c r="W202" s="4">
        <v>0</v>
      </c>
    </row>
    <row r="203" spans="1:23" ht="11.25" customHeight="1" x14ac:dyDescent="0.25">
      <c r="A203" s="4" t="s">
        <v>21</v>
      </c>
      <c r="B203" s="4" t="s">
        <v>39</v>
      </c>
      <c r="C203" s="4" t="s">
        <v>40</v>
      </c>
      <c r="D203" s="4" t="s">
        <v>44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44713</v>
      </c>
      <c r="J203" s="6">
        <v>320</v>
      </c>
      <c r="K203" s="6">
        <v>320</v>
      </c>
      <c r="L203" s="6">
        <v>0</v>
      </c>
      <c r="M203" s="6">
        <v>0</v>
      </c>
      <c r="N203" s="6">
        <v>0</v>
      </c>
      <c r="O203" s="6">
        <v>0</v>
      </c>
      <c r="P203" s="6">
        <v>3</v>
      </c>
      <c r="Q203" s="4" t="s">
        <v>26</v>
      </c>
      <c r="R203" s="4">
        <v>0</v>
      </c>
      <c r="S203" s="4" t="s">
        <v>163</v>
      </c>
      <c r="U203" s="4">
        <v>28</v>
      </c>
      <c r="V203" s="4">
        <v>0</v>
      </c>
      <c r="W203" s="4">
        <v>0</v>
      </c>
    </row>
    <row r="204" spans="1:23" ht="11.25" customHeight="1" x14ac:dyDescent="0.25">
      <c r="A204" s="4" t="s">
        <v>21</v>
      </c>
      <c r="B204" s="4" t="s">
        <v>39</v>
      </c>
      <c r="C204" s="4" t="s">
        <v>40</v>
      </c>
      <c r="D204" s="4" t="s">
        <v>44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44743</v>
      </c>
      <c r="J204" s="6">
        <v>320</v>
      </c>
      <c r="K204" s="6">
        <v>320</v>
      </c>
      <c r="L204" s="6">
        <v>0</v>
      </c>
      <c r="M204" s="6">
        <v>0</v>
      </c>
      <c r="N204" s="6">
        <v>0</v>
      </c>
      <c r="O204" s="6">
        <v>0</v>
      </c>
      <c r="P204" s="6">
        <v>3</v>
      </c>
      <c r="Q204" s="4" t="s">
        <v>26</v>
      </c>
      <c r="R204" s="4">
        <v>0</v>
      </c>
      <c r="S204" s="4" t="s">
        <v>164</v>
      </c>
      <c r="U204" s="4">
        <v>28</v>
      </c>
      <c r="V204" s="4">
        <v>0</v>
      </c>
      <c r="W204" s="4">
        <v>0</v>
      </c>
    </row>
    <row r="205" spans="1:23" ht="11.25" customHeight="1" x14ac:dyDescent="0.25">
      <c r="A205" s="4" t="s">
        <v>57</v>
      </c>
      <c r="B205" s="4" t="s">
        <v>39</v>
      </c>
      <c r="C205" s="4" t="s">
        <v>40</v>
      </c>
      <c r="D205" s="4" t="s">
        <v>44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44774</v>
      </c>
      <c r="J205" s="6">
        <v>320</v>
      </c>
      <c r="K205" s="6">
        <v>320</v>
      </c>
      <c r="L205" s="6">
        <v>0</v>
      </c>
      <c r="M205" s="6">
        <v>0</v>
      </c>
      <c r="N205" s="6">
        <v>0</v>
      </c>
      <c r="O205" s="6">
        <v>0</v>
      </c>
      <c r="P205" s="6">
        <v>3</v>
      </c>
      <c r="Q205" s="4" t="s">
        <v>26</v>
      </c>
      <c r="R205" s="4">
        <v>0</v>
      </c>
      <c r="S205" s="4" t="s">
        <v>165</v>
      </c>
      <c r="U205" s="4">
        <v>28</v>
      </c>
      <c r="V205" s="4">
        <v>0</v>
      </c>
      <c r="W205" s="4">
        <v>0</v>
      </c>
    </row>
    <row r="206" spans="1:23" ht="11.25" customHeight="1" x14ac:dyDescent="0.25">
      <c r="A206" s="4" t="s">
        <v>21</v>
      </c>
      <c r="B206" s="4" t="s">
        <v>39</v>
      </c>
      <c r="C206" s="4" t="s">
        <v>40</v>
      </c>
      <c r="D206" s="4" t="s">
        <v>44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44440</v>
      </c>
      <c r="J206" s="6">
        <v>0</v>
      </c>
      <c r="K206" s="6">
        <v>0</v>
      </c>
      <c r="L206" s="6">
        <v>1.9390000000000001</v>
      </c>
      <c r="M206" s="6">
        <v>1.9390000000000001</v>
      </c>
      <c r="N206" s="6">
        <v>1.9390000000000001</v>
      </c>
      <c r="O206" s="6">
        <v>1.9390000000000001</v>
      </c>
      <c r="P206" s="6">
        <v>0</v>
      </c>
      <c r="Q206" s="4" t="s">
        <v>26</v>
      </c>
      <c r="R206" s="4">
        <v>0</v>
      </c>
      <c r="S206" s="4" t="s">
        <v>166</v>
      </c>
      <c r="T206" s="4" t="s">
        <v>323</v>
      </c>
      <c r="U206" s="4">
        <v>0</v>
      </c>
      <c r="V206" s="4">
        <v>18</v>
      </c>
      <c r="W206" s="4">
        <v>64</v>
      </c>
    </row>
    <row r="207" spans="1:23" ht="11.25" customHeight="1" x14ac:dyDescent="0.25">
      <c r="A207" s="4" t="s">
        <v>21</v>
      </c>
      <c r="B207" s="4" t="s">
        <v>39</v>
      </c>
      <c r="C207" s="4" t="s">
        <v>40</v>
      </c>
      <c r="D207" s="4" t="s">
        <v>44</v>
      </c>
      <c r="E207" s="4" t="s">
        <v>25</v>
      </c>
      <c r="F207" s="4" t="s">
        <v>25</v>
      </c>
      <c r="G207" s="4" t="s">
        <v>25</v>
      </c>
      <c r="H207" s="4" t="s">
        <v>37</v>
      </c>
      <c r="I207" s="5">
        <v>44470</v>
      </c>
      <c r="J207" s="6">
        <v>0</v>
      </c>
      <c r="K207" s="6">
        <v>0</v>
      </c>
      <c r="L207" s="6">
        <v>1.923</v>
      </c>
      <c r="M207" s="6">
        <v>1.923</v>
      </c>
      <c r="N207" s="6">
        <v>1.923</v>
      </c>
      <c r="O207" s="6">
        <v>1.923</v>
      </c>
      <c r="P207" s="6">
        <v>0</v>
      </c>
      <c r="Q207" s="4" t="s">
        <v>26</v>
      </c>
      <c r="R207" s="4">
        <v>0</v>
      </c>
      <c r="S207" s="4" t="s">
        <v>167</v>
      </c>
      <c r="T207" s="4" t="s">
        <v>324</v>
      </c>
      <c r="U207" s="4">
        <v>0</v>
      </c>
      <c r="V207" s="4">
        <v>18</v>
      </c>
      <c r="W207" s="4">
        <v>64</v>
      </c>
    </row>
    <row r="208" spans="1:23" ht="11.25" customHeight="1" x14ac:dyDescent="0.25">
      <c r="A208" s="4" t="s">
        <v>21</v>
      </c>
      <c r="B208" s="4" t="s">
        <v>39</v>
      </c>
      <c r="C208" s="4" t="s">
        <v>40</v>
      </c>
      <c r="D208" s="4" t="s">
        <v>44</v>
      </c>
      <c r="E208" s="4" t="s">
        <v>25</v>
      </c>
      <c r="F208" s="4" t="s">
        <v>25</v>
      </c>
      <c r="G208" s="4" t="s">
        <v>25</v>
      </c>
      <c r="H208" s="4" t="s">
        <v>37</v>
      </c>
      <c r="I208" s="5">
        <v>44501</v>
      </c>
      <c r="J208" s="6">
        <v>0</v>
      </c>
      <c r="K208" s="6">
        <v>0</v>
      </c>
      <c r="L208" s="6">
        <v>2.0019999999999998</v>
      </c>
      <c r="M208" s="6">
        <v>2.0019999999999998</v>
      </c>
      <c r="N208" s="6">
        <v>2.0019999999999998</v>
      </c>
      <c r="O208" s="6">
        <v>2.0019999999999998</v>
      </c>
      <c r="P208" s="6">
        <v>0</v>
      </c>
      <c r="Q208" s="4" t="s">
        <v>26</v>
      </c>
      <c r="R208" s="4">
        <v>0</v>
      </c>
      <c r="S208" s="4" t="s">
        <v>168</v>
      </c>
      <c r="T208" s="4" t="s">
        <v>325</v>
      </c>
      <c r="U208" s="4">
        <v>0</v>
      </c>
      <c r="V208" s="4">
        <v>18</v>
      </c>
      <c r="W208" s="4">
        <v>64</v>
      </c>
    </row>
    <row r="209" spans="1:23" ht="11.25" customHeight="1" x14ac:dyDescent="0.25">
      <c r="A209" s="4" t="s">
        <v>21</v>
      </c>
      <c r="B209" s="4" t="s">
        <v>39</v>
      </c>
      <c r="C209" s="4" t="s">
        <v>40</v>
      </c>
      <c r="D209" s="4" t="s">
        <v>44</v>
      </c>
      <c r="E209" s="4" t="s">
        <v>25</v>
      </c>
      <c r="F209" s="4" t="s">
        <v>25</v>
      </c>
      <c r="G209" s="4" t="s">
        <v>25</v>
      </c>
      <c r="H209" s="4" t="s">
        <v>37</v>
      </c>
      <c r="I209" s="5">
        <v>44531</v>
      </c>
      <c r="J209" s="6">
        <v>0</v>
      </c>
      <c r="K209" s="6">
        <v>0</v>
      </c>
      <c r="L209" s="6">
        <v>2.165</v>
      </c>
      <c r="M209" s="6">
        <v>2.165</v>
      </c>
      <c r="N209" s="6">
        <v>2.165</v>
      </c>
      <c r="O209" s="6">
        <v>2.165</v>
      </c>
      <c r="P209" s="6">
        <v>0</v>
      </c>
      <c r="Q209" s="4" t="s">
        <v>26</v>
      </c>
      <c r="R209" s="4">
        <v>0</v>
      </c>
      <c r="S209" s="4" t="s">
        <v>169</v>
      </c>
      <c r="T209" s="4" t="s">
        <v>326</v>
      </c>
      <c r="U209" s="4">
        <v>0</v>
      </c>
      <c r="V209" s="4">
        <v>18</v>
      </c>
      <c r="W209" s="4">
        <v>64</v>
      </c>
    </row>
    <row r="210" spans="1:23" ht="11.25" customHeight="1" x14ac:dyDescent="0.25">
      <c r="A210" s="4" t="s">
        <v>21</v>
      </c>
      <c r="B210" s="4" t="s">
        <v>39</v>
      </c>
      <c r="C210" s="4" t="s">
        <v>40</v>
      </c>
      <c r="D210" s="4" t="s">
        <v>44</v>
      </c>
      <c r="E210" s="4" t="s">
        <v>25</v>
      </c>
      <c r="F210" s="4" t="s">
        <v>25</v>
      </c>
      <c r="G210" s="4" t="s">
        <v>25</v>
      </c>
      <c r="H210" s="4" t="s">
        <v>37</v>
      </c>
      <c r="I210" s="5">
        <v>44562</v>
      </c>
      <c r="J210" s="6">
        <v>0</v>
      </c>
      <c r="K210" s="6">
        <v>0</v>
      </c>
      <c r="L210" s="6">
        <v>2.2440000000000002</v>
      </c>
      <c r="M210" s="6">
        <v>2.2440000000000002</v>
      </c>
      <c r="N210" s="6">
        <v>2.2440000000000002</v>
      </c>
      <c r="O210" s="6">
        <v>2.2440000000000002</v>
      </c>
      <c r="P210" s="6">
        <v>0</v>
      </c>
      <c r="Q210" s="4" t="s">
        <v>26</v>
      </c>
      <c r="R210" s="4">
        <v>0</v>
      </c>
      <c r="S210" s="4" t="s">
        <v>170</v>
      </c>
      <c r="T210" s="4" t="s">
        <v>327</v>
      </c>
      <c r="U210" s="4">
        <v>0</v>
      </c>
      <c r="V210" s="4">
        <v>18</v>
      </c>
      <c r="W210" s="4">
        <v>64</v>
      </c>
    </row>
    <row r="211" spans="1:23" ht="11.25" customHeight="1" x14ac:dyDescent="0.25">
      <c r="A211" s="4" t="s">
        <v>21</v>
      </c>
      <c r="B211" s="4" t="s">
        <v>39</v>
      </c>
      <c r="C211" s="4" t="s">
        <v>40</v>
      </c>
      <c r="D211" s="4" t="s">
        <v>44</v>
      </c>
      <c r="E211" s="4" t="s">
        <v>25</v>
      </c>
      <c r="F211" s="4" t="s">
        <v>25</v>
      </c>
      <c r="G211" s="4" t="s">
        <v>25</v>
      </c>
      <c r="H211" s="4" t="s">
        <v>37</v>
      </c>
      <c r="I211" s="5">
        <v>44593</v>
      </c>
      <c r="J211" s="6">
        <v>0</v>
      </c>
      <c r="K211" s="6">
        <v>0</v>
      </c>
      <c r="L211" s="6">
        <v>2.0870000000000002</v>
      </c>
      <c r="M211" s="6">
        <v>2.0870000000000002</v>
      </c>
      <c r="N211" s="6">
        <v>2.0870000000000002</v>
      </c>
      <c r="O211" s="6">
        <v>2.0870000000000002</v>
      </c>
      <c r="P211" s="6">
        <v>0</v>
      </c>
      <c r="Q211" s="4" t="s">
        <v>26</v>
      </c>
      <c r="R211" s="4">
        <v>0</v>
      </c>
      <c r="S211" s="4" t="s">
        <v>171</v>
      </c>
      <c r="T211" s="4" t="s">
        <v>328</v>
      </c>
      <c r="U211" s="4">
        <v>0</v>
      </c>
      <c r="V211" s="4">
        <v>18</v>
      </c>
      <c r="W211" s="4">
        <v>64</v>
      </c>
    </row>
    <row r="212" spans="1:23" ht="11.25" customHeight="1" x14ac:dyDescent="0.25">
      <c r="A212" s="4" t="s">
        <v>21</v>
      </c>
      <c r="B212" s="4" t="s">
        <v>39</v>
      </c>
      <c r="C212" s="4" t="s">
        <v>40</v>
      </c>
      <c r="D212" s="4" t="s">
        <v>44</v>
      </c>
      <c r="E212" s="4" t="s">
        <v>25</v>
      </c>
      <c r="F212" s="4" t="s">
        <v>25</v>
      </c>
      <c r="G212" s="4" t="s">
        <v>25</v>
      </c>
      <c r="H212" s="4" t="s">
        <v>37</v>
      </c>
      <c r="I212" s="5">
        <v>44621</v>
      </c>
      <c r="J212" s="6">
        <v>0</v>
      </c>
      <c r="K212" s="6">
        <v>0</v>
      </c>
      <c r="L212" s="6">
        <v>2.1339999999999999</v>
      </c>
      <c r="M212" s="6">
        <v>2.1339999999999999</v>
      </c>
      <c r="N212" s="6">
        <v>2.1339999999999999</v>
      </c>
      <c r="O212" s="6">
        <v>2.1339999999999999</v>
      </c>
      <c r="P212" s="6">
        <v>0</v>
      </c>
      <c r="Q212" s="4" t="s">
        <v>26</v>
      </c>
      <c r="R212" s="4">
        <v>0</v>
      </c>
      <c r="S212" s="4" t="s">
        <v>172</v>
      </c>
      <c r="T212" s="4" t="s">
        <v>329</v>
      </c>
      <c r="U212" s="4">
        <v>0</v>
      </c>
      <c r="V212" s="4">
        <v>18</v>
      </c>
      <c r="W212" s="4">
        <v>64</v>
      </c>
    </row>
    <row r="213" spans="1:23" ht="11.25" customHeight="1" x14ac:dyDescent="0.25">
      <c r="A213" s="4" t="s">
        <v>21</v>
      </c>
      <c r="B213" s="4" t="s">
        <v>39</v>
      </c>
      <c r="C213" s="4" t="s">
        <v>40</v>
      </c>
      <c r="D213" s="4" t="s">
        <v>44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44652</v>
      </c>
      <c r="J213" s="6">
        <v>0</v>
      </c>
      <c r="K213" s="6">
        <v>0</v>
      </c>
      <c r="L213" s="6">
        <v>1.74</v>
      </c>
      <c r="M213" s="6">
        <v>1.74</v>
      </c>
      <c r="N213" s="6">
        <v>1.74</v>
      </c>
      <c r="O213" s="6">
        <v>1.74</v>
      </c>
      <c r="P213" s="6">
        <v>0</v>
      </c>
      <c r="Q213" s="4" t="s">
        <v>26</v>
      </c>
      <c r="R213" s="4">
        <v>0</v>
      </c>
      <c r="S213" s="4" t="s">
        <v>173</v>
      </c>
      <c r="T213" s="4" t="s">
        <v>330</v>
      </c>
      <c r="U213" s="4">
        <v>0</v>
      </c>
      <c r="V213" s="4">
        <v>18</v>
      </c>
      <c r="W213" s="4">
        <v>64</v>
      </c>
    </row>
    <row r="214" spans="1:23" ht="11.25" customHeight="1" x14ac:dyDescent="0.25">
      <c r="A214" s="4" t="s">
        <v>21</v>
      </c>
      <c r="B214" s="4" t="s">
        <v>39</v>
      </c>
      <c r="C214" s="4" t="s">
        <v>40</v>
      </c>
      <c r="D214" s="4" t="s">
        <v>44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44682</v>
      </c>
      <c r="J214" s="6">
        <v>0</v>
      </c>
      <c r="K214" s="6">
        <v>0</v>
      </c>
      <c r="L214" s="6">
        <v>1.958</v>
      </c>
      <c r="M214" s="6">
        <v>1.958</v>
      </c>
      <c r="N214" s="6">
        <v>1.958</v>
      </c>
      <c r="O214" s="6">
        <v>1.958</v>
      </c>
      <c r="P214" s="6">
        <v>0</v>
      </c>
      <c r="Q214" s="4" t="s">
        <v>26</v>
      </c>
      <c r="R214" s="4">
        <v>0</v>
      </c>
      <c r="S214" s="4" t="s">
        <v>174</v>
      </c>
      <c r="T214" s="4" t="s">
        <v>331</v>
      </c>
      <c r="U214" s="4">
        <v>0</v>
      </c>
      <c r="V214" s="4">
        <v>18</v>
      </c>
      <c r="W214" s="4">
        <v>64</v>
      </c>
    </row>
    <row r="215" spans="1:23" ht="11.25" customHeight="1" x14ac:dyDescent="0.25">
      <c r="A215" s="4" t="s">
        <v>21</v>
      </c>
      <c r="B215" s="4" t="s">
        <v>39</v>
      </c>
      <c r="C215" s="4" t="s">
        <v>40</v>
      </c>
      <c r="D215" s="4" t="s">
        <v>44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44713</v>
      </c>
      <c r="J215" s="6">
        <v>0</v>
      </c>
      <c r="K215" s="6">
        <v>0</v>
      </c>
      <c r="L215" s="6">
        <v>2.0720000000000001</v>
      </c>
      <c r="M215" s="6">
        <v>2.0720000000000001</v>
      </c>
      <c r="N215" s="6">
        <v>2.0720000000000001</v>
      </c>
      <c r="O215" s="6">
        <v>2.0720000000000001</v>
      </c>
      <c r="P215" s="6">
        <v>0</v>
      </c>
      <c r="Q215" s="4" t="s">
        <v>26</v>
      </c>
      <c r="R215" s="4">
        <v>0</v>
      </c>
      <c r="S215" s="4" t="s">
        <v>175</v>
      </c>
      <c r="T215" s="4" t="s">
        <v>332</v>
      </c>
      <c r="U215" s="4">
        <v>0</v>
      </c>
      <c r="V215" s="4">
        <v>18</v>
      </c>
      <c r="W215" s="4">
        <v>64</v>
      </c>
    </row>
    <row r="216" spans="1:23" ht="11.25" customHeight="1" x14ac:dyDescent="0.25">
      <c r="A216" s="4" t="s">
        <v>21</v>
      </c>
      <c r="B216" s="4" t="s">
        <v>39</v>
      </c>
      <c r="C216" s="4" t="s">
        <v>40</v>
      </c>
      <c r="D216" s="4" t="s">
        <v>44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44743</v>
      </c>
      <c r="J216" s="6">
        <v>0</v>
      </c>
      <c r="K216" s="6">
        <v>0</v>
      </c>
      <c r="L216" s="6">
        <v>1.8120000000000001</v>
      </c>
      <c r="M216" s="6">
        <v>1.8120000000000001</v>
      </c>
      <c r="N216" s="6">
        <v>1.8120000000000001</v>
      </c>
      <c r="O216" s="6">
        <v>1.8120000000000001</v>
      </c>
      <c r="P216" s="6">
        <v>0</v>
      </c>
      <c r="Q216" s="4" t="s">
        <v>26</v>
      </c>
      <c r="R216" s="4">
        <v>0</v>
      </c>
      <c r="S216" s="4" t="s">
        <v>176</v>
      </c>
      <c r="T216" s="4" t="s">
        <v>333</v>
      </c>
      <c r="U216" s="4">
        <v>0</v>
      </c>
      <c r="V216" s="4">
        <v>18</v>
      </c>
      <c r="W216" s="4">
        <v>64</v>
      </c>
    </row>
    <row r="217" spans="1:23" ht="11.25" customHeight="1" x14ac:dyDescent="0.25">
      <c r="A217" s="4" t="s">
        <v>57</v>
      </c>
      <c r="B217" s="4" t="s">
        <v>39</v>
      </c>
      <c r="C217" s="4" t="s">
        <v>40</v>
      </c>
      <c r="D217" s="4" t="s">
        <v>44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44774</v>
      </c>
      <c r="J217" s="6">
        <v>0</v>
      </c>
      <c r="K217" s="6">
        <v>0</v>
      </c>
      <c r="L217" s="6">
        <v>1.8120000000000001</v>
      </c>
      <c r="M217" s="6">
        <v>1.8120000000000001</v>
      </c>
      <c r="N217" s="6">
        <v>1.8120000000000001</v>
      </c>
      <c r="O217" s="6">
        <v>1.8120000000000001</v>
      </c>
      <c r="P217" s="6">
        <v>0</v>
      </c>
      <c r="Q217" s="4" t="s">
        <v>26</v>
      </c>
      <c r="R217" s="4">
        <v>0</v>
      </c>
      <c r="S217" s="4" t="s">
        <v>177</v>
      </c>
      <c r="T217" s="4" t="s">
        <v>334</v>
      </c>
      <c r="U217" s="4">
        <v>0</v>
      </c>
      <c r="V217" s="4">
        <v>18</v>
      </c>
      <c r="W217" s="4">
        <v>64</v>
      </c>
    </row>
    <row r="218" spans="1:23" ht="11.25" customHeight="1" x14ac:dyDescent="0.25">
      <c r="A218" s="4" t="s">
        <v>21</v>
      </c>
      <c r="B218" s="4" t="s">
        <v>22</v>
      </c>
      <c r="C218" s="4" t="s">
        <v>55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38</v>
      </c>
      <c r="I218" s="5">
        <v>44682</v>
      </c>
      <c r="J218" s="6">
        <v>0</v>
      </c>
      <c r="K218" s="6">
        <v>0</v>
      </c>
      <c r="L218" s="6">
        <v>0.113</v>
      </c>
      <c r="M218" s="6">
        <v>0.113</v>
      </c>
      <c r="N218" s="6">
        <v>0.113</v>
      </c>
      <c r="O218" s="6">
        <v>0.113</v>
      </c>
      <c r="P218" s="6">
        <v>0</v>
      </c>
      <c r="Q218" s="4" t="s">
        <v>26</v>
      </c>
      <c r="R218" s="4">
        <v>0</v>
      </c>
      <c r="S218" s="4" t="s">
        <v>178</v>
      </c>
      <c r="T218" s="4" t="s">
        <v>339</v>
      </c>
      <c r="U218" s="4">
        <v>0</v>
      </c>
      <c r="V218" s="4">
        <v>13</v>
      </c>
      <c r="W218" s="4">
        <v>73</v>
      </c>
    </row>
    <row r="219" spans="1:23" ht="11.25" customHeight="1" x14ac:dyDescent="0.25">
      <c r="A219" s="4" t="s">
        <v>21</v>
      </c>
      <c r="B219" s="4" t="s">
        <v>22</v>
      </c>
      <c r="C219" s="4" t="s">
        <v>55</v>
      </c>
      <c r="D219" s="4" t="s">
        <v>24</v>
      </c>
      <c r="E219" s="4" t="s">
        <v>24</v>
      </c>
      <c r="F219" s="4" t="s">
        <v>25</v>
      </c>
      <c r="G219" s="4" t="s">
        <v>25</v>
      </c>
      <c r="H219" s="4" t="s">
        <v>38</v>
      </c>
      <c r="I219" s="5">
        <v>44713</v>
      </c>
      <c r="J219" s="6">
        <v>0</v>
      </c>
      <c r="K219" s="6">
        <v>0</v>
      </c>
      <c r="L219" s="6">
        <v>0.35199999999999998</v>
      </c>
      <c r="M219" s="6">
        <v>0.35199999999999998</v>
      </c>
      <c r="N219" s="6">
        <v>0.35199999999999998</v>
      </c>
      <c r="O219" s="6">
        <v>0.35199999999999998</v>
      </c>
      <c r="P219" s="6">
        <v>0</v>
      </c>
      <c r="Q219" s="4" t="s">
        <v>26</v>
      </c>
      <c r="R219" s="4">
        <v>0</v>
      </c>
      <c r="S219" s="4" t="s">
        <v>179</v>
      </c>
      <c r="T219" s="4" t="s">
        <v>340</v>
      </c>
      <c r="U219" s="4">
        <v>0</v>
      </c>
      <c r="V219" s="4">
        <v>13</v>
      </c>
      <c r="W219" s="4">
        <v>73</v>
      </c>
    </row>
    <row r="220" spans="1:23" ht="11.25" customHeight="1" x14ac:dyDescent="0.25">
      <c r="A220" s="4" t="s">
        <v>21</v>
      </c>
      <c r="B220" s="4" t="s">
        <v>22</v>
      </c>
      <c r="C220" s="4" t="s">
        <v>55</v>
      </c>
      <c r="D220" s="4" t="s">
        <v>24</v>
      </c>
      <c r="E220" s="4" t="s">
        <v>24</v>
      </c>
      <c r="F220" s="4" t="s">
        <v>25</v>
      </c>
      <c r="G220" s="4" t="s">
        <v>25</v>
      </c>
      <c r="H220" s="4" t="s">
        <v>38</v>
      </c>
      <c r="I220" s="5">
        <v>44743</v>
      </c>
      <c r="J220" s="6">
        <v>0</v>
      </c>
      <c r="K220" s="6">
        <v>0</v>
      </c>
      <c r="L220" s="6">
        <v>0.24299999999999999</v>
      </c>
      <c r="M220" s="6">
        <v>0.24299999999999999</v>
      </c>
      <c r="N220" s="6">
        <v>0.24299999999999999</v>
      </c>
      <c r="O220" s="6">
        <v>0.24299999999999999</v>
      </c>
      <c r="P220" s="6">
        <v>0</v>
      </c>
      <c r="Q220" s="4" t="s">
        <v>26</v>
      </c>
      <c r="R220" s="4">
        <v>0</v>
      </c>
      <c r="S220" s="4" t="s">
        <v>180</v>
      </c>
      <c r="T220" s="4" t="s">
        <v>341</v>
      </c>
      <c r="U220" s="4">
        <v>0</v>
      </c>
      <c r="V220" s="4">
        <v>13</v>
      </c>
      <c r="W220" s="4">
        <v>73</v>
      </c>
    </row>
    <row r="221" spans="1:23" ht="11.25" customHeight="1" x14ac:dyDescent="0.25">
      <c r="A221" s="4" t="s">
        <v>57</v>
      </c>
      <c r="B221" s="4" t="s">
        <v>22</v>
      </c>
      <c r="C221" s="4" t="s">
        <v>55</v>
      </c>
      <c r="D221" s="4" t="s">
        <v>24</v>
      </c>
      <c r="E221" s="4" t="s">
        <v>24</v>
      </c>
      <c r="F221" s="4" t="s">
        <v>25</v>
      </c>
      <c r="G221" s="4" t="s">
        <v>25</v>
      </c>
      <c r="H221" s="4" t="s">
        <v>38</v>
      </c>
      <c r="I221" s="5">
        <v>44774</v>
      </c>
      <c r="J221" s="6">
        <v>0</v>
      </c>
      <c r="K221" s="6">
        <v>0</v>
      </c>
      <c r="L221" s="6">
        <v>0.24299999999999999</v>
      </c>
      <c r="M221" s="6">
        <v>0.24299999999999999</v>
      </c>
      <c r="N221" s="6">
        <v>0.24299999999999999</v>
      </c>
      <c r="O221" s="6">
        <v>0.24299999999999999</v>
      </c>
      <c r="P221" s="6">
        <v>0</v>
      </c>
      <c r="Q221" s="4" t="s">
        <v>26</v>
      </c>
      <c r="R221" s="4">
        <v>0</v>
      </c>
      <c r="S221" s="4" t="s">
        <v>181</v>
      </c>
      <c r="T221" s="4" t="s">
        <v>342</v>
      </c>
      <c r="U221" s="4">
        <v>0</v>
      </c>
      <c r="V221" s="4">
        <v>13</v>
      </c>
      <c r="W221" s="4">
        <v>73</v>
      </c>
    </row>
    <row r="222" spans="1:23" ht="11.25" customHeight="1" x14ac:dyDescent="0.25">
      <c r="A222" s="4" t="s">
        <v>21</v>
      </c>
      <c r="B222" s="4" t="s">
        <v>22</v>
      </c>
      <c r="C222" s="4" t="s">
        <v>55</v>
      </c>
      <c r="D222" s="4" t="s">
        <v>24</v>
      </c>
      <c r="E222" s="4" t="s">
        <v>24</v>
      </c>
      <c r="F222" s="4" t="s">
        <v>25</v>
      </c>
      <c r="G222" s="4" t="s">
        <v>25</v>
      </c>
      <c r="H222" s="4" t="s">
        <v>56</v>
      </c>
      <c r="I222" s="5">
        <v>44682</v>
      </c>
      <c r="J222" s="6">
        <v>0</v>
      </c>
      <c r="K222" s="6">
        <v>0</v>
      </c>
      <c r="L222" s="6">
        <v>6.0000000000000001E-3</v>
      </c>
      <c r="M222" s="6">
        <v>6.0000000000000001E-3</v>
      </c>
      <c r="N222" s="6">
        <v>6.0000000000000001E-3</v>
      </c>
      <c r="O222" s="6">
        <v>6.0000000000000001E-3</v>
      </c>
      <c r="P222" s="6">
        <v>0</v>
      </c>
      <c r="Q222" s="4" t="s">
        <v>26</v>
      </c>
      <c r="R222" s="4">
        <v>0</v>
      </c>
      <c r="S222" s="4" t="s">
        <v>182</v>
      </c>
      <c r="T222" s="4" t="s">
        <v>343</v>
      </c>
      <c r="U222" s="4">
        <v>0</v>
      </c>
      <c r="V222" s="4">
        <v>23</v>
      </c>
      <c r="W222" s="4">
        <v>63</v>
      </c>
    </row>
    <row r="223" spans="1:23" ht="11.25" customHeight="1" x14ac:dyDescent="0.25">
      <c r="A223" s="4" t="s">
        <v>21</v>
      </c>
      <c r="B223" s="4" t="s">
        <v>22</v>
      </c>
      <c r="C223" s="4" t="s">
        <v>55</v>
      </c>
      <c r="D223" s="4" t="s">
        <v>24</v>
      </c>
      <c r="E223" s="4" t="s">
        <v>24</v>
      </c>
      <c r="F223" s="4" t="s">
        <v>25</v>
      </c>
      <c r="G223" s="4" t="s">
        <v>25</v>
      </c>
      <c r="H223" s="4" t="s">
        <v>56</v>
      </c>
      <c r="I223" s="5">
        <v>44713</v>
      </c>
      <c r="J223" s="6">
        <v>0</v>
      </c>
      <c r="K223" s="6">
        <v>0</v>
      </c>
      <c r="L223" s="6">
        <v>3.2000000000000001E-2</v>
      </c>
      <c r="M223" s="6">
        <v>3.2000000000000001E-2</v>
      </c>
      <c r="N223" s="6">
        <v>3.2000000000000001E-2</v>
      </c>
      <c r="O223" s="6">
        <v>3.2000000000000001E-2</v>
      </c>
      <c r="P223" s="6">
        <v>0</v>
      </c>
      <c r="Q223" s="4" t="s">
        <v>26</v>
      </c>
      <c r="R223" s="4">
        <v>0</v>
      </c>
      <c r="S223" s="4" t="s">
        <v>183</v>
      </c>
      <c r="T223" s="4" t="s">
        <v>344</v>
      </c>
      <c r="U223" s="4">
        <v>0</v>
      </c>
      <c r="V223" s="4">
        <v>23</v>
      </c>
      <c r="W223" s="4">
        <v>63</v>
      </c>
    </row>
    <row r="224" spans="1:23" ht="11.25" customHeight="1" x14ac:dyDescent="0.25">
      <c r="A224" s="4" t="s">
        <v>21</v>
      </c>
      <c r="B224" s="4" t="s">
        <v>22</v>
      </c>
      <c r="C224" s="4" t="s">
        <v>55</v>
      </c>
      <c r="D224" s="4" t="s">
        <v>24</v>
      </c>
      <c r="E224" s="4" t="s">
        <v>24</v>
      </c>
      <c r="F224" s="4" t="s">
        <v>25</v>
      </c>
      <c r="G224" s="4" t="s">
        <v>25</v>
      </c>
      <c r="H224" s="4" t="s">
        <v>56</v>
      </c>
      <c r="I224" s="5">
        <v>44743</v>
      </c>
      <c r="J224" s="6">
        <v>0</v>
      </c>
      <c r="K224" s="6">
        <v>0</v>
      </c>
      <c r="L224" s="6">
        <v>2.4E-2</v>
      </c>
      <c r="M224" s="6">
        <v>2.4E-2</v>
      </c>
      <c r="N224" s="6">
        <v>2.4E-2</v>
      </c>
      <c r="O224" s="6">
        <v>2.4E-2</v>
      </c>
      <c r="P224" s="6">
        <v>0</v>
      </c>
      <c r="Q224" s="4" t="s">
        <v>26</v>
      </c>
      <c r="R224" s="4">
        <v>0</v>
      </c>
      <c r="S224" s="4" t="s">
        <v>184</v>
      </c>
      <c r="T224" s="4" t="s">
        <v>345</v>
      </c>
      <c r="U224" s="4">
        <v>0</v>
      </c>
      <c r="V224" s="4">
        <v>23</v>
      </c>
      <c r="W224" s="4">
        <v>63</v>
      </c>
    </row>
    <row r="225" spans="1:23" ht="11.25" customHeight="1" x14ac:dyDescent="0.25">
      <c r="A225" s="4" t="s">
        <v>57</v>
      </c>
      <c r="B225" s="4" t="s">
        <v>22</v>
      </c>
      <c r="C225" s="4" t="s">
        <v>55</v>
      </c>
      <c r="D225" s="4" t="s">
        <v>24</v>
      </c>
      <c r="E225" s="4" t="s">
        <v>24</v>
      </c>
      <c r="F225" s="4" t="s">
        <v>25</v>
      </c>
      <c r="G225" s="4" t="s">
        <v>25</v>
      </c>
      <c r="H225" s="4" t="s">
        <v>56</v>
      </c>
      <c r="I225" s="5">
        <v>44774</v>
      </c>
      <c r="J225" s="6">
        <v>0</v>
      </c>
      <c r="K225" s="6">
        <v>0</v>
      </c>
      <c r="L225" s="6">
        <v>2.4E-2</v>
      </c>
      <c r="M225" s="6">
        <v>2.4E-2</v>
      </c>
      <c r="N225" s="6">
        <v>2.4E-2</v>
      </c>
      <c r="O225" s="6">
        <v>2.4E-2</v>
      </c>
      <c r="P225" s="6">
        <v>0</v>
      </c>
      <c r="Q225" s="4" t="s">
        <v>26</v>
      </c>
      <c r="R225" s="4">
        <v>0</v>
      </c>
      <c r="S225" s="4" t="s">
        <v>185</v>
      </c>
      <c r="T225" s="4" t="s">
        <v>346</v>
      </c>
      <c r="U225" s="4">
        <v>0</v>
      </c>
      <c r="V225" s="4">
        <v>23</v>
      </c>
      <c r="W225" s="4">
        <v>63</v>
      </c>
    </row>
    <row r="226" spans="1:23" ht="11.25" customHeight="1" x14ac:dyDescent="0.25">
      <c r="A226" s="4" t="s">
        <v>21</v>
      </c>
      <c r="B226" s="4" t="s">
        <v>22</v>
      </c>
      <c r="C226" s="4" t="s">
        <v>55</v>
      </c>
      <c r="D226" s="4" t="s">
        <v>24</v>
      </c>
      <c r="E226" s="4" t="s">
        <v>24</v>
      </c>
      <c r="F226" s="4" t="s">
        <v>25</v>
      </c>
      <c r="G226" s="4" t="s">
        <v>25</v>
      </c>
      <c r="H226" s="4" t="s">
        <v>37</v>
      </c>
      <c r="I226" s="5">
        <v>44682</v>
      </c>
      <c r="J226" s="6">
        <v>0</v>
      </c>
      <c r="K226" s="6">
        <v>0</v>
      </c>
      <c r="L226" s="6">
        <v>0.02</v>
      </c>
      <c r="M226" s="6">
        <v>0.02</v>
      </c>
      <c r="N226" s="6">
        <v>0.02</v>
      </c>
      <c r="O226" s="6">
        <v>0.02</v>
      </c>
      <c r="P226" s="6">
        <v>0</v>
      </c>
      <c r="Q226" s="4" t="s">
        <v>26</v>
      </c>
      <c r="R226" s="4">
        <v>0</v>
      </c>
      <c r="S226" s="4" t="s">
        <v>186</v>
      </c>
      <c r="T226" s="4" t="s">
        <v>347</v>
      </c>
      <c r="U226" s="4">
        <v>0</v>
      </c>
      <c r="V226" s="4">
        <v>2</v>
      </c>
      <c r="W226" s="4">
        <v>62</v>
      </c>
    </row>
    <row r="227" spans="1:23" ht="11.25" customHeight="1" x14ac:dyDescent="0.25">
      <c r="A227" s="4" t="s">
        <v>21</v>
      </c>
      <c r="B227" s="4" t="s">
        <v>22</v>
      </c>
      <c r="C227" s="4" t="s">
        <v>55</v>
      </c>
      <c r="D227" s="4" t="s">
        <v>24</v>
      </c>
      <c r="E227" s="4" t="s">
        <v>24</v>
      </c>
      <c r="F227" s="4" t="s">
        <v>25</v>
      </c>
      <c r="G227" s="4" t="s">
        <v>25</v>
      </c>
      <c r="H227" s="4" t="s">
        <v>37</v>
      </c>
      <c r="I227" s="5">
        <v>44713</v>
      </c>
      <c r="J227" s="6">
        <v>0</v>
      </c>
      <c r="K227" s="6">
        <v>0</v>
      </c>
      <c r="L227" s="6">
        <v>4.5999999999999999E-2</v>
      </c>
      <c r="M227" s="6">
        <v>4.5999999999999999E-2</v>
      </c>
      <c r="N227" s="6">
        <v>4.5999999999999999E-2</v>
      </c>
      <c r="O227" s="6">
        <v>4.5999999999999999E-2</v>
      </c>
      <c r="P227" s="6">
        <v>0</v>
      </c>
      <c r="Q227" s="4" t="s">
        <v>26</v>
      </c>
      <c r="R227" s="4">
        <v>0</v>
      </c>
      <c r="S227" s="4" t="s">
        <v>187</v>
      </c>
      <c r="T227" s="4" t="s">
        <v>348</v>
      </c>
      <c r="U227" s="4">
        <v>0</v>
      </c>
      <c r="V227" s="4">
        <v>2</v>
      </c>
      <c r="W227" s="4">
        <v>62</v>
      </c>
    </row>
    <row r="228" spans="1:23" ht="11.25" customHeight="1" x14ac:dyDescent="0.25">
      <c r="A228" s="4" t="s">
        <v>21</v>
      </c>
      <c r="B228" s="4" t="s">
        <v>22</v>
      </c>
      <c r="C228" s="4" t="s">
        <v>55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37</v>
      </c>
      <c r="I228" s="5">
        <v>44743</v>
      </c>
      <c r="J228" s="6">
        <v>0</v>
      </c>
      <c r="K228" s="6">
        <v>0</v>
      </c>
      <c r="L228" s="6">
        <v>4.3999999999999997E-2</v>
      </c>
      <c r="M228" s="6">
        <v>4.3999999999999997E-2</v>
      </c>
      <c r="N228" s="6">
        <v>4.3999999999999997E-2</v>
      </c>
      <c r="O228" s="6">
        <v>4.3999999999999997E-2</v>
      </c>
      <c r="P228" s="6">
        <v>0</v>
      </c>
      <c r="Q228" s="4" t="s">
        <v>26</v>
      </c>
      <c r="R228" s="4">
        <v>0</v>
      </c>
      <c r="S228" s="4" t="s">
        <v>188</v>
      </c>
      <c r="T228" s="4" t="s">
        <v>349</v>
      </c>
      <c r="U228" s="4">
        <v>0</v>
      </c>
      <c r="V228" s="4">
        <v>2</v>
      </c>
      <c r="W228" s="4">
        <v>62</v>
      </c>
    </row>
    <row r="229" spans="1:23" ht="11.25" customHeight="1" x14ac:dyDescent="0.25">
      <c r="A229" s="4" t="s">
        <v>57</v>
      </c>
      <c r="B229" s="4" t="s">
        <v>22</v>
      </c>
      <c r="C229" s="4" t="s">
        <v>55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37</v>
      </c>
      <c r="I229" s="5">
        <v>44774</v>
      </c>
      <c r="J229" s="6">
        <v>0</v>
      </c>
      <c r="K229" s="6">
        <v>0</v>
      </c>
      <c r="L229" s="6">
        <v>4.3999999999999997E-2</v>
      </c>
      <c r="M229" s="6">
        <v>4.3999999999999997E-2</v>
      </c>
      <c r="N229" s="6">
        <v>4.3999999999999997E-2</v>
      </c>
      <c r="O229" s="6">
        <v>4.3999999999999997E-2</v>
      </c>
      <c r="P229" s="6">
        <v>0</v>
      </c>
      <c r="Q229" s="4" t="s">
        <v>26</v>
      </c>
      <c r="R229" s="4">
        <v>0</v>
      </c>
      <c r="S229" s="4" t="s">
        <v>189</v>
      </c>
      <c r="T229" s="4" t="s">
        <v>350</v>
      </c>
      <c r="U229" s="4">
        <v>0</v>
      </c>
      <c r="V229" s="4">
        <v>2</v>
      </c>
      <c r="W229" s="4">
        <v>62</v>
      </c>
    </row>
    <row r="230" spans="1:23" ht="11.25" customHeight="1" x14ac:dyDescent="0.25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24</v>
      </c>
      <c r="F230" s="4" t="s">
        <v>25</v>
      </c>
      <c r="G230" s="4" t="s">
        <v>25</v>
      </c>
      <c r="H230" s="4" t="s">
        <v>25</v>
      </c>
      <c r="I230" s="5">
        <v>44440</v>
      </c>
      <c r="J230" s="6">
        <v>0</v>
      </c>
      <c r="K230" s="6">
        <v>0</v>
      </c>
      <c r="L230" s="6">
        <v>4595.1440000000002</v>
      </c>
      <c r="M230" s="6">
        <v>4595.1440000000002</v>
      </c>
      <c r="N230" s="6">
        <v>4595.1440000000002</v>
      </c>
      <c r="O230" s="6">
        <v>4595.1440000000002</v>
      </c>
      <c r="P230" s="6">
        <v>20586</v>
      </c>
      <c r="Q230" s="4" t="s">
        <v>26</v>
      </c>
      <c r="R230" s="4">
        <v>0</v>
      </c>
      <c r="S230" s="4" t="s">
        <v>190</v>
      </c>
      <c r="T230" s="4" t="s">
        <v>351</v>
      </c>
      <c r="U230" s="4">
        <v>0</v>
      </c>
      <c r="V230" s="4">
        <v>11</v>
      </c>
      <c r="W230" s="4">
        <v>88</v>
      </c>
    </row>
    <row r="231" spans="1:23" ht="11.25" customHeight="1" x14ac:dyDescent="0.25">
      <c r="A231" s="4" t="s">
        <v>27</v>
      </c>
      <c r="B231" s="4" t="s">
        <v>22</v>
      </c>
      <c r="C231" s="4" t="s">
        <v>23</v>
      </c>
      <c r="D231" s="4" t="s">
        <v>24</v>
      </c>
      <c r="E231" s="4" t="s">
        <v>24</v>
      </c>
      <c r="F231" s="4" t="s">
        <v>25</v>
      </c>
      <c r="G231" s="4" t="s">
        <v>25</v>
      </c>
      <c r="H231" s="4" t="s">
        <v>25</v>
      </c>
      <c r="I231" s="5">
        <v>44440</v>
      </c>
      <c r="J231" s="6">
        <v>0</v>
      </c>
      <c r="K231" s="6">
        <v>0</v>
      </c>
      <c r="L231" s="6">
        <v>-2.5339999999999998</v>
      </c>
      <c r="M231" s="6">
        <v>-2.5339999999999998</v>
      </c>
      <c r="N231" s="6">
        <v>-2.5339999999999998</v>
      </c>
      <c r="O231" s="6">
        <v>-2.5339999999999998</v>
      </c>
      <c r="P231" s="6">
        <v>0</v>
      </c>
      <c r="Q231" s="4" t="s">
        <v>26</v>
      </c>
      <c r="R231" s="4">
        <v>0</v>
      </c>
      <c r="S231" s="4" t="s">
        <v>190</v>
      </c>
      <c r="T231" s="4" t="s">
        <v>351</v>
      </c>
      <c r="U231" s="4">
        <v>0</v>
      </c>
      <c r="V231" s="4">
        <v>11</v>
      </c>
      <c r="W231" s="4">
        <v>88</v>
      </c>
    </row>
    <row r="232" spans="1:23" ht="11.25" customHeight="1" x14ac:dyDescent="0.25">
      <c r="A232" s="4" t="s">
        <v>28</v>
      </c>
      <c r="B232" s="4" t="s">
        <v>22</v>
      </c>
      <c r="C232" s="4" t="s">
        <v>23</v>
      </c>
      <c r="D232" s="4" t="s">
        <v>24</v>
      </c>
      <c r="E232" s="4" t="s">
        <v>24</v>
      </c>
      <c r="F232" s="4" t="s">
        <v>25</v>
      </c>
      <c r="G232" s="4" t="s">
        <v>25</v>
      </c>
      <c r="H232" s="4" t="s">
        <v>25</v>
      </c>
      <c r="I232" s="5">
        <v>44440</v>
      </c>
      <c r="J232" s="6">
        <v>0</v>
      </c>
      <c r="K232" s="6">
        <v>0</v>
      </c>
      <c r="L232" s="6">
        <v>20.265999999999998</v>
      </c>
      <c r="M232" s="6">
        <v>20.265999999999998</v>
      </c>
      <c r="N232" s="6">
        <v>20.265999999999998</v>
      </c>
      <c r="O232" s="6">
        <v>20.265999999999998</v>
      </c>
      <c r="P232" s="6">
        <v>41</v>
      </c>
      <c r="Q232" s="4" t="s">
        <v>26</v>
      </c>
      <c r="R232" s="4">
        <v>0</v>
      </c>
      <c r="S232" s="4" t="s">
        <v>190</v>
      </c>
      <c r="T232" s="4" t="s">
        <v>351</v>
      </c>
      <c r="U232" s="4">
        <v>0</v>
      </c>
      <c r="V232" s="4">
        <v>11</v>
      </c>
      <c r="W232" s="4">
        <v>88</v>
      </c>
    </row>
    <row r="233" spans="1:2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24</v>
      </c>
      <c r="F233" s="4" t="s">
        <v>25</v>
      </c>
      <c r="G233" s="4" t="s">
        <v>25</v>
      </c>
      <c r="H233" s="4" t="s">
        <v>25</v>
      </c>
      <c r="I233" s="5">
        <v>44470</v>
      </c>
      <c r="J233" s="6">
        <v>0</v>
      </c>
      <c r="K233" s="6">
        <v>0</v>
      </c>
      <c r="L233" s="6">
        <v>4514.1490000000003</v>
      </c>
      <c r="M233" s="6">
        <v>4514.1490000000003</v>
      </c>
      <c r="N233" s="6">
        <v>4514.1490000000003</v>
      </c>
      <c r="O233" s="6">
        <v>4514.1490000000003</v>
      </c>
      <c r="P233" s="6">
        <v>20609</v>
      </c>
      <c r="Q233" s="4" t="s">
        <v>26</v>
      </c>
      <c r="R233" s="4">
        <v>0</v>
      </c>
      <c r="S233" s="4" t="s">
        <v>191</v>
      </c>
      <c r="T233" s="4" t="s">
        <v>352</v>
      </c>
      <c r="U233" s="4">
        <v>0</v>
      </c>
      <c r="V233" s="4">
        <v>11</v>
      </c>
      <c r="W233" s="4">
        <v>88</v>
      </c>
    </row>
    <row r="234" spans="1:23" ht="11.25" customHeight="1" x14ac:dyDescent="0.25">
      <c r="A234" s="4" t="s">
        <v>27</v>
      </c>
      <c r="B234" s="4" t="s">
        <v>22</v>
      </c>
      <c r="C234" s="4" t="s">
        <v>23</v>
      </c>
      <c r="D234" s="4" t="s">
        <v>24</v>
      </c>
      <c r="E234" s="4" t="s">
        <v>24</v>
      </c>
      <c r="F234" s="4" t="s">
        <v>25</v>
      </c>
      <c r="G234" s="4" t="s">
        <v>25</v>
      </c>
      <c r="H234" s="4" t="s">
        <v>25</v>
      </c>
      <c r="I234" s="5">
        <v>44470</v>
      </c>
      <c r="J234" s="6">
        <v>0</v>
      </c>
      <c r="K234" s="6">
        <v>0</v>
      </c>
      <c r="L234" s="6">
        <v>-7.7119999999999997</v>
      </c>
      <c r="M234" s="6">
        <v>-7.7119999999999997</v>
      </c>
      <c r="N234" s="6">
        <v>-7.7119999999999997</v>
      </c>
      <c r="O234" s="6">
        <v>-7.7119999999999997</v>
      </c>
      <c r="P234" s="6">
        <v>0</v>
      </c>
      <c r="Q234" s="4" t="s">
        <v>26</v>
      </c>
      <c r="R234" s="4">
        <v>0</v>
      </c>
      <c r="S234" s="4" t="s">
        <v>191</v>
      </c>
      <c r="T234" s="4" t="s">
        <v>352</v>
      </c>
      <c r="U234" s="4">
        <v>0</v>
      </c>
      <c r="V234" s="4">
        <v>11</v>
      </c>
      <c r="W234" s="4">
        <v>88</v>
      </c>
    </row>
    <row r="235" spans="1:23" ht="11.25" customHeight="1" x14ac:dyDescent="0.25">
      <c r="A235" s="4" t="s">
        <v>28</v>
      </c>
      <c r="B235" s="4" t="s">
        <v>22</v>
      </c>
      <c r="C235" s="4" t="s">
        <v>23</v>
      </c>
      <c r="D235" s="4" t="s">
        <v>24</v>
      </c>
      <c r="E235" s="4" t="s">
        <v>24</v>
      </c>
      <c r="F235" s="4" t="s">
        <v>25</v>
      </c>
      <c r="G235" s="4" t="s">
        <v>25</v>
      </c>
      <c r="H235" s="4" t="s">
        <v>25</v>
      </c>
      <c r="I235" s="5">
        <v>44470</v>
      </c>
      <c r="J235" s="6">
        <v>0</v>
      </c>
      <c r="K235" s="6">
        <v>0</v>
      </c>
      <c r="L235" s="6">
        <v>18.855</v>
      </c>
      <c r="M235" s="6">
        <v>18.855</v>
      </c>
      <c r="N235" s="6">
        <v>18.855</v>
      </c>
      <c r="O235" s="6">
        <v>18.855</v>
      </c>
      <c r="P235" s="6">
        <v>43</v>
      </c>
      <c r="Q235" s="4" t="s">
        <v>26</v>
      </c>
      <c r="R235" s="4">
        <v>0</v>
      </c>
      <c r="S235" s="4" t="s">
        <v>191</v>
      </c>
      <c r="T235" s="4" t="s">
        <v>352</v>
      </c>
      <c r="U235" s="4">
        <v>0</v>
      </c>
      <c r="V235" s="4">
        <v>11</v>
      </c>
      <c r="W235" s="4">
        <v>88</v>
      </c>
    </row>
    <row r="236" spans="1:2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24</v>
      </c>
      <c r="F236" s="4" t="s">
        <v>25</v>
      </c>
      <c r="G236" s="4" t="s">
        <v>25</v>
      </c>
      <c r="H236" s="4" t="s">
        <v>25</v>
      </c>
      <c r="I236" s="5">
        <v>44501</v>
      </c>
      <c r="J236" s="6">
        <v>0</v>
      </c>
      <c r="K236" s="6">
        <v>0</v>
      </c>
      <c r="L236" s="6">
        <v>4383.5619999999999</v>
      </c>
      <c r="M236" s="6">
        <v>4383.5619999999999</v>
      </c>
      <c r="N236" s="6">
        <v>4383.5619999999999</v>
      </c>
      <c r="O236" s="6">
        <v>4383.5619999999999</v>
      </c>
      <c r="P236" s="6">
        <v>20643</v>
      </c>
      <c r="Q236" s="4" t="s">
        <v>26</v>
      </c>
      <c r="R236" s="4">
        <v>0</v>
      </c>
      <c r="S236" s="4" t="s">
        <v>192</v>
      </c>
      <c r="T236" s="4" t="s">
        <v>353</v>
      </c>
      <c r="U236" s="4">
        <v>0</v>
      </c>
      <c r="V236" s="4">
        <v>11</v>
      </c>
      <c r="W236" s="4">
        <v>88</v>
      </c>
    </row>
    <row r="237" spans="1:23" ht="11.25" customHeight="1" x14ac:dyDescent="0.25">
      <c r="A237" s="4" t="s">
        <v>27</v>
      </c>
      <c r="B237" s="4" t="s">
        <v>22</v>
      </c>
      <c r="C237" s="4" t="s">
        <v>23</v>
      </c>
      <c r="D237" s="4" t="s">
        <v>24</v>
      </c>
      <c r="E237" s="4" t="s">
        <v>24</v>
      </c>
      <c r="F237" s="4" t="s">
        <v>25</v>
      </c>
      <c r="G237" s="4" t="s">
        <v>25</v>
      </c>
      <c r="H237" s="4" t="s">
        <v>25</v>
      </c>
      <c r="I237" s="5">
        <v>44501</v>
      </c>
      <c r="J237" s="6">
        <v>0</v>
      </c>
      <c r="K237" s="6">
        <v>0</v>
      </c>
      <c r="L237" s="6">
        <v>-2.2719999999999998</v>
      </c>
      <c r="M237" s="6">
        <v>-2.2719999999999998</v>
      </c>
      <c r="N237" s="6">
        <v>-2.2719999999999998</v>
      </c>
      <c r="O237" s="6">
        <v>-2.2719999999999998</v>
      </c>
      <c r="P237" s="6">
        <v>0</v>
      </c>
      <c r="Q237" s="4" t="s">
        <v>26</v>
      </c>
      <c r="R237" s="4">
        <v>0</v>
      </c>
      <c r="S237" s="4" t="s">
        <v>192</v>
      </c>
      <c r="T237" s="4" t="s">
        <v>353</v>
      </c>
      <c r="U237" s="4">
        <v>0</v>
      </c>
      <c r="V237" s="4">
        <v>11</v>
      </c>
      <c r="W237" s="4">
        <v>88</v>
      </c>
    </row>
    <row r="238" spans="1:23" ht="11.25" customHeight="1" x14ac:dyDescent="0.25">
      <c r="A238" s="4" t="s">
        <v>28</v>
      </c>
      <c r="B238" s="4" t="s">
        <v>22</v>
      </c>
      <c r="C238" s="4" t="s">
        <v>23</v>
      </c>
      <c r="D238" s="4" t="s">
        <v>24</v>
      </c>
      <c r="E238" s="4" t="s">
        <v>24</v>
      </c>
      <c r="F238" s="4" t="s">
        <v>25</v>
      </c>
      <c r="G238" s="4" t="s">
        <v>25</v>
      </c>
      <c r="H238" s="4" t="s">
        <v>25</v>
      </c>
      <c r="I238" s="5">
        <v>44501</v>
      </c>
      <c r="J238" s="6">
        <v>0</v>
      </c>
      <c r="K238" s="6">
        <v>0</v>
      </c>
      <c r="L238" s="6">
        <v>12.273999999999999</v>
      </c>
      <c r="M238" s="6">
        <v>12.273999999999999</v>
      </c>
      <c r="N238" s="6">
        <v>12.273999999999999</v>
      </c>
      <c r="O238" s="6">
        <v>12.273999999999999</v>
      </c>
      <c r="P238" s="6">
        <v>44</v>
      </c>
      <c r="Q238" s="4" t="s">
        <v>26</v>
      </c>
      <c r="R238" s="4">
        <v>0</v>
      </c>
      <c r="S238" s="4" t="s">
        <v>192</v>
      </c>
      <c r="T238" s="4" t="s">
        <v>353</v>
      </c>
      <c r="U238" s="4">
        <v>0</v>
      </c>
      <c r="V238" s="4">
        <v>11</v>
      </c>
      <c r="W238" s="4">
        <v>88</v>
      </c>
    </row>
    <row r="239" spans="1:23" ht="11.25" customHeight="1" x14ac:dyDescent="0.25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24</v>
      </c>
      <c r="F239" s="4" t="s">
        <v>25</v>
      </c>
      <c r="G239" s="4" t="s">
        <v>25</v>
      </c>
      <c r="H239" s="4" t="s">
        <v>25</v>
      </c>
      <c r="I239" s="5">
        <v>44531</v>
      </c>
      <c r="J239" s="6">
        <v>0</v>
      </c>
      <c r="K239" s="6">
        <v>0</v>
      </c>
      <c r="L239" s="6">
        <v>4585.6549999999997</v>
      </c>
      <c r="M239" s="6">
        <v>4585.6549999999997</v>
      </c>
      <c r="N239" s="6">
        <v>4585.6549999999997</v>
      </c>
      <c r="O239" s="6">
        <v>4585.6549999999997</v>
      </c>
      <c r="P239" s="6">
        <v>20673</v>
      </c>
      <c r="Q239" s="4" t="s">
        <v>26</v>
      </c>
      <c r="R239" s="4">
        <v>0</v>
      </c>
      <c r="S239" s="4" t="s">
        <v>193</v>
      </c>
      <c r="T239" s="4" t="s">
        <v>354</v>
      </c>
      <c r="U239" s="4">
        <v>0</v>
      </c>
      <c r="V239" s="4">
        <v>11</v>
      </c>
      <c r="W239" s="4">
        <v>88</v>
      </c>
    </row>
    <row r="240" spans="1:23" ht="11.25" customHeight="1" x14ac:dyDescent="0.25">
      <c r="A240" s="4" t="s">
        <v>27</v>
      </c>
      <c r="B240" s="4" t="s">
        <v>22</v>
      </c>
      <c r="C240" s="4" t="s">
        <v>23</v>
      </c>
      <c r="D240" s="4" t="s">
        <v>24</v>
      </c>
      <c r="E240" s="4" t="s">
        <v>24</v>
      </c>
      <c r="F240" s="4" t="s">
        <v>25</v>
      </c>
      <c r="G240" s="4" t="s">
        <v>25</v>
      </c>
      <c r="H240" s="4" t="s">
        <v>25</v>
      </c>
      <c r="I240" s="5">
        <v>44531</v>
      </c>
      <c r="J240" s="6">
        <v>0</v>
      </c>
      <c r="K240" s="6">
        <v>0</v>
      </c>
      <c r="L240" s="6">
        <v>-0.81899999999999995</v>
      </c>
      <c r="M240" s="6">
        <v>-0.81899999999999995</v>
      </c>
      <c r="N240" s="6">
        <v>-0.81899999999999995</v>
      </c>
      <c r="O240" s="6">
        <v>-0.81899999999999995</v>
      </c>
      <c r="P240" s="6">
        <v>0</v>
      </c>
      <c r="Q240" s="4" t="s">
        <v>26</v>
      </c>
      <c r="R240" s="4">
        <v>0</v>
      </c>
      <c r="S240" s="4" t="s">
        <v>193</v>
      </c>
      <c r="T240" s="4" t="s">
        <v>354</v>
      </c>
      <c r="U240" s="4">
        <v>0</v>
      </c>
      <c r="V240" s="4">
        <v>11</v>
      </c>
      <c r="W240" s="4">
        <v>88</v>
      </c>
    </row>
    <row r="241" spans="1:23" ht="11.25" customHeight="1" x14ac:dyDescent="0.25">
      <c r="A241" s="4" t="s">
        <v>28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44531</v>
      </c>
      <c r="J241" s="6">
        <v>0</v>
      </c>
      <c r="K241" s="6">
        <v>0</v>
      </c>
      <c r="L241" s="6">
        <v>10.584</v>
      </c>
      <c r="M241" s="6">
        <v>10.584</v>
      </c>
      <c r="N241" s="6">
        <v>10.584</v>
      </c>
      <c r="O241" s="6">
        <v>10.584</v>
      </c>
      <c r="P241" s="6">
        <v>44</v>
      </c>
      <c r="Q241" s="4" t="s">
        <v>26</v>
      </c>
      <c r="R241" s="4">
        <v>0</v>
      </c>
      <c r="S241" s="4" t="s">
        <v>193</v>
      </c>
      <c r="T241" s="4" t="s">
        <v>354</v>
      </c>
      <c r="U241" s="4">
        <v>0</v>
      </c>
      <c r="V241" s="4">
        <v>11</v>
      </c>
      <c r="W241" s="4">
        <v>88</v>
      </c>
    </row>
    <row r="242" spans="1:23" ht="11.25" customHeight="1" x14ac:dyDescent="0.25">
      <c r="A242" s="4" t="s">
        <v>21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44562</v>
      </c>
      <c r="J242" s="6">
        <v>0</v>
      </c>
      <c r="K242" s="6">
        <v>0</v>
      </c>
      <c r="L242" s="6">
        <v>5813.1220000000003</v>
      </c>
      <c r="M242" s="6">
        <v>5813.1220000000003</v>
      </c>
      <c r="N242" s="6">
        <v>5813.1220000000003</v>
      </c>
      <c r="O242" s="6">
        <v>5813.1220000000003</v>
      </c>
      <c r="P242" s="6">
        <v>20729</v>
      </c>
      <c r="Q242" s="4" t="s">
        <v>26</v>
      </c>
      <c r="R242" s="4">
        <v>0</v>
      </c>
      <c r="S242" s="4" t="s">
        <v>194</v>
      </c>
      <c r="T242" s="4" t="s">
        <v>355</v>
      </c>
      <c r="U242" s="4">
        <v>0</v>
      </c>
      <c r="V242" s="4">
        <v>11</v>
      </c>
      <c r="W242" s="4">
        <v>88</v>
      </c>
    </row>
    <row r="243" spans="1:23" ht="11.25" customHeight="1" x14ac:dyDescent="0.25">
      <c r="A243" s="4" t="s">
        <v>27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44562</v>
      </c>
      <c r="J243" s="6">
        <v>0</v>
      </c>
      <c r="K243" s="6">
        <v>0</v>
      </c>
      <c r="L243" s="6">
        <v>-20.109000000000002</v>
      </c>
      <c r="M243" s="6">
        <v>-20.109000000000002</v>
      </c>
      <c r="N243" s="6">
        <v>-20.109000000000002</v>
      </c>
      <c r="O243" s="6">
        <v>-20.109000000000002</v>
      </c>
      <c r="P243" s="6">
        <v>0</v>
      </c>
      <c r="Q243" s="4" t="s">
        <v>26</v>
      </c>
      <c r="R243" s="4">
        <v>0</v>
      </c>
      <c r="S243" s="4" t="s">
        <v>194</v>
      </c>
      <c r="T243" s="4" t="s">
        <v>355</v>
      </c>
      <c r="U243" s="4">
        <v>0</v>
      </c>
      <c r="V243" s="4">
        <v>11</v>
      </c>
      <c r="W243" s="4">
        <v>88</v>
      </c>
    </row>
    <row r="244" spans="1:23" ht="11.25" customHeight="1" x14ac:dyDescent="0.25">
      <c r="A244" s="4" t="s">
        <v>28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44562</v>
      </c>
      <c r="J244" s="6">
        <v>0</v>
      </c>
      <c r="K244" s="6">
        <v>0</v>
      </c>
      <c r="L244" s="6">
        <v>12.129</v>
      </c>
      <c r="M244" s="6">
        <v>12.129</v>
      </c>
      <c r="N244" s="6">
        <v>12.129</v>
      </c>
      <c r="O244" s="6">
        <v>12.129</v>
      </c>
      <c r="P244" s="6">
        <v>51</v>
      </c>
      <c r="Q244" s="4" t="s">
        <v>26</v>
      </c>
      <c r="R244" s="4">
        <v>0</v>
      </c>
      <c r="S244" s="4" t="s">
        <v>194</v>
      </c>
      <c r="T244" s="4" t="s">
        <v>355</v>
      </c>
      <c r="U244" s="4">
        <v>0</v>
      </c>
      <c r="V244" s="4">
        <v>11</v>
      </c>
      <c r="W244" s="4">
        <v>88</v>
      </c>
    </row>
    <row r="245" spans="1:23" ht="11.25" customHeight="1" x14ac:dyDescent="0.25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44593</v>
      </c>
      <c r="J245" s="6">
        <v>0</v>
      </c>
      <c r="K245" s="6">
        <v>0</v>
      </c>
      <c r="L245" s="6">
        <v>6093.8940000000002</v>
      </c>
      <c r="M245" s="6">
        <v>6093.8940000000002</v>
      </c>
      <c r="N245" s="6">
        <v>6093.8940000000002</v>
      </c>
      <c r="O245" s="6">
        <v>6093.8940000000002</v>
      </c>
      <c r="P245" s="6">
        <v>20708</v>
      </c>
      <c r="Q245" s="4" t="s">
        <v>26</v>
      </c>
      <c r="R245" s="4">
        <v>0</v>
      </c>
      <c r="S245" s="4" t="s">
        <v>195</v>
      </c>
      <c r="T245" s="4" t="s">
        <v>356</v>
      </c>
      <c r="U245" s="4">
        <v>0</v>
      </c>
      <c r="V245" s="4">
        <v>11</v>
      </c>
      <c r="W245" s="4">
        <v>88</v>
      </c>
    </row>
    <row r="246" spans="1:23" ht="11.25" customHeight="1" x14ac:dyDescent="0.25">
      <c r="A246" s="4" t="s">
        <v>27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44593</v>
      </c>
      <c r="J246" s="6">
        <v>0</v>
      </c>
      <c r="K246" s="6">
        <v>0</v>
      </c>
      <c r="L246" s="6">
        <v>-14.095000000000001</v>
      </c>
      <c r="M246" s="6">
        <v>-14.095000000000001</v>
      </c>
      <c r="N246" s="6">
        <v>-14.095000000000001</v>
      </c>
      <c r="O246" s="6">
        <v>-14.095000000000001</v>
      </c>
      <c r="P246" s="6">
        <v>0</v>
      </c>
      <c r="Q246" s="4" t="s">
        <v>26</v>
      </c>
      <c r="R246" s="4">
        <v>0</v>
      </c>
      <c r="S246" s="4" t="s">
        <v>195</v>
      </c>
      <c r="T246" s="4" t="s">
        <v>356</v>
      </c>
      <c r="U246" s="4">
        <v>0</v>
      </c>
      <c r="V246" s="4">
        <v>11</v>
      </c>
      <c r="W246" s="4">
        <v>88</v>
      </c>
    </row>
    <row r="247" spans="1:23" ht="11.25" customHeight="1" x14ac:dyDescent="0.25">
      <c r="A247" s="4" t="s">
        <v>28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44593</v>
      </c>
      <c r="J247" s="6">
        <v>0</v>
      </c>
      <c r="K247" s="6">
        <v>0</v>
      </c>
      <c r="L247" s="6">
        <v>14.016</v>
      </c>
      <c r="M247" s="6">
        <v>14.016</v>
      </c>
      <c r="N247" s="6">
        <v>14.016</v>
      </c>
      <c r="O247" s="6">
        <v>14.016</v>
      </c>
      <c r="P247" s="6">
        <v>55</v>
      </c>
      <c r="Q247" s="4" t="s">
        <v>26</v>
      </c>
      <c r="R247" s="4">
        <v>0</v>
      </c>
      <c r="S247" s="4" t="s">
        <v>195</v>
      </c>
      <c r="T247" s="4" t="s">
        <v>356</v>
      </c>
      <c r="U247" s="4">
        <v>0</v>
      </c>
      <c r="V247" s="4">
        <v>11</v>
      </c>
      <c r="W247" s="4">
        <v>88</v>
      </c>
    </row>
    <row r="248" spans="1:2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44621</v>
      </c>
      <c r="J248" s="6">
        <v>0</v>
      </c>
      <c r="K248" s="6">
        <v>0</v>
      </c>
      <c r="L248" s="6">
        <v>5625.98</v>
      </c>
      <c r="M248" s="6">
        <v>5625.98</v>
      </c>
      <c r="N248" s="6">
        <v>5625.98</v>
      </c>
      <c r="O248" s="6">
        <v>5625.98</v>
      </c>
      <c r="P248" s="6">
        <v>20619</v>
      </c>
      <c r="Q248" s="4" t="s">
        <v>26</v>
      </c>
      <c r="R248" s="4">
        <v>0</v>
      </c>
      <c r="S248" s="4" t="s">
        <v>196</v>
      </c>
      <c r="T248" s="4" t="s">
        <v>357</v>
      </c>
      <c r="U248" s="4">
        <v>0</v>
      </c>
      <c r="V248" s="4">
        <v>11</v>
      </c>
      <c r="W248" s="4">
        <v>88</v>
      </c>
    </row>
    <row r="249" spans="1:2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44621</v>
      </c>
      <c r="J249" s="6">
        <v>0</v>
      </c>
      <c r="K249" s="6">
        <v>0</v>
      </c>
      <c r="L249" s="6">
        <v>-2.2839999999999998</v>
      </c>
      <c r="M249" s="6">
        <v>-2.2839999999999998</v>
      </c>
      <c r="N249" s="6">
        <v>-2.2839999999999998</v>
      </c>
      <c r="O249" s="6">
        <v>-2.2839999999999998</v>
      </c>
      <c r="P249" s="6">
        <v>0</v>
      </c>
      <c r="Q249" s="4" t="s">
        <v>26</v>
      </c>
      <c r="R249" s="4">
        <v>0</v>
      </c>
      <c r="S249" s="4" t="s">
        <v>196</v>
      </c>
      <c r="T249" s="4" t="s">
        <v>357</v>
      </c>
      <c r="U249" s="4">
        <v>0</v>
      </c>
      <c r="V249" s="4">
        <v>11</v>
      </c>
      <c r="W249" s="4">
        <v>88</v>
      </c>
    </row>
    <row r="250" spans="1:23" ht="11.25" customHeight="1" x14ac:dyDescent="0.25">
      <c r="A250" s="4" t="s">
        <v>28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18.248999999999999</v>
      </c>
      <c r="M250" s="6">
        <v>18.248999999999999</v>
      </c>
      <c r="N250" s="6">
        <v>18.248999999999999</v>
      </c>
      <c r="O250" s="6">
        <v>18.248999999999999</v>
      </c>
      <c r="P250" s="6">
        <v>59</v>
      </c>
      <c r="Q250" s="4" t="s">
        <v>26</v>
      </c>
      <c r="R250" s="4">
        <v>0</v>
      </c>
      <c r="S250" s="4" t="s">
        <v>196</v>
      </c>
      <c r="T250" s="4" t="s">
        <v>357</v>
      </c>
      <c r="U250" s="4">
        <v>0</v>
      </c>
      <c r="V250" s="4">
        <v>11</v>
      </c>
      <c r="W250" s="4">
        <v>88</v>
      </c>
    </row>
    <row r="251" spans="1:23" ht="11.25" customHeight="1" x14ac:dyDescent="0.25">
      <c r="A251" s="4" t="s">
        <v>28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44621</v>
      </c>
      <c r="J251" s="6">
        <v>0</v>
      </c>
      <c r="K251" s="6">
        <v>0</v>
      </c>
      <c r="L251" s="6">
        <v>-9.1999999999999998E-2</v>
      </c>
      <c r="M251" s="6">
        <v>-9.1999999999999998E-2</v>
      </c>
      <c r="N251" s="6">
        <v>-9.1999999999999998E-2</v>
      </c>
      <c r="O251" s="6">
        <v>-9.1999999999999998E-2</v>
      </c>
      <c r="P251" s="6">
        <v>2</v>
      </c>
      <c r="Q251" s="4" t="s">
        <v>26</v>
      </c>
      <c r="R251" s="4">
        <v>0</v>
      </c>
      <c r="S251" s="4" t="s">
        <v>196</v>
      </c>
      <c r="T251" s="4" t="s">
        <v>357</v>
      </c>
      <c r="U251" s="4">
        <v>0</v>
      </c>
      <c r="V251" s="4">
        <v>11</v>
      </c>
      <c r="W251" s="4">
        <v>88</v>
      </c>
    </row>
    <row r="252" spans="1:2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44652</v>
      </c>
      <c r="J252" s="6">
        <v>0</v>
      </c>
      <c r="K252" s="6">
        <v>0</v>
      </c>
      <c r="L252" s="6">
        <v>4741.5280000000002</v>
      </c>
      <c r="M252" s="6">
        <v>4741.5280000000002</v>
      </c>
      <c r="N252" s="6">
        <v>4741.5280000000002</v>
      </c>
      <c r="O252" s="6">
        <v>4741.5280000000002</v>
      </c>
      <c r="P252" s="6">
        <v>20577</v>
      </c>
      <c r="Q252" s="4" t="s">
        <v>26</v>
      </c>
      <c r="R252" s="4">
        <v>0</v>
      </c>
      <c r="S252" s="4" t="s">
        <v>197</v>
      </c>
      <c r="T252" s="4" t="s">
        <v>358</v>
      </c>
      <c r="U252" s="4">
        <v>0</v>
      </c>
      <c r="V252" s="4">
        <v>11</v>
      </c>
      <c r="W252" s="4">
        <v>88</v>
      </c>
    </row>
    <row r="253" spans="1:23" ht="11.25" customHeight="1" x14ac:dyDescent="0.25">
      <c r="A253" s="4" t="s">
        <v>27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44652</v>
      </c>
      <c r="J253" s="6">
        <v>0</v>
      </c>
      <c r="K253" s="6">
        <v>0</v>
      </c>
      <c r="L253" s="6">
        <v>-0.46400000000000002</v>
      </c>
      <c r="M253" s="6">
        <v>-0.46400000000000002</v>
      </c>
      <c r="N253" s="6">
        <v>-0.46400000000000002</v>
      </c>
      <c r="O253" s="6">
        <v>-0.46400000000000002</v>
      </c>
      <c r="P253" s="6">
        <v>0</v>
      </c>
      <c r="Q253" s="4" t="s">
        <v>26</v>
      </c>
      <c r="R253" s="4">
        <v>0</v>
      </c>
      <c r="S253" s="4" t="s">
        <v>197</v>
      </c>
      <c r="T253" s="4" t="s">
        <v>358</v>
      </c>
      <c r="U253" s="4">
        <v>0</v>
      </c>
      <c r="V253" s="4">
        <v>11</v>
      </c>
      <c r="W253" s="4">
        <v>88</v>
      </c>
    </row>
    <row r="254" spans="1:23" ht="11.25" customHeight="1" x14ac:dyDescent="0.25">
      <c r="A254" s="4" t="s">
        <v>28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19.015000000000001</v>
      </c>
      <c r="M254" s="6">
        <v>19.015000000000001</v>
      </c>
      <c r="N254" s="6">
        <v>19.015000000000001</v>
      </c>
      <c r="O254" s="6">
        <v>19.015000000000001</v>
      </c>
      <c r="P254" s="6">
        <v>63</v>
      </c>
      <c r="Q254" s="4" t="s">
        <v>26</v>
      </c>
      <c r="R254" s="4">
        <v>0</v>
      </c>
      <c r="S254" s="4" t="s">
        <v>197</v>
      </c>
      <c r="T254" s="4" t="s">
        <v>358</v>
      </c>
      <c r="U254" s="4">
        <v>0</v>
      </c>
      <c r="V254" s="4">
        <v>11</v>
      </c>
      <c r="W254" s="4">
        <v>88</v>
      </c>
    </row>
    <row r="255" spans="1:23" ht="11.25" customHeight="1" x14ac:dyDescent="0.25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44682</v>
      </c>
      <c r="J255" s="6">
        <v>0</v>
      </c>
      <c r="K255" s="6">
        <v>0</v>
      </c>
      <c r="L255" s="6">
        <v>4246.25</v>
      </c>
      <c r="M255" s="6">
        <v>4246.25</v>
      </c>
      <c r="N255" s="6">
        <v>4246.25</v>
      </c>
      <c r="O255" s="6">
        <v>4246.25</v>
      </c>
      <c r="P255" s="6">
        <v>20565</v>
      </c>
      <c r="Q255" s="4" t="s">
        <v>26</v>
      </c>
      <c r="R255" s="4">
        <v>0</v>
      </c>
      <c r="S255" s="4" t="s">
        <v>198</v>
      </c>
      <c r="T255" s="4" t="s">
        <v>359</v>
      </c>
      <c r="U255" s="4">
        <v>0</v>
      </c>
      <c r="V255" s="4">
        <v>11</v>
      </c>
      <c r="W255" s="4">
        <v>88</v>
      </c>
    </row>
    <row r="256" spans="1:23" ht="11.25" customHeight="1" x14ac:dyDescent="0.25">
      <c r="A256" s="4" t="s">
        <v>27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-0.11799999999999999</v>
      </c>
      <c r="M256" s="6">
        <v>-0.11799999999999999</v>
      </c>
      <c r="N256" s="6">
        <v>-0.11799999999999999</v>
      </c>
      <c r="O256" s="6">
        <v>-0.11799999999999999</v>
      </c>
      <c r="P256" s="6">
        <v>0</v>
      </c>
      <c r="Q256" s="4" t="s">
        <v>26</v>
      </c>
      <c r="R256" s="4">
        <v>0</v>
      </c>
      <c r="S256" s="4" t="s">
        <v>198</v>
      </c>
      <c r="T256" s="4" t="s">
        <v>359</v>
      </c>
      <c r="U256" s="4">
        <v>0</v>
      </c>
      <c r="V256" s="4">
        <v>11</v>
      </c>
      <c r="W256" s="4">
        <v>88</v>
      </c>
    </row>
    <row r="257" spans="1:23" ht="11.25" customHeight="1" x14ac:dyDescent="0.25">
      <c r="A257" s="4" t="s">
        <v>28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24.463000000000001</v>
      </c>
      <c r="M257" s="6">
        <v>24.463000000000001</v>
      </c>
      <c r="N257" s="6">
        <v>24.463000000000001</v>
      </c>
      <c r="O257" s="6">
        <v>24.463000000000001</v>
      </c>
      <c r="P257" s="6">
        <v>71</v>
      </c>
      <c r="Q257" s="4" t="s">
        <v>26</v>
      </c>
      <c r="R257" s="4">
        <v>0</v>
      </c>
      <c r="S257" s="4" t="s">
        <v>198</v>
      </c>
      <c r="T257" s="4" t="s">
        <v>359</v>
      </c>
      <c r="U257" s="4">
        <v>0</v>
      </c>
      <c r="V257" s="4">
        <v>11</v>
      </c>
      <c r="W257" s="4">
        <v>88</v>
      </c>
    </row>
    <row r="258" spans="1:23" ht="11.25" customHeight="1" x14ac:dyDescent="0.25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4518.8620000000001</v>
      </c>
      <c r="M258" s="6">
        <v>4518.8620000000001</v>
      </c>
      <c r="N258" s="6">
        <v>4518.8620000000001</v>
      </c>
      <c r="O258" s="6">
        <v>4518.8620000000001</v>
      </c>
      <c r="P258" s="6">
        <v>20592</v>
      </c>
      <c r="Q258" s="4" t="s">
        <v>26</v>
      </c>
      <c r="R258" s="4">
        <v>0</v>
      </c>
      <c r="S258" s="4" t="s">
        <v>199</v>
      </c>
      <c r="T258" s="4" t="s">
        <v>360</v>
      </c>
      <c r="U258" s="4">
        <v>0</v>
      </c>
      <c r="V258" s="4">
        <v>11</v>
      </c>
      <c r="W258" s="4">
        <v>88</v>
      </c>
    </row>
    <row r="259" spans="1:23" ht="11.25" customHeight="1" x14ac:dyDescent="0.25">
      <c r="A259" s="4" t="s">
        <v>28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39.527000000000001</v>
      </c>
      <c r="M259" s="6">
        <v>39.527000000000001</v>
      </c>
      <c r="N259" s="6">
        <v>39.527000000000001</v>
      </c>
      <c r="O259" s="6">
        <v>39.527000000000001</v>
      </c>
      <c r="P259" s="6">
        <v>82</v>
      </c>
      <c r="Q259" s="4" t="s">
        <v>26</v>
      </c>
      <c r="R259" s="4">
        <v>0</v>
      </c>
      <c r="S259" s="4" t="s">
        <v>199</v>
      </c>
      <c r="T259" s="4" t="s">
        <v>360</v>
      </c>
      <c r="U259" s="4">
        <v>0</v>
      </c>
      <c r="V259" s="4">
        <v>11</v>
      </c>
      <c r="W259" s="4">
        <v>88</v>
      </c>
    </row>
    <row r="260" spans="1:2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44743</v>
      </c>
      <c r="J260" s="6">
        <v>0</v>
      </c>
      <c r="K260" s="6">
        <v>0</v>
      </c>
      <c r="L260" s="6">
        <v>4603.3459999999995</v>
      </c>
      <c r="M260" s="6">
        <v>4603.3459999999995</v>
      </c>
      <c r="N260" s="6">
        <v>4603.3459999999995</v>
      </c>
      <c r="O260" s="6">
        <v>4603.3459999999995</v>
      </c>
      <c r="P260" s="6">
        <v>20670</v>
      </c>
      <c r="Q260" s="4" t="s">
        <v>26</v>
      </c>
      <c r="R260" s="4">
        <v>0</v>
      </c>
      <c r="S260" s="4" t="s">
        <v>200</v>
      </c>
      <c r="T260" s="4" t="s">
        <v>361</v>
      </c>
      <c r="U260" s="4">
        <v>0</v>
      </c>
      <c r="V260" s="4">
        <v>11</v>
      </c>
      <c r="W260" s="4">
        <v>88</v>
      </c>
    </row>
    <row r="261" spans="1:2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44743</v>
      </c>
      <c r="J261" s="6">
        <v>0</v>
      </c>
      <c r="K261" s="6">
        <v>0</v>
      </c>
      <c r="L261" s="6">
        <v>-0.36699999999999999</v>
      </c>
      <c r="M261" s="6">
        <v>-0.36699999999999999</v>
      </c>
      <c r="N261" s="6">
        <v>-0.36699999999999999</v>
      </c>
      <c r="O261" s="6">
        <v>-0.36699999999999999</v>
      </c>
      <c r="P261" s="6">
        <v>0</v>
      </c>
      <c r="Q261" s="4" t="s">
        <v>26</v>
      </c>
      <c r="R261" s="4">
        <v>0</v>
      </c>
      <c r="S261" s="4" t="s">
        <v>200</v>
      </c>
      <c r="T261" s="4" t="s">
        <v>361</v>
      </c>
      <c r="U261" s="4">
        <v>0</v>
      </c>
      <c r="V261" s="4">
        <v>11</v>
      </c>
      <c r="W261" s="4">
        <v>88</v>
      </c>
    </row>
    <row r="262" spans="1:23" ht="11.25" customHeight="1" x14ac:dyDescent="0.25">
      <c r="A262" s="4" t="s">
        <v>28</v>
      </c>
      <c r="B262" s="4" t="s">
        <v>22</v>
      </c>
      <c r="C262" s="4" t="s">
        <v>23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25</v>
      </c>
      <c r="I262" s="5">
        <v>44743</v>
      </c>
      <c r="J262" s="6">
        <v>0</v>
      </c>
      <c r="K262" s="6">
        <v>0</v>
      </c>
      <c r="L262" s="6">
        <v>39.75</v>
      </c>
      <c r="M262" s="6">
        <v>39.75</v>
      </c>
      <c r="N262" s="6">
        <v>39.75</v>
      </c>
      <c r="O262" s="6">
        <v>39.75</v>
      </c>
      <c r="P262" s="6">
        <v>92</v>
      </c>
      <c r="Q262" s="4" t="s">
        <v>26</v>
      </c>
      <c r="R262" s="4">
        <v>0</v>
      </c>
      <c r="S262" s="4" t="s">
        <v>200</v>
      </c>
      <c r="T262" s="4" t="s">
        <v>361</v>
      </c>
      <c r="U262" s="4">
        <v>0</v>
      </c>
      <c r="V262" s="4">
        <v>11</v>
      </c>
      <c r="W262" s="4">
        <v>88</v>
      </c>
    </row>
    <row r="263" spans="1:23" ht="11.25" customHeight="1" x14ac:dyDescent="0.25">
      <c r="A263" s="4" t="s">
        <v>57</v>
      </c>
      <c r="B263" s="4" t="s">
        <v>22</v>
      </c>
      <c r="C263" s="4" t="s">
        <v>23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25</v>
      </c>
      <c r="I263" s="5">
        <v>44774</v>
      </c>
      <c r="J263" s="6">
        <v>0</v>
      </c>
      <c r="K263" s="6">
        <v>0</v>
      </c>
      <c r="L263" s="6">
        <v>4603.3459999999995</v>
      </c>
      <c r="M263" s="6">
        <v>4603.3459999999995</v>
      </c>
      <c r="N263" s="6">
        <v>4603.3459999999995</v>
      </c>
      <c r="O263" s="6">
        <v>4603.3459999999995</v>
      </c>
      <c r="P263" s="6">
        <v>20670</v>
      </c>
      <c r="Q263" s="4" t="s">
        <v>26</v>
      </c>
      <c r="R263" s="4">
        <v>0</v>
      </c>
      <c r="S263" s="4" t="s">
        <v>201</v>
      </c>
      <c r="T263" s="4" t="s">
        <v>362</v>
      </c>
      <c r="U263" s="4">
        <v>0</v>
      </c>
      <c r="V263" s="4">
        <v>11</v>
      </c>
      <c r="W263" s="4">
        <v>88</v>
      </c>
    </row>
    <row r="264" spans="1:23" ht="11.25" customHeight="1" x14ac:dyDescent="0.25">
      <c r="A264" s="4" t="s">
        <v>57</v>
      </c>
      <c r="B264" s="4" t="s">
        <v>22</v>
      </c>
      <c r="C264" s="4" t="s">
        <v>23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25</v>
      </c>
      <c r="I264" s="5">
        <v>44774</v>
      </c>
      <c r="J264" s="6">
        <v>0</v>
      </c>
      <c r="K264" s="6">
        <v>0</v>
      </c>
      <c r="L264" s="6">
        <v>-0.36699999999999999</v>
      </c>
      <c r="M264" s="6">
        <v>-0.36699999999999999</v>
      </c>
      <c r="N264" s="6">
        <v>-0.36699999999999999</v>
      </c>
      <c r="O264" s="6">
        <v>-0.36699999999999999</v>
      </c>
      <c r="P264" s="6">
        <v>0</v>
      </c>
      <c r="Q264" s="4" t="s">
        <v>26</v>
      </c>
      <c r="R264" s="4">
        <v>0</v>
      </c>
      <c r="S264" s="4" t="s">
        <v>201</v>
      </c>
      <c r="T264" s="4" t="s">
        <v>362</v>
      </c>
      <c r="U264" s="4">
        <v>0</v>
      </c>
      <c r="V264" s="4">
        <v>11</v>
      </c>
      <c r="W264" s="4">
        <v>88</v>
      </c>
    </row>
    <row r="265" spans="1:23" ht="11.25" customHeight="1" x14ac:dyDescent="0.25">
      <c r="A265" s="4" t="s">
        <v>57</v>
      </c>
      <c r="B265" s="4" t="s">
        <v>22</v>
      </c>
      <c r="C265" s="4" t="s">
        <v>23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25</v>
      </c>
      <c r="I265" s="5">
        <v>44774</v>
      </c>
      <c r="J265" s="6">
        <v>0</v>
      </c>
      <c r="K265" s="6">
        <v>0</v>
      </c>
      <c r="L265" s="6">
        <v>39.75</v>
      </c>
      <c r="M265" s="6">
        <v>39.75</v>
      </c>
      <c r="N265" s="6">
        <v>39.75</v>
      </c>
      <c r="O265" s="6">
        <v>39.75</v>
      </c>
      <c r="P265" s="6">
        <v>92</v>
      </c>
      <c r="Q265" s="4" t="s">
        <v>26</v>
      </c>
      <c r="R265" s="4">
        <v>0</v>
      </c>
      <c r="S265" s="4" t="s">
        <v>201</v>
      </c>
      <c r="T265" s="4" t="s">
        <v>362</v>
      </c>
      <c r="U265" s="4">
        <v>0</v>
      </c>
      <c r="V265" s="4">
        <v>11</v>
      </c>
      <c r="W265" s="4">
        <v>88</v>
      </c>
    </row>
    <row r="266" spans="1:2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29</v>
      </c>
      <c r="F266" s="4" t="s">
        <v>25</v>
      </c>
      <c r="G266" s="4" t="s">
        <v>25</v>
      </c>
      <c r="H266" s="4" t="s">
        <v>25</v>
      </c>
      <c r="I266" s="5">
        <v>44440</v>
      </c>
      <c r="J266" s="6">
        <v>0</v>
      </c>
      <c r="K266" s="6">
        <v>0</v>
      </c>
      <c r="L266" s="6">
        <v>12.63</v>
      </c>
      <c r="M266" s="6">
        <v>12.63</v>
      </c>
      <c r="N266" s="6">
        <v>12.63</v>
      </c>
      <c r="O266" s="6">
        <v>12.63</v>
      </c>
      <c r="P266" s="6">
        <v>10</v>
      </c>
      <c r="Q266" s="4" t="s">
        <v>26</v>
      </c>
      <c r="R266" s="4">
        <v>0</v>
      </c>
      <c r="S266" s="4" t="s">
        <v>202</v>
      </c>
      <c r="T266" s="4" t="s">
        <v>363</v>
      </c>
      <c r="U266" s="4">
        <v>0</v>
      </c>
      <c r="V266" s="4">
        <v>6</v>
      </c>
      <c r="W266" s="4">
        <v>67</v>
      </c>
    </row>
    <row r="267" spans="1:2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29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12.9</v>
      </c>
      <c r="M267" s="6">
        <v>12.9</v>
      </c>
      <c r="N267" s="6">
        <v>12.9</v>
      </c>
      <c r="O267" s="6">
        <v>12.9</v>
      </c>
      <c r="P267" s="6">
        <v>9</v>
      </c>
      <c r="Q267" s="4" t="s">
        <v>26</v>
      </c>
      <c r="R267" s="4">
        <v>0</v>
      </c>
      <c r="S267" s="4" t="s">
        <v>203</v>
      </c>
      <c r="T267" s="4" t="s">
        <v>364</v>
      </c>
      <c r="U267" s="4">
        <v>0</v>
      </c>
      <c r="V267" s="4">
        <v>6</v>
      </c>
      <c r="W267" s="4">
        <v>67</v>
      </c>
    </row>
    <row r="268" spans="1:2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29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13.145</v>
      </c>
      <c r="M268" s="6">
        <v>13.145</v>
      </c>
      <c r="N268" s="6">
        <v>13.145</v>
      </c>
      <c r="O268" s="6">
        <v>13.145</v>
      </c>
      <c r="P268" s="6">
        <v>10</v>
      </c>
      <c r="Q268" s="4" t="s">
        <v>26</v>
      </c>
      <c r="R268" s="4">
        <v>0</v>
      </c>
      <c r="S268" s="4" t="s">
        <v>204</v>
      </c>
      <c r="T268" s="4" t="s">
        <v>365</v>
      </c>
      <c r="U268" s="4">
        <v>0</v>
      </c>
      <c r="V268" s="4">
        <v>6</v>
      </c>
      <c r="W268" s="4">
        <v>67</v>
      </c>
    </row>
    <row r="269" spans="1:2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29</v>
      </c>
      <c r="F269" s="4" t="s">
        <v>25</v>
      </c>
      <c r="G269" s="4" t="s">
        <v>25</v>
      </c>
      <c r="H269" s="4" t="s">
        <v>25</v>
      </c>
      <c r="I269" s="5">
        <v>44531</v>
      </c>
      <c r="J269" s="6">
        <v>0</v>
      </c>
      <c r="K269" s="6">
        <v>0</v>
      </c>
      <c r="L269" s="6">
        <v>13.44</v>
      </c>
      <c r="M269" s="6">
        <v>13.44</v>
      </c>
      <c r="N269" s="6">
        <v>13.44</v>
      </c>
      <c r="O269" s="6">
        <v>13.44</v>
      </c>
      <c r="P269" s="6">
        <v>13</v>
      </c>
      <c r="Q269" s="4" t="s">
        <v>26</v>
      </c>
      <c r="R269" s="4">
        <v>0</v>
      </c>
      <c r="S269" s="4" t="s">
        <v>205</v>
      </c>
      <c r="T269" s="4" t="s">
        <v>366</v>
      </c>
      <c r="U269" s="4">
        <v>0</v>
      </c>
      <c r="V269" s="4">
        <v>6</v>
      </c>
      <c r="W269" s="4">
        <v>67</v>
      </c>
    </row>
    <row r="270" spans="1:2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29</v>
      </c>
      <c r="F270" s="4" t="s">
        <v>25</v>
      </c>
      <c r="G270" s="4" t="s">
        <v>25</v>
      </c>
      <c r="H270" s="4" t="s">
        <v>25</v>
      </c>
      <c r="I270" s="5">
        <v>44562</v>
      </c>
      <c r="J270" s="6">
        <v>0</v>
      </c>
      <c r="K270" s="6">
        <v>0</v>
      </c>
      <c r="L270" s="6">
        <v>13.53</v>
      </c>
      <c r="M270" s="6">
        <v>13.53</v>
      </c>
      <c r="N270" s="6">
        <v>13.53</v>
      </c>
      <c r="O270" s="6">
        <v>13.53</v>
      </c>
      <c r="P270" s="6">
        <v>7</v>
      </c>
      <c r="Q270" s="4" t="s">
        <v>26</v>
      </c>
      <c r="R270" s="4">
        <v>0</v>
      </c>
      <c r="S270" s="4" t="s">
        <v>206</v>
      </c>
      <c r="T270" s="4" t="s">
        <v>367</v>
      </c>
      <c r="U270" s="4">
        <v>0</v>
      </c>
      <c r="V270" s="4">
        <v>6</v>
      </c>
      <c r="W270" s="4">
        <v>67</v>
      </c>
    </row>
    <row r="271" spans="1:2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29</v>
      </c>
      <c r="F271" s="4" t="s">
        <v>25</v>
      </c>
      <c r="G271" s="4" t="s">
        <v>25</v>
      </c>
      <c r="H271" s="4" t="s">
        <v>25</v>
      </c>
      <c r="I271" s="5">
        <v>44593</v>
      </c>
      <c r="J271" s="6">
        <v>0</v>
      </c>
      <c r="K271" s="6">
        <v>0</v>
      </c>
      <c r="L271" s="6">
        <v>14.97</v>
      </c>
      <c r="M271" s="6">
        <v>14.97</v>
      </c>
      <c r="N271" s="6">
        <v>14.97</v>
      </c>
      <c r="O271" s="6">
        <v>14.97</v>
      </c>
      <c r="P271" s="6">
        <v>9</v>
      </c>
      <c r="Q271" s="4" t="s">
        <v>26</v>
      </c>
      <c r="R271" s="4">
        <v>0</v>
      </c>
      <c r="S271" s="4" t="s">
        <v>207</v>
      </c>
      <c r="T271" s="4" t="s">
        <v>368</v>
      </c>
      <c r="U271" s="4">
        <v>0</v>
      </c>
      <c r="V271" s="4">
        <v>6</v>
      </c>
      <c r="W271" s="4">
        <v>67</v>
      </c>
    </row>
    <row r="272" spans="1:2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29</v>
      </c>
      <c r="F272" s="4" t="s">
        <v>25</v>
      </c>
      <c r="G272" s="4" t="s">
        <v>25</v>
      </c>
      <c r="H272" s="4" t="s">
        <v>25</v>
      </c>
      <c r="I272" s="5">
        <v>44621</v>
      </c>
      <c r="J272" s="6">
        <v>0</v>
      </c>
      <c r="K272" s="6">
        <v>0</v>
      </c>
      <c r="L272" s="6">
        <v>19.440000000000001</v>
      </c>
      <c r="M272" s="6">
        <v>19.440000000000001</v>
      </c>
      <c r="N272" s="6">
        <v>19.440000000000001</v>
      </c>
      <c r="O272" s="6">
        <v>19.440000000000001</v>
      </c>
      <c r="P272" s="6">
        <v>12</v>
      </c>
      <c r="Q272" s="4" t="s">
        <v>26</v>
      </c>
      <c r="R272" s="4">
        <v>0</v>
      </c>
      <c r="S272" s="4" t="s">
        <v>208</v>
      </c>
      <c r="T272" s="4" t="s">
        <v>369</v>
      </c>
      <c r="U272" s="4">
        <v>0</v>
      </c>
      <c r="V272" s="4">
        <v>6</v>
      </c>
      <c r="W272" s="4">
        <v>67</v>
      </c>
    </row>
    <row r="273" spans="1:2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29</v>
      </c>
      <c r="F273" s="4" t="s">
        <v>25</v>
      </c>
      <c r="G273" s="4" t="s">
        <v>25</v>
      </c>
      <c r="H273" s="4" t="s">
        <v>25</v>
      </c>
      <c r="I273" s="5">
        <v>44652</v>
      </c>
      <c r="J273" s="6">
        <v>0</v>
      </c>
      <c r="K273" s="6">
        <v>0</v>
      </c>
      <c r="L273" s="6">
        <v>21.99</v>
      </c>
      <c r="M273" s="6">
        <v>21.99</v>
      </c>
      <c r="N273" s="6">
        <v>21.99</v>
      </c>
      <c r="O273" s="6">
        <v>21.99</v>
      </c>
      <c r="P273" s="6">
        <v>17</v>
      </c>
      <c r="Q273" s="4" t="s">
        <v>26</v>
      </c>
      <c r="R273" s="4">
        <v>0</v>
      </c>
      <c r="S273" s="4" t="s">
        <v>209</v>
      </c>
      <c r="T273" s="4" t="s">
        <v>370</v>
      </c>
      <c r="U273" s="4">
        <v>0</v>
      </c>
      <c r="V273" s="4">
        <v>6</v>
      </c>
      <c r="W273" s="4">
        <v>67</v>
      </c>
    </row>
    <row r="274" spans="1:2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29</v>
      </c>
      <c r="F274" s="4" t="s">
        <v>25</v>
      </c>
      <c r="G274" s="4" t="s">
        <v>25</v>
      </c>
      <c r="H274" s="4" t="s">
        <v>25</v>
      </c>
      <c r="I274" s="5">
        <v>44682</v>
      </c>
      <c r="J274" s="6">
        <v>0</v>
      </c>
      <c r="K274" s="6">
        <v>0</v>
      </c>
      <c r="L274" s="6">
        <v>22.77</v>
      </c>
      <c r="M274" s="6">
        <v>22.77</v>
      </c>
      <c r="N274" s="6">
        <v>22.77</v>
      </c>
      <c r="O274" s="6">
        <v>22.77</v>
      </c>
      <c r="P274" s="6">
        <v>26</v>
      </c>
      <c r="Q274" s="4" t="s">
        <v>26</v>
      </c>
      <c r="R274" s="4">
        <v>0</v>
      </c>
      <c r="S274" s="4" t="s">
        <v>210</v>
      </c>
      <c r="T274" s="4" t="s">
        <v>371</v>
      </c>
      <c r="U274" s="4">
        <v>0</v>
      </c>
      <c r="V274" s="4">
        <v>6</v>
      </c>
      <c r="W274" s="4">
        <v>67</v>
      </c>
    </row>
    <row r="275" spans="1:2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29</v>
      </c>
      <c r="F275" s="4" t="s">
        <v>25</v>
      </c>
      <c r="G275" s="4" t="s">
        <v>25</v>
      </c>
      <c r="H275" s="4" t="s">
        <v>25</v>
      </c>
      <c r="I275" s="5">
        <v>44713</v>
      </c>
      <c r="J275" s="6">
        <v>0</v>
      </c>
      <c r="K275" s="6">
        <v>0</v>
      </c>
      <c r="L275" s="6">
        <v>22.44</v>
      </c>
      <c r="M275" s="6">
        <v>22.44</v>
      </c>
      <c r="N275" s="6">
        <v>22.44</v>
      </c>
      <c r="O275" s="6">
        <v>22.44</v>
      </c>
      <c r="P275" s="6">
        <v>23</v>
      </c>
      <c r="Q275" s="4" t="s">
        <v>26</v>
      </c>
      <c r="R275" s="4">
        <v>0</v>
      </c>
      <c r="S275" s="4" t="s">
        <v>211</v>
      </c>
      <c r="T275" s="4" t="s">
        <v>372</v>
      </c>
      <c r="U275" s="4">
        <v>0</v>
      </c>
      <c r="V275" s="4">
        <v>6</v>
      </c>
      <c r="W275" s="4">
        <v>67</v>
      </c>
    </row>
    <row r="276" spans="1:2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29</v>
      </c>
      <c r="F276" s="4" t="s">
        <v>25</v>
      </c>
      <c r="G276" s="4" t="s">
        <v>25</v>
      </c>
      <c r="H276" s="4" t="s">
        <v>25</v>
      </c>
      <c r="I276" s="5">
        <v>44743</v>
      </c>
      <c r="J276" s="6">
        <v>0</v>
      </c>
      <c r="K276" s="6">
        <v>0</v>
      </c>
      <c r="L276" s="6">
        <v>21.09</v>
      </c>
      <c r="M276" s="6">
        <v>21.09</v>
      </c>
      <c r="N276" s="6">
        <v>21.09</v>
      </c>
      <c r="O276" s="6">
        <v>21.09</v>
      </c>
      <c r="P276" s="6">
        <v>21</v>
      </c>
      <c r="Q276" s="4" t="s">
        <v>26</v>
      </c>
      <c r="R276" s="4">
        <v>0</v>
      </c>
      <c r="S276" s="4" t="s">
        <v>212</v>
      </c>
      <c r="T276" s="4" t="s">
        <v>373</v>
      </c>
      <c r="U276" s="4">
        <v>0</v>
      </c>
      <c r="V276" s="4">
        <v>6</v>
      </c>
      <c r="W276" s="4">
        <v>67</v>
      </c>
    </row>
    <row r="277" spans="1:23" ht="11.25" customHeight="1" x14ac:dyDescent="0.25">
      <c r="A277" s="4" t="s">
        <v>57</v>
      </c>
      <c r="B277" s="4" t="s">
        <v>22</v>
      </c>
      <c r="C277" s="4" t="s">
        <v>23</v>
      </c>
      <c r="D277" s="4" t="s">
        <v>24</v>
      </c>
      <c r="E277" s="4" t="s">
        <v>29</v>
      </c>
      <c r="F277" s="4" t="s">
        <v>25</v>
      </c>
      <c r="G277" s="4" t="s">
        <v>25</v>
      </c>
      <c r="H277" s="4" t="s">
        <v>25</v>
      </c>
      <c r="I277" s="5">
        <v>44774</v>
      </c>
      <c r="J277" s="6">
        <v>0</v>
      </c>
      <c r="K277" s="6">
        <v>0</v>
      </c>
      <c r="L277" s="6">
        <v>21.09</v>
      </c>
      <c r="M277" s="6">
        <v>21.09</v>
      </c>
      <c r="N277" s="6">
        <v>21.09</v>
      </c>
      <c r="O277" s="6">
        <v>21.09</v>
      </c>
      <c r="P277" s="6">
        <v>21</v>
      </c>
      <c r="Q277" s="4" t="s">
        <v>26</v>
      </c>
      <c r="R277" s="4">
        <v>0</v>
      </c>
      <c r="S277" s="4" t="s">
        <v>213</v>
      </c>
      <c r="T277" s="4" t="s">
        <v>374</v>
      </c>
      <c r="U277" s="4">
        <v>0</v>
      </c>
      <c r="V277" s="4">
        <v>6</v>
      </c>
      <c r="W277" s="4">
        <v>67</v>
      </c>
    </row>
    <row r="278" spans="1:2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30</v>
      </c>
      <c r="F278" s="4" t="s">
        <v>25</v>
      </c>
      <c r="G278" s="4" t="s">
        <v>25</v>
      </c>
      <c r="H278" s="4" t="s">
        <v>25</v>
      </c>
      <c r="I278" s="5">
        <v>44440</v>
      </c>
      <c r="J278" s="6">
        <v>0</v>
      </c>
      <c r="K278" s="6">
        <v>0</v>
      </c>
      <c r="L278" s="6">
        <v>27.273</v>
      </c>
      <c r="M278" s="6">
        <v>27.273</v>
      </c>
      <c r="N278" s="6">
        <v>27.273</v>
      </c>
      <c r="O278" s="6">
        <v>27.273</v>
      </c>
      <c r="P278" s="6">
        <v>56</v>
      </c>
      <c r="Q278" s="4" t="s">
        <v>26</v>
      </c>
      <c r="R278" s="4">
        <v>0</v>
      </c>
      <c r="S278" s="4" t="s">
        <v>214</v>
      </c>
      <c r="T278" s="4" t="s">
        <v>375</v>
      </c>
      <c r="U278" s="4">
        <v>0</v>
      </c>
      <c r="V278" s="4">
        <v>24</v>
      </c>
      <c r="W278" s="4">
        <v>50</v>
      </c>
    </row>
    <row r="279" spans="1:2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30</v>
      </c>
      <c r="F279" s="4" t="s">
        <v>25</v>
      </c>
      <c r="G279" s="4" t="s">
        <v>25</v>
      </c>
      <c r="H279" s="4" t="s">
        <v>25</v>
      </c>
      <c r="I279" s="5">
        <v>44470</v>
      </c>
      <c r="J279" s="6">
        <v>0</v>
      </c>
      <c r="K279" s="6">
        <v>0</v>
      </c>
      <c r="L279" s="6">
        <v>27.638999999999999</v>
      </c>
      <c r="M279" s="6">
        <v>27.638999999999999</v>
      </c>
      <c r="N279" s="6">
        <v>27.638999999999999</v>
      </c>
      <c r="O279" s="6">
        <v>27.638999999999999</v>
      </c>
      <c r="P279" s="6">
        <v>63</v>
      </c>
      <c r="Q279" s="4" t="s">
        <v>26</v>
      </c>
      <c r="R279" s="4">
        <v>0</v>
      </c>
      <c r="S279" s="4" t="s">
        <v>215</v>
      </c>
      <c r="T279" s="4" t="s">
        <v>376</v>
      </c>
      <c r="U279" s="4">
        <v>0</v>
      </c>
      <c r="V279" s="4">
        <v>24</v>
      </c>
      <c r="W279" s="4">
        <v>50</v>
      </c>
    </row>
    <row r="280" spans="1:2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30</v>
      </c>
      <c r="F280" s="4" t="s">
        <v>25</v>
      </c>
      <c r="G280" s="4" t="s">
        <v>25</v>
      </c>
      <c r="H280" s="4" t="s">
        <v>25</v>
      </c>
      <c r="I280" s="5">
        <v>44501</v>
      </c>
      <c r="J280" s="6">
        <v>0</v>
      </c>
      <c r="K280" s="6">
        <v>0</v>
      </c>
      <c r="L280" s="6">
        <v>28.382000000000001</v>
      </c>
      <c r="M280" s="6">
        <v>28.382000000000001</v>
      </c>
      <c r="N280" s="6">
        <v>28.382000000000001</v>
      </c>
      <c r="O280" s="6">
        <v>28.382000000000001</v>
      </c>
      <c r="P280" s="6">
        <v>60</v>
      </c>
      <c r="Q280" s="4" t="s">
        <v>26</v>
      </c>
      <c r="R280" s="4">
        <v>0</v>
      </c>
      <c r="S280" s="4" t="s">
        <v>216</v>
      </c>
      <c r="T280" s="4" t="s">
        <v>377</v>
      </c>
      <c r="U280" s="4">
        <v>0</v>
      </c>
      <c r="V280" s="4">
        <v>24</v>
      </c>
      <c r="W280" s="4">
        <v>50</v>
      </c>
    </row>
    <row r="281" spans="1:2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30</v>
      </c>
      <c r="F281" s="4" t="s">
        <v>25</v>
      </c>
      <c r="G281" s="4" t="s">
        <v>25</v>
      </c>
      <c r="H281" s="4" t="s">
        <v>25</v>
      </c>
      <c r="I281" s="5">
        <v>44531</v>
      </c>
      <c r="J281" s="6">
        <v>0</v>
      </c>
      <c r="K281" s="6">
        <v>0</v>
      </c>
      <c r="L281" s="6">
        <v>28.824999999999999</v>
      </c>
      <c r="M281" s="6">
        <v>28.824999999999999</v>
      </c>
      <c r="N281" s="6">
        <v>28.824999999999999</v>
      </c>
      <c r="O281" s="6">
        <v>28.824999999999999</v>
      </c>
      <c r="P281" s="6">
        <v>59</v>
      </c>
      <c r="Q281" s="4" t="s">
        <v>26</v>
      </c>
      <c r="R281" s="4">
        <v>0</v>
      </c>
      <c r="S281" s="4" t="s">
        <v>217</v>
      </c>
      <c r="T281" s="4" t="s">
        <v>378</v>
      </c>
      <c r="U281" s="4">
        <v>0</v>
      </c>
      <c r="V281" s="4">
        <v>24</v>
      </c>
      <c r="W281" s="4">
        <v>50</v>
      </c>
    </row>
    <row r="282" spans="1:2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30</v>
      </c>
      <c r="F282" s="4" t="s">
        <v>25</v>
      </c>
      <c r="G282" s="4" t="s">
        <v>25</v>
      </c>
      <c r="H282" s="4" t="s">
        <v>25</v>
      </c>
      <c r="I282" s="5">
        <v>44562</v>
      </c>
      <c r="J282" s="6">
        <v>0</v>
      </c>
      <c r="K282" s="6">
        <v>0</v>
      </c>
      <c r="L282" s="6">
        <v>29.748000000000001</v>
      </c>
      <c r="M282" s="6">
        <v>29.748000000000001</v>
      </c>
      <c r="N282" s="6">
        <v>29.748000000000001</v>
      </c>
      <c r="O282" s="6">
        <v>29.748000000000001</v>
      </c>
      <c r="P282" s="6">
        <v>45</v>
      </c>
      <c r="Q282" s="4" t="s">
        <v>26</v>
      </c>
      <c r="R282" s="4">
        <v>0</v>
      </c>
      <c r="S282" s="4" t="s">
        <v>218</v>
      </c>
      <c r="T282" s="4" t="s">
        <v>379</v>
      </c>
      <c r="U282" s="4">
        <v>0</v>
      </c>
      <c r="V282" s="4">
        <v>24</v>
      </c>
      <c r="W282" s="4">
        <v>50</v>
      </c>
    </row>
    <row r="283" spans="1:2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30</v>
      </c>
      <c r="F283" s="4" t="s">
        <v>25</v>
      </c>
      <c r="G283" s="4" t="s">
        <v>25</v>
      </c>
      <c r="H283" s="4" t="s">
        <v>25</v>
      </c>
      <c r="I283" s="5">
        <v>44593</v>
      </c>
      <c r="J283" s="6">
        <v>0</v>
      </c>
      <c r="K283" s="6">
        <v>0</v>
      </c>
      <c r="L283" s="6">
        <v>33.079000000000001</v>
      </c>
      <c r="M283" s="6">
        <v>33.079000000000001</v>
      </c>
      <c r="N283" s="6">
        <v>33.079000000000001</v>
      </c>
      <c r="O283" s="6">
        <v>33.079000000000001</v>
      </c>
      <c r="P283" s="6">
        <v>54</v>
      </c>
      <c r="Q283" s="4" t="s">
        <v>26</v>
      </c>
      <c r="R283" s="4">
        <v>0</v>
      </c>
      <c r="S283" s="4" t="s">
        <v>219</v>
      </c>
      <c r="T283" s="4" t="s">
        <v>380</v>
      </c>
      <c r="U283" s="4">
        <v>0</v>
      </c>
      <c r="V283" s="4">
        <v>24</v>
      </c>
      <c r="W283" s="4">
        <v>50</v>
      </c>
    </row>
    <row r="284" spans="1:2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30</v>
      </c>
      <c r="F284" s="4" t="s">
        <v>25</v>
      </c>
      <c r="G284" s="4" t="s">
        <v>25</v>
      </c>
      <c r="H284" s="4" t="s">
        <v>25</v>
      </c>
      <c r="I284" s="5">
        <v>44621</v>
      </c>
      <c r="J284" s="6">
        <v>0</v>
      </c>
      <c r="K284" s="6">
        <v>0</v>
      </c>
      <c r="L284" s="6">
        <v>42.780999999999999</v>
      </c>
      <c r="M284" s="6">
        <v>42.780999999999999</v>
      </c>
      <c r="N284" s="6">
        <v>42.780999999999999</v>
      </c>
      <c r="O284" s="6">
        <v>42.780999999999999</v>
      </c>
      <c r="P284" s="6">
        <v>66</v>
      </c>
      <c r="Q284" s="4" t="s">
        <v>26</v>
      </c>
      <c r="R284" s="4">
        <v>0</v>
      </c>
      <c r="S284" s="4" t="s">
        <v>220</v>
      </c>
      <c r="T284" s="4" t="s">
        <v>381</v>
      </c>
      <c r="U284" s="4">
        <v>0</v>
      </c>
      <c r="V284" s="4">
        <v>24</v>
      </c>
      <c r="W284" s="4">
        <v>50</v>
      </c>
    </row>
    <row r="285" spans="1:23" ht="11.25" customHeight="1" x14ac:dyDescent="0.25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30</v>
      </c>
      <c r="F285" s="4" t="s">
        <v>25</v>
      </c>
      <c r="G285" s="4" t="s">
        <v>25</v>
      </c>
      <c r="H285" s="4" t="s">
        <v>25</v>
      </c>
      <c r="I285" s="5">
        <v>44652</v>
      </c>
      <c r="J285" s="6">
        <v>0</v>
      </c>
      <c r="K285" s="6">
        <v>0</v>
      </c>
      <c r="L285" s="6">
        <v>47.735999999999997</v>
      </c>
      <c r="M285" s="6">
        <v>47.735999999999997</v>
      </c>
      <c r="N285" s="6">
        <v>47.735999999999997</v>
      </c>
      <c r="O285" s="6">
        <v>47.735999999999997</v>
      </c>
      <c r="P285" s="6">
        <v>101</v>
      </c>
      <c r="Q285" s="4" t="s">
        <v>26</v>
      </c>
      <c r="R285" s="4">
        <v>0</v>
      </c>
      <c r="S285" s="4" t="s">
        <v>221</v>
      </c>
      <c r="T285" s="4" t="s">
        <v>382</v>
      </c>
      <c r="U285" s="4">
        <v>0</v>
      </c>
      <c r="V285" s="4">
        <v>24</v>
      </c>
      <c r="W285" s="4">
        <v>50</v>
      </c>
    </row>
    <row r="286" spans="1:23" ht="11.25" customHeight="1" x14ac:dyDescent="0.25">
      <c r="A286" s="4" t="s">
        <v>21</v>
      </c>
      <c r="B286" s="4" t="s">
        <v>22</v>
      </c>
      <c r="C286" s="4" t="s">
        <v>23</v>
      </c>
      <c r="D286" s="4" t="s">
        <v>24</v>
      </c>
      <c r="E286" s="4" t="s">
        <v>30</v>
      </c>
      <c r="F286" s="4" t="s">
        <v>25</v>
      </c>
      <c r="G286" s="4" t="s">
        <v>25</v>
      </c>
      <c r="H286" s="4" t="s">
        <v>25</v>
      </c>
      <c r="I286" s="5">
        <v>44682</v>
      </c>
      <c r="J286" s="6">
        <v>0</v>
      </c>
      <c r="K286" s="6">
        <v>0</v>
      </c>
      <c r="L286" s="6">
        <v>48.088000000000001</v>
      </c>
      <c r="M286" s="6">
        <v>48.088000000000001</v>
      </c>
      <c r="N286" s="6">
        <v>48.088000000000001</v>
      </c>
      <c r="O286" s="6">
        <v>48.088000000000001</v>
      </c>
      <c r="P286" s="6">
        <v>127</v>
      </c>
      <c r="Q286" s="4" t="s">
        <v>26</v>
      </c>
      <c r="R286" s="4">
        <v>0</v>
      </c>
      <c r="S286" s="4" t="s">
        <v>222</v>
      </c>
      <c r="T286" s="4" t="s">
        <v>383</v>
      </c>
      <c r="U286" s="4">
        <v>0</v>
      </c>
      <c r="V286" s="4">
        <v>24</v>
      </c>
      <c r="W286" s="4">
        <v>50</v>
      </c>
    </row>
    <row r="287" spans="1:2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30</v>
      </c>
      <c r="F287" s="4" t="s">
        <v>25</v>
      </c>
      <c r="G287" s="4" t="s">
        <v>25</v>
      </c>
      <c r="H287" s="4" t="s">
        <v>25</v>
      </c>
      <c r="I287" s="5">
        <v>44713</v>
      </c>
      <c r="J287" s="6">
        <v>0</v>
      </c>
      <c r="K287" s="6">
        <v>0</v>
      </c>
      <c r="L287" s="6">
        <v>47.252000000000002</v>
      </c>
      <c r="M287" s="6">
        <v>47.252000000000002</v>
      </c>
      <c r="N287" s="6">
        <v>47.252000000000002</v>
      </c>
      <c r="O287" s="6">
        <v>47.252000000000002</v>
      </c>
      <c r="P287" s="6">
        <v>133</v>
      </c>
      <c r="Q287" s="4" t="s">
        <v>26</v>
      </c>
      <c r="R287" s="4">
        <v>0</v>
      </c>
      <c r="S287" s="4" t="s">
        <v>223</v>
      </c>
      <c r="T287" s="4" t="s">
        <v>384</v>
      </c>
      <c r="U287" s="4">
        <v>0</v>
      </c>
      <c r="V287" s="4">
        <v>24</v>
      </c>
      <c r="W287" s="4">
        <v>50</v>
      </c>
    </row>
    <row r="288" spans="1:2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30</v>
      </c>
      <c r="F288" s="4" t="s">
        <v>25</v>
      </c>
      <c r="G288" s="4" t="s">
        <v>25</v>
      </c>
      <c r="H288" s="4" t="s">
        <v>25</v>
      </c>
      <c r="I288" s="5">
        <v>44743</v>
      </c>
      <c r="J288" s="6">
        <v>0</v>
      </c>
      <c r="K288" s="6">
        <v>0</v>
      </c>
      <c r="L288" s="6">
        <v>44.747999999999998</v>
      </c>
      <c r="M288" s="6">
        <v>44.747999999999998</v>
      </c>
      <c r="N288" s="6">
        <v>44.747999999999998</v>
      </c>
      <c r="O288" s="6">
        <v>44.747999999999998</v>
      </c>
      <c r="P288" s="6">
        <v>109</v>
      </c>
      <c r="Q288" s="4" t="s">
        <v>26</v>
      </c>
      <c r="R288" s="4">
        <v>0</v>
      </c>
      <c r="S288" s="4" t="s">
        <v>224</v>
      </c>
      <c r="T288" s="4" t="s">
        <v>385</v>
      </c>
      <c r="U288" s="4">
        <v>0</v>
      </c>
      <c r="V288" s="4">
        <v>24</v>
      </c>
      <c r="W288" s="4">
        <v>50</v>
      </c>
    </row>
    <row r="289" spans="1:23" ht="11.25" customHeight="1" x14ac:dyDescent="0.25">
      <c r="A289" s="4" t="s">
        <v>57</v>
      </c>
      <c r="B289" s="4" t="s">
        <v>22</v>
      </c>
      <c r="C289" s="4" t="s">
        <v>23</v>
      </c>
      <c r="D289" s="4" t="s">
        <v>24</v>
      </c>
      <c r="E289" s="4" t="s">
        <v>30</v>
      </c>
      <c r="F289" s="4" t="s">
        <v>25</v>
      </c>
      <c r="G289" s="4" t="s">
        <v>25</v>
      </c>
      <c r="H289" s="4" t="s">
        <v>25</v>
      </c>
      <c r="I289" s="5">
        <v>44774</v>
      </c>
      <c r="J289" s="6">
        <v>0</v>
      </c>
      <c r="K289" s="6">
        <v>0</v>
      </c>
      <c r="L289" s="6">
        <v>44.747999999999998</v>
      </c>
      <c r="M289" s="6">
        <v>44.747999999999998</v>
      </c>
      <c r="N289" s="6">
        <v>44.747999999999998</v>
      </c>
      <c r="O289" s="6">
        <v>44.747999999999998</v>
      </c>
      <c r="P289" s="6">
        <v>109</v>
      </c>
      <c r="Q289" s="4" t="s">
        <v>26</v>
      </c>
      <c r="R289" s="4">
        <v>0</v>
      </c>
      <c r="S289" s="4" t="s">
        <v>225</v>
      </c>
      <c r="T289" s="4" t="s">
        <v>386</v>
      </c>
      <c r="U289" s="4">
        <v>0</v>
      </c>
      <c r="V289" s="4">
        <v>24</v>
      </c>
      <c r="W289" s="4">
        <v>50</v>
      </c>
    </row>
    <row r="290" spans="1:2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31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31.975999999999999</v>
      </c>
      <c r="M290" s="6">
        <v>31.975999999999999</v>
      </c>
      <c r="N290" s="6">
        <v>31.975999999999999</v>
      </c>
      <c r="O290" s="6">
        <v>31.975999999999999</v>
      </c>
      <c r="P290" s="6">
        <v>186</v>
      </c>
      <c r="Q290" s="4" t="s">
        <v>26</v>
      </c>
      <c r="R290" s="4">
        <v>0</v>
      </c>
      <c r="S290" s="4" t="s">
        <v>226</v>
      </c>
      <c r="T290" s="4" t="s">
        <v>387</v>
      </c>
      <c r="U290" s="4">
        <v>0</v>
      </c>
      <c r="V290" s="4">
        <v>29</v>
      </c>
      <c r="W290" s="4">
        <v>46</v>
      </c>
    </row>
    <row r="291" spans="1:2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31</v>
      </c>
      <c r="F291" s="4" t="s">
        <v>25</v>
      </c>
      <c r="G291" s="4" t="s">
        <v>25</v>
      </c>
      <c r="H291" s="4" t="s">
        <v>25</v>
      </c>
      <c r="I291" s="5">
        <v>44470</v>
      </c>
      <c r="J291" s="6">
        <v>0</v>
      </c>
      <c r="K291" s="6">
        <v>0</v>
      </c>
      <c r="L291" s="6">
        <v>32.045999999999999</v>
      </c>
      <c r="M291" s="6">
        <v>32.045999999999999</v>
      </c>
      <c r="N291" s="6">
        <v>32.045999999999999</v>
      </c>
      <c r="O291" s="6">
        <v>32.045999999999999</v>
      </c>
      <c r="P291" s="6">
        <v>202</v>
      </c>
      <c r="Q291" s="4" t="s">
        <v>26</v>
      </c>
      <c r="R291" s="4">
        <v>0</v>
      </c>
      <c r="S291" s="4" t="s">
        <v>227</v>
      </c>
      <c r="T291" s="4" t="s">
        <v>388</v>
      </c>
      <c r="U291" s="4">
        <v>0</v>
      </c>
      <c r="V291" s="4">
        <v>29</v>
      </c>
      <c r="W291" s="4">
        <v>46</v>
      </c>
    </row>
    <row r="292" spans="1:2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31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32.201000000000001</v>
      </c>
      <c r="M292" s="6">
        <v>32.201000000000001</v>
      </c>
      <c r="N292" s="6">
        <v>32.201000000000001</v>
      </c>
      <c r="O292" s="6">
        <v>32.201000000000001</v>
      </c>
      <c r="P292" s="6">
        <v>224</v>
      </c>
      <c r="Q292" s="4" t="s">
        <v>26</v>
      </c>
      <c r="R292" s="4">
        <v>0</v>
      </c>
      <c r="S292" s="4" t="s">
        <v>228</v>
      </c>
      <c r="T292" s="4" t="s">
        <v>389</v>
      </c>
      <c r="U292" s="4">
        <v>0</v>
      </c>
      <c r="V292" s="4">
        <v>29</v>
      </c>
      <c r="W292" s="4">
        <v>46</v>
      </c>
    </row>
    <row r="293" spans="1:2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31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33.396999999999998</v>
      </c>
      <c r="M293" s="6">
        <v>33.396999999999998</v>
      </c>
      <c r="N293" s="6">
        <v>33.396999999999998</v>
      </c>
      <c r="O293" s="6">
        <v>33.396999999999998</v>
      </c>
      <c r="P293" s="6">
        <v>211</v>
      </c>
      <c r="Q293" s="4" t="s">
        <v>26</v>
      </c>
      <c r="R293" s="4">
        <v>0</v>
      </c>
      <c r="S293" s="4" t="s">
        <v>229</v>
      </c>
      <c r="T293" s="4" t="s">
        <v>390</v>
      </c>
      <c r="U293" s="4">
        <v>0</v>
      </c>
      <c r="V293" s="4">
        <v>29</v>
      </c>
      <c r="W293" s="4">
        <v>46</v>
      </c>
    </row>
    <row r="294" spans="1:2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31</v>
      </c>
      <c r="F294" s="4" t="s">
        <v>25</v>
      </c>
      <c r="G294" s="4" t="s">
        <v>25</v>
      </c>
      <c r="H294" s="4" t="s">
        <v>25</v>
      </c>
      <c r="I294" s="5">
        <v>44562</v>
      </c>
      <c r="J294" s="6">
        <v>0</v>
      </c>
      <c r="K294" s="6">
        <v>0</v>
      </c>
      <c r="L294" s="6">
        <v>39.515000000000001</v>
      </c>
      <c r="M294" s="6">
        <v>39.515000000000001</v>
      </c>
      <c r="N294" s="6">
        <v>39.515000000000001</v>
      </c>
      <c r="O294" s="6">
        <v>39.515000000000001</v>
      </c>
      <c r="P294" s="6">
        <v>156</v>
      </c>
      <c r="Q294" s="4" t="s">
        <v>26</v>
      </c>
      <c r="R294" s="4">
        <v>0</v>
      </c>
      <c r="S294" s="4" t="s">
        <v>230</v>
      </c>
      <c r="T294" s="4" t="s">
        <v>391</v>
      </c>
      <c r="U294" s="4">
        <v>0</v>
      </c>
      <c r="V294" s="4">
        <v>29</v>
      </c>
      <c r="W294" s="4">
        <v>46</v>
      </c>
    </row>
    <row r="295" spans="1:2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31</v>
      </c>
      <c r="F295" s="4" t="s">
        <v>25</v>
      </c>
      <c r="G295" s="4" t="s">
        <v>25</v>
      </c>
      <c r="H295" s="4" t="s">
        <v>25</v>
      </c>
      <c r="I295" s="5">
        <v>44593</v>
      </c>
      <c r="J295" s="6">
        <v>0</v>
      </c>
      <c r="K295" s="6">
        <v>0</v>
      </c>
      <c r="L295" s="6">
        <v>42.531999999999996</v>
      </c>
      <c r="M295" s="6">
        <v>42.531999999999996</v>
      </c>
      <c r="N295" s="6">
        <v>42.531999999999996</v>
      </c>
      <c r="O295" s="6">
        <v>42.531999999999996</v>
      </c>
      <c r="P295" s="6">
        <v>178</v>
      </c>
      <c r="Q295" s="4" t="s">
        <v>26</v>
      </c>
      <c r="R295" s="4">
        <v>0</v>
      </c>
      <c r="S295" s="4" t="s">
        <v>231</v>
      </c>
      <c r="T295" s="4" t="s">
        <v>392</v>
      </c>
      <c r="U295" s="4">
        <v>0</v>
      </c>
      <c r="V295" s="4">
        <v>29</v>
      </c>
      <c r="W295" s="4">
        <v>46</v>
      </c>
    </row>
    <row r="296" spans="1:23" ht="11.25" customHeight="1" x14ac:dyDescent="0.25">
      <c r="A296" s="4" t="s">
        <v>27</v>
      </c>
      <c r="B296" s="4" t="s">
        <v>22</v>
      </c>
      <c r="C296" s="4" t="s">
        <v>23</v>
      </c>
      <c r="D296" s="4" t="s">
        <v>24</v>
      </c>
      <c r="E296" s="4" t="s">
        <v>31</v>
      </c>
      <c r="F296" s="4" t="s">
        <v>25</v>
      </c>
      <c r="G296" s="4" t="s">
        <v>25</v>
      </c>
      <c r="H296" s="4" t="s">
        <v>25</v>
      </c>
      <c r="I296" s="5">
        <v>44593</v>
      </c>
      <c r="J296" s="6">
        <v>0</v>
      </c>
      <c r="K296" s="6">
        <v>0</v>
      </c>
      <c r="L296" s="6">
        <v>-2E-3</v>
      </c>
      <c r="M296" s="6">
        <v>-2E-3</v>
      </c>
      <c r="N296" s="6">
        <v>-2E-3</v>
      </c>
      <c r="O296" s="6">
        <v>-2E-3</v>
      </c>
      <c r="P296" s="6">
        <v>0</v>
      </c>
      <c r="Q296" s="4" t="s">
        <v>26</v>
      </c>
      <c r="R296" s="4">
        <v>0</v>
      </c>
      <c r="S296" s="4" t="s">
        <v>231</v>
      </c>
      <c r="T296" s="4" t="s">
        <v>392</v>
      </c>
      <c r="U296" s="4">
        <v>0</v>
      </c>
      <c r="V296" s="4">
        <v>29</v>
      </c>
      <c r="W296" s="4">
        <v>46</v>
      </c>
    </row>
    <row r="297" spans="1:23" ht="11.25" customHeight="1" x14ac:dyDescent="0.25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31</v>
      </c>
      <c r="F297" s="4" t="s">
        <v>25</v>
      </c>
      <c r="G297" s="4" t="s">
        <v>25</v>
      </c>
      <c r="H297" s="4" t="s">
        <v>25</v>
      </c>
      <c r="I297" s="5">
        <v>44621</v>
      </c>
      <c r="J297" s="6">
        <v>0</v>
      </c>
      <c r="K297" s="6">
        <v>0</v>
      </c>
      <c r="L297" s="6">
        <v>53.284999999999997</v>
      </c>
      <c r="M297" s="6">
        <v>53.284999999999997</v>
      </c>
      <c r="N297" s="6">
        <v>53.284999999999997</v>
      </c>
      <c r="O297" s="6">
        <v>53.284999999999997</v>
      </c>
      <c r="P297" s="6">
        <v>261</v>
      </c>
      <c r="Q297" s="4" t="s">
        <v>26</v>
      </c>
      <c r="R297" s="4">
        <v>0</v>
      </c>
      <c r="S297" s="4" t="s">
        <v>232</v>
      </c>
      <c r="T297" s="4" t="s">
        <v>393</v>
      </c>
      <c r="U297" s="4">
        <v>0</v>
      </c>
      <c r="V297" s="4">
        <v>29</v>
      </c>
      <c r="W297" s="4">
        <v>46</v>
      </c>
    </row>
    <row r="298" spans="1:2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31</v>
      </c>
      <c r="F298" s="4" t="s">
        <v>25</v>
      </c>
      <c r="G298" s="4" t="s">
        <v>25</v>
      </c>
      <c r="H298" s="4" t="s">
        <v>25</v>
      </c>
      <c r="I298" s="5">
        <v>44652</v>
      </c>
      <c r="J298" s="6">
        <v>0</v>
      </c>
      <c r="K298" s="6">
        <v>0</v>
      </c>
      <c r="L298" s="6">
        <v>54.87</v>
      </c>
      <c r="M298" s="6">
        <v>54.87</v>
      </c>
      <c r="N298" s="6">
        <v>54.87</v>
      </c>
      <c r="O298" s="6">
        <v>54.87</v>
      </c>
      <c r="P298" s="6">
        <v>331</v>
      </c>
      <c r="Q298" s="4" t="s">
        <v>26</v>
      </c>
      <c r="R298" s="4">
        <v>0</v>
      </c>
      <c r="S298" s="4" t="s">
        <v>233</v>
      </c>
      <c r="T298" s="4" t="s">
        <v>394</v>
      </c>
      <c r="U298" s="4">
        <v>0</v>
      </c>
      <c r="V298" s="4">
        <v>29</v>
      </c>
      <c r="W298" s="4">
        <v>46</v>
      </c>
    </row>
    <row r="299" spans="1:2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31</v>
      </c>
      <c r="F299" s="4" t="s">
        <v>25</v>
      </c>
      <c r="G299" s="4" t="s">
        <v>25</v>
      </c>
      <c r="H299" s="4" t="s">
        <v>25</v>
      </c>
      <c r="I299" s="5">
        <v>44682</v>
      </c>
      <c r="J299" s="6">
        <v>0</v>
      </c>
      <c r="K299" s="6">
        <v>0</v>
      </c>
      <c r="L299" s="6">
        <v>48.58</v>
      </c>
      <c r="M299" s="6">
        <v>48.58</v>
      </c>
      <c r="N299" s="6">
        <v>48.58</v>
      </c>
      <c r="O299" s="6">
        <v>48.58</v>
      </c>
      <c r="P299" s="6">
        <v>387</v>
      </c>
      <c r="Q299" s="4" t="s">
        <v>26</v>
      </c>
      <c r="R299" s="4">
        <v>0</v>
      </c>
      <c r="S299" s="4" t="s">
        <v>234</v>
      </c>
      <c r="T299" s="4" t="s">
        <v>395</v>
      </c>
      <c r="U299" s="4">
        <v>0</v>
      </c>
      <c r="V299" s="4">
        <v>29</v>
      </c>
      <c r="W299" s="4">
        <v>46</v>
      </c>
    </row>
    <row r="300" spans="1:2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31</v>
      </c>
      <c r="F300" s="4" t="s">
        <v>25</v>
      </c>
      <c r="G300" s="4" t="s">
        <v>25</v>
      </c>
      <c r="H300" s="4" t="s">
        <v>25</v>
      </c>
      <c r="I300" s="5">
        <v>44713</v>
      </c>
      <c r="J300" s="6">
        <v>0</v>
      </c>
      <c r="K300" s="6">
        <v>0</v>
      </c>
      <c r="L300" s="6">
        <v>49.460999999999999</v>
      </c>
      <c r="M300" s="6">
        <v>49.460999999999999</v>
      </c>
      <c r="N300" s="6">
        <v>49.460999999999999</v>
      </c>
      <c r="O300" s="6">
        <v>49.460999999999999</v>
      </c>
      <c r="P300" s="6">
        <v>349</v>
      </c>
      <c r="Q300" s="4" t="s">
        <v>26</v>
      </c>
      <c r="R300" s="4">
        <v>0</v>
      </c>
      <c r="S300" s="4" t="s">
        <v>235</v>
      </c>
      <c r="T300" s="4" t="s">
        <v>396</v>
      </c>
      <c r="U300" s="4">
        <v>0</v>
      </c>
      <c r="V300" s="4">
        <v>29</v>
      </c>
      <c r="W300" s="4">
        <v>46</v>
      </c>
    </row>
    <row r="301" spans="1:2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31</v>
      </c>
      <c r="F301" s="4" t="s">
        <v>25</v>
      </c>
      <c r="G301" s="4" t="s">
        <v>25</v>
      </c>
      <c r="H301" s="4" t="s">
        <v>25</v>
      </c>
      <c r="I301" s="5">
        <v>44743</v>
      </c>
      <c r="J301" s="6">
        <v>0</v>
      </c>
      <c r="K301" s="6">
        <v>0</v>
      </c>
      <c r="L301" s="6">
        <v>48.317999999999998</v>
      </c>
      <c r="M301" s="6">
        <v>48.317999999999998</v>
      </c>
      <c r="N301" s="6">
        <v>48.317999999999998</v>
      </c>
      <c r="O301" s="6">
        <v>48.317999999999998</v>
      </c>
      <c r="P301" s="6">
        <v>332</v>
      </c>
      <c r="Q301" s="4" t="s">
        <v>26</v>
      </c>
      <c r="R301" s="4">
        <v>0</v>
      </c>
      <c r="S301" s="4" t="s">
        <v>236</v>
      </c>
      <c r="T301" s="4" t="s">
        <v>397</v>
      </c>
      <c r="U301" s="4">
        <v>0</v>
      </c>
      <c r="V301" s="4">
        <v>29</v>
      </c>
      <c r="W301" s="4">
        <v>46</v>
      </c>
    </row>
    <row r="302" spans="1:23" ht="11.25" customHeight="1" x14ac:dyDescent="0.25">
      <c r="A302" s="4" t="s">
        <v>57</v>
      </c>
      <c r="B302" s="4" t="s">
        <v>22</v>
      </c>
      <c r="C302" s="4" t="s">
        <v>23</v>
      </c>
      <c r="D302" s="4" t="s">
        <v>24</v>
      </c>
      <c r="E302" s="4" t="s">
        <v>31</v>
      </c>
      <c r="F302" s="4" t="s">
        <v>25</v>
      </c>
      <c r="G302" s="4" t="s">
        <v>25</v>
      </c>
      <c r="H302" s="4" t="s">
        <v>25</v>
      </c>
      <c r="I302" s="5">
        <v>44774</v>
      </c>
      <c r="J302" s="6">
        <v>0</v>
      </c>
      <c r="K302" s="6">
        <v>0</v>
      </c>
      <c r="L302" s="6">
        <v>48.317999999999998</v>
      </c>
      <c r="M302" s="6">
        <v>48.317999999999998</v>
      </c>
      <c r="N302" s="6">
        <v>48.317999999999998</v>
      </c>
      <c r="O302" s="6">
        <v>48.317999999999998</v>
      </c>
      <c r="P302" s="6">
        <v>332</v>
      </c>
      <c r="Q302" s="4" t="s">
        <v>26</v>
      </c>
      <c r="R302" s="4">
        <v>0</v>
      </c>
      <c r="S302" s="4" t="s">
        <v>237</v>
      </c>
      <c r="T302" s="4" t="s">
        <v>398</v>
      </c>
      <c r="U302" s="4">
        <v>0</v>
      </c>
      <c r="V302" s="4">
        <v>29</v>
      </c>
      <c r="W302" s="4">
        <v>46</v>
      </c>
    </row>
    <row r="303" spans="1:2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32</v>
      </c>
      <c r="F303" s="4" t="s">
        <v>25</v>
      </c>
      <c r="G303" s="4" t="s">
        <v>25</v>
      </c>
      <c r="H303" s="4" t="s">
        <v>25</v>
      </c>
      <c r="I303" s="5">
        <v>44440</v>
      </c>
      <c r="J303" s="6">
        <v>0</v>
      </c>
      <c r="K303" s="6">
        <v>0</v>
      </c>
      <c r="L303" s="6">
        <v>11.452</v>
      </c>
      <c r="M303" s="6">
        <v>11.452</v>
      </c>
      <c r="N303" s="6">
        <v>11.452</v>
      </c>
      <c r="O303" s="6">
        <v>11.452</v>
      </c>
      <c r="P303" s="6">
        <v>169</v>
      </c>
      <c r="Q303" s="4" t="s">
        <v>26</v>
      </c>
      <c r="R303" s="4">
        <v>0</v>
      </c>
      <c r="S303" s="4" t="s">
        <v>238</v>
      </c>
      <c r="T303" s="4" t="s">
        <v>399</v>
      </c>
      <c r="U303" s="4">
        <v>0</v>
      </c>
      <c r="V303" s="4">
        <v>19</v>
      </c>
      <c r="W303" s="4">
        <v>57</v>
      </c>
    </row>
    <row r="304" spans="1:2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32</v>
      </c>
      <c r="F304" s="4" t="s">
        <v>25</v>
      </c>
      <c r="G304" s="4" t="s">
        <v>25</v>
      </c>
      <c r="H304" s="4" t="s">
        <v>25</v>
      </c>
      <c r="I304" s="5">
        <v>44470</v>
      </c>
      <c r="J304" s="6">
        <v>0</v>
      </c>
      <c r="K304" s="6">
        <v>0</v>
      </c>
      <c r="L304" s="6">
        <v>11.125999999999999</v>
      </c>
      <c r="M304" s="6">
        <v>11.125999999999999</v>
      </c>
      <c r="N304" s="6">
        <v>11.125999999999999</v>
      </c>
      <c r="O304" s="6">
        <v>11.125999999999999</v>
      </c>
      <c r="P304" s="6">
        <v>156</v>
      </c>
      <c r="Q304" s="4" t="s">
        <v>26</v>
      </c>
      <c r="R304" s="4">
        <v>0</v>
      </c>
      <c r="S304" s="4" t="s">
        <v>239</v>
      </c>
      <c r="T304" s="4" t="s">
        <v>400</v>
      </c>
      <c r="U304" s="4">
        <v>0</v>
      </c>
      <c r="V304" s="4">
        <v>19</v>
      </c>
      <c r="W304" s="4">
        <v>57</v>
      </c>
    </row>
    <row r="305" spans="1:2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32</v>
      </c>
      <c r="F305" s="4" t="s">
        <v>25</v>
      </c>
      <c r="G305" s="4" t="s">
        <v>25</v>
      </c>
      <c r="H305" s="4" t="s">
        <v>25</v>
      </c>
      <c r="I305" s="5">
        <v>44501</v>
      </c>
      <c r="J305" s="6">
        <v>0</v>
      </c>
      <c r="K305" s="6">
        <v>0</v>
      </c>
      <c r="L305" s="6">
        <v>10.77</v>
      </c>
      <c r="M305" s="6">
        <v>10.77</v>
      </c>
      <c r="N305" s="6">
        <v>10.77</v>
      </c>
      <c r="O305" s="6">
        <v>10.77</v>
      </c>
      <c r="P305" s="6">
        <v>144</v>
      </c>
      <c r="Q305" s="4" t="s">
        <v>26</v>
      </c>
      <c r="R305" s="4">
        <v>0</v>
      </c>
      <c r="S305" s="4" t="s">
        <v>240</v>
      </c>
      <c r="T305" s="4" t="s">
        <v>401</v>
      </c>
      <c r="U305" s="4">
        <v>0</v>
      </c>
      <c r="V305" s="4">
        <v>19</v>
      </c>
      <c r="W305" s="4">
        <v>57</v>
      </c>
    </row>
    <row r="306" spans="1:23" ht="11.25" customHeight="1" x14ac:dyDescent="0.25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32</v>
      </c>
      <c r="F306" s="4" t="s">
        <v>25</v>
      </c>
      <c r="G306" s="4" t="s">
        <v>25</v>
      </c>
      <c r="H306" s="4" t="s">
        <v>25</v>
      </c>
      <c r="I306" s="5">
        <v>44501</v>
      </c>
      <c r="J306" s="6">
        <v>0</v>
      </c>
      <c r="K306" s="6">
        <v>0</v>
      </c>
      <c r="L306" s="6">
        <v>0.23300000000000001</v>
      </c>
      <c r="M306" s="6">
        <v>0.23300000000000001</v>
      </c>
      <c r="N306" s="6">
        <v>0.23300000000000001</v>
      </c>
      <c r="O306" s="6">
        <v>0.23300000000000001</v>
      </c>
      <c r="P306" s="6">
        <v>0</v>
      </c>
      <c r="Q306" s="4" t="s">
        <v>26</v>
      </c>
      <c r="R306" s="4">
        <v>0</v>
      </c>
      <c r="S306" s="4" t="s">
        <v>240</v>
      </c>
      <c r="T306" s="4" t="s">
        <v>401</v>
      </c>
      <c r="U306" s="4">
        <v>0</v>
      </c>
      <c r="V306" s="4">
        <v>19</v>
      </c>
      <c r="W306" s="4">
        <v>57</v>
      </c>
    </row>
    <row r="307" spans="1:2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32</v>
      </c>
      <c r="F307" s="4" t="s">
        <v>25</v>
      </c>
      <c r="G307" s="4" t="s">
        <v>25</v>
      </c>
      <c r="H307" s="4" t="s">
        <v>25</v>
      </c>
      <c r="I307" s="5">
        <v>44531</v>
      </c>
      <c r="J307" s="6">
        <v>0</v>
      </c>
      <c r="K307" s="6">
        <v>0</v>
      </c>
      <c r="L307" s="6">
        <v>13.891</v>
      </c>
      <c r="M307" s="6">
        <v>13.891</v>
      </c>
      <c r="N307" s="6">
        <v>13.891</v>
      </c>
      <c r="O307" s="6">
        <v>13.891</v>
      </c>
      <c r="P307" s="6">
        <v>165</v>
      </c>
      <c r="Q307" s="4" t="s">
        <v>26</v>
      </c>
      <c r="R307" s="4">
        <v>0</v>
      </c>
      <c r="S307" s="4" t="s">
        <v>241</v>
      </c>
      <c r="T307" s="4" t="s">
        <v>402</v>
      </c>
      <c r="U307" s="4">
        <v>0</v>
      </c>
      <c r="V307" s="4">
        <v>19</v>
      </c>
      <c r="W307" s="4">
        <v>57</v>
      </c>
    </row>
    <row r="308" spans="1:2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32</v>
      </c>
      <c r="F308" s="4" t="s">
        <v>25</v>
      </c>
      <c r="G308" s="4" t="s">
        <v>25</v>
      </c>
      <c r="H308" s="4" t="s">
        <v>25</v>
      </c>
      <c r="I308" s="5">
        <v>44562</v>
      </c>
      <c r="J308" s="6">
        <v>0</v>
      </c>
      <c r="K308" s="6">
        <v>0</v>
      </c>
      <c r="L308" s="6">
        <v>31.126999999999999</v>
      </c>
      <c r="M308" s="6">
        <v>31.126999999999999</v>
      </c>
      <c r="N308" s="6">
        <v>31.126999999999999</v>
      </c>
      <c r="O308" s="6">
        <v>31.126999999999999</v>
      </c>
      <c r="P308" s="6">
        <v>243</v>
      </c>
      <c r="Q308" s="4" t="s">
        <v>26</v>
      </c>
      <c r="R308" s="4">
        <v>0</v>
      </c>
      <c r="S308" s="4" t="s">
        <v>242</v>
      </c>
      <c r="T308" s="4" t="s">
        <v>403</v>
      </c>
      <c r="U308" s="4">
        <v>0</v>
      </c>
      <c r="V308" s="4">
        <v>19</v>
      </c>
      <c r="W308" s="4">
        <v>57</v>
      </c>
    </row>
    <row r="309" spans="1:2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32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35.345999999999997</v>
      </c>
      <c r="M309" s="6">
        <v>35.345999999999997</v>
      </c>
      <c r="N309" s="6">
        <v>35.345999999999997</v>
      </c>
      <c r="O309" s="6">
        <v>35.345999999999997</v>
      </c>
      <c r="P309" s="6">
        <v>258</v>
      </c>
      <c r="Q309" s="4" t="s">
        <v>26</v>
      </c>
      <c r="R309" s="4">
        <v>0</v>
      </c>
      <c r="S309" s="4" t="s">
        <v>243</v>
      </c>
      <c r="T309" s="4" t="s">
        <v>404</v>
      </c>
      <c r="U309" s="4">
        <v>0</v>
      </c>
      <c r="V309" s="4">
        <v>19</v>
      </c>
      <c r="W309" s="4">
        <v>57</v>
      </c>
    </row>
    <row r="310" spans="1:23" ht="11.25" customHeight="1" x14ac:dyDescent="0.25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32</v>
      </c>
      <c r="F310" s="4" t="s">
        <v>25</v>
      </c>
      <c r="G310" s="4" t="s">
        <v>25</v>
      </c>
      <c r="H310" s="4" t="s">
        <v>25</v>
      </c>
      <c r="I310" s="5">
        <v>44593</v>
      </c>
      <c r="J310" s="6">
        <v>0</v>
      </c>
      <c r="K310" s="6">
        <v>0</v>
      </c>
      <c r="L310" s="6">
        <v>-0.26100000000000001</v>
      </c>
      <c r="M310" s="6">
        <v>-0.26100000000000001</v>
      </c>
      <c r="N310" s="6">
        <v>-0.26100000000000001</v>
      </c>
      <c r="O310" s="6">
        <v>-0.26100000000000001</v>
      </c>
      <c r="P310" s="6">
        <v>0</v>
      </c>
      <c r="Q310" s="4" t="s">
        <v>26</v>
      </c>
      <c r="R310" s="4">
        <v>0</v>
      </c>
      <c r="S310" s="4" t="s">
        <v>243</v>
      </c>
      <c r="T310" s="4" t="s">
        <v>404</v>
      </c>
      <c r="U310" s="4">
        <v>0</v>
      </c>
      <c r="V310" s="4">
        <v>19</v>
      </c>
      <c r="W310" s="4">
        <v>57</v>
      </c>
    </row>
    <row r="311" spans="1:2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32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40.997999999999998</v>
      </c>
      <c r="M311" s="6">
        <v>40.997999999999998</v>
      </c>
      <c r="N311" s="6">
        <v>40.997999999999998</v>
      </c>
      <c r="O311" s="6">
        <v>40.997999999999998</v>
      </c>
      <c r="P311" s="6">
        <v>309</v>
      </c>
      <c r="Q311" s="4" t="s">
        <v>26</v>
      </c>
      <c r="R311" s="4">
        <v>0</v>
      </c>
      <c r="S311" s="4" t="s">
        <v>244</v>
      </c>
      <c r="T311" s="4" t="s">
        <v>405</v>
      </c>
      <c r="U311" s="4">
        <v>0</v>
      </c>
      <c r="V311" s="4">
        <v>19</v>
      </c>
      <c r="W311" s="4">
        <v>57</v>
      </c>
    </row>
    <row r="312" spans="1:2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32</v>
      </c>
      <c r="F312" s="4" t="s">
        <v>25</v>
      </c>
      <c r="G312" s="4" t="s">
        <v>25</v>
      </c>
      <c r="H312" s="4" t="s">
        <v>25</v>
      </c>
      <c r="I312" s="5">
        <v>44652</v>
      </c>
      <c r="J312" s="6">
        <v>0</v>
      </c>
      <c r="K312" s="6">
        <v>0</v>
      </c>
      <c r="L312" s="6">
        <v>28.201000000000001</v>
      </c>
      <c r="M312" s="6">
        <v>28.201000000000001</v>
      </c>
      <c r="N312" s="6">
        <v>28.201000000000001</v>
      </c>
      <c r="O312" s="6">
        <v>28.201000000000001</v>
      </c>
      <c r="P312" s="6">
        <v>284</v>
      </c>
      <c r="Q312" s="4" t="s">
        <v>26</v>
      </c>
      <c r="R312" s="4">
        <v>0</v>
      </c>
      <c r="S312" s="4" t="s">
        <v>245</v>
      </c>
      <c r="T312" s="4" t="s">
        <v>406</v>
      </c>
      <c r="U312" s="4">
        <v>0</v>
      </c>
      <c r="V312" s="4">
        <v>19</v>
      </c>
      <c r="W312" s="4">
        <v>57</v>
      </c>
    </row>
    <row r="313" spans="1:2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32</v>
      </c>
      <c r="F313" s="4" t="s">
        <v>25</v>
      </c>
      <c r="G313" s="4" t="s">
        <v>25</v>
      </c>
      <c r="H313" s="4" t="s">
        <v>25</v>
      </c>
      <c r="I313" s="5">
        <v>44682</v>
      </c>
      <c r="J313" s="6">
        <v>0</v>
      </c>
      <c r="K313" s="6">
        <v>0</v>
      </c>
      <c r="L313" s="6">
        <v>19.608000000000001</v>
      </c>
      <c r="M313" s="6">
        <v>19.608000000000001</v>
      </c>
      <c r="N313" s="6">
        <v>19.608000000000001</v>
      </c>
      <c r="O313" s="6">
        <v>19.608000000000001</v>
      </c>
      <c r="P313" s="6">
        <v>219</v>
      </c>
      <c r="Q313" s="4" t="s">
        <v>26</v>
      </c>
      <c r="R313" s="4">
        <v>0</v>
      </c>
      <c r="S313" s="4" t="s">
        <v>246</v>
      </c>
      <c r="T313" s="4" t="s">
        <v>407</v>
      </c>
      <c r="U313" s="4">
        <v>0</v>
      </c>
      <c r="V313" s="4">
        <v>19</v>
      </c>
      <c r="W313" s="4">
        <v>57</v>
      </c>
    </row>
    <row r="314" spans="1:2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32</v>
      </c>
      <c r="F314" s="4" t="s">
        <v>25</v>
      </c>
      <c r="G314" s="4" t="s">
        <v>25</v>
      </c>
      <c r="H314" s="4" t="s">
        <v>25</v>
      </c>
      <c r="I314" s="5">
        <v>44713</v>
      </c>
      <c r="J314" s="6">
        <v>0</v>
      </c>
      <c r="K314" s="6">
        <v>0</v>
      </c>
      <c r="L314" s="6">
        <v>25.545999999999999</v>
      </c>
      <c r="M314" s="6">
        <v>25.545999999999999</v>
      </c>
      <c r="N314" s="6">
        <v>25.545999999999999</v>
      </c>
      <c r="O314" s="6">
        <v>25.545999999999999</v>
      </c>
      <c r="P314" s="6">
        <v>243</v>
      </c>
      <c r="Q314" s="4" t="s">
        <v>26</v>
      </c>
      <c r="R314" s="4">
        <v>0</v>
      </c>
      <c r="S314" s="4" t="s">
        <v>247</v>
      </c>
      <c r="T314" s="4" t="s">
        <v>408</v>
      </c>
      <c r="U314" s="4">
        <v>0</v>
      </c>
      <c r="V314" s="4">
        <v>19</v>
      </c>
      <c r="W314" s="4">
        <v>57</v>
      </c>
    </row>
    <row r="315" spans="1:2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32</v>
      </c>
      <c r="F315" s="4" t="s">
        <v>25</v>
      </c>
      <c r="G315" s="4" t="s">
        <v>25</v>
      </c>
      <c r="H315" s="4" t="s">
        <v>25</v>
      </c>
      <c r="I315" s="5">
        <v>44743</v>
      </c>
      <c r="J315" s="6">
        <v>0</v>
      </c>
      <c r="K315" s="6">
        <v>0</v>
      </c>
      <c r="L315" s="6">
        <v>24.925999999999998</v>
      </c>
      <c r="M315" s="6">
        <v>24.925999999999998</v>
      </c>
      <c r="N315" s="6">
        <v>24.925999999999998</v>
      </c>
      <c r="O315" s="6">
        <v>24.925999999999998</v>
      </c>
      <c r="P315" s="6">
        <v>241</v>
      </c>
      <c r="Q315" s="4" t="s">
        <v>26</v>
      </c>
      <c r="R315" s="4">
        <v>0</v>
      </c>
      <c r="S315" s="4" t="s">
        <v>248</v>
      </c>
      <c r="T315" s="4" t="s">
        <v>409</v>
      </c>
      <c r="U315" s="4">
        <v>0</v>
      </c>
      <c r="V315" s="4">
        <v>19</v>
      </c>
      <c r="W315" s="4">
        <v>57</v>
      </c>
    </row>
    <row r="316" spans="1:23" ht="11.25" customHeight="1" x14ac:dyDescent="0.25">
      <c r="A316" s="4" t="s">
        <v>57</v>
      </c>
      <c r="B316" s="4" t="s">
        <v>22</v>
      </c>
      <c r="C316" s="4" t="s">
        <v>23</v>
      </c>
      <c r="D316" s="4" t="s">
        <v>24</v>
      </c>
      <c r="E316" s="4" t="s">
        <v>32</v>
      </c>
      <c r="F316" s="4" t="s">
        <v>25</v>
      </c>
      <c r="G316" s="4" t="s">
        <v>25</v>
      </c>
      <c r="H316" s="4" t="s">
        <v>25</v>
      </c>
      <c r="I316" s="5">
        <v>44774</v>
      </c>
      <c r="J316" s="6">
        <v>0</v>
      </c>
      <c r="K316" s="6">
        <v>0</v>
      </c>
      <c r="L316" s="6">
        <v>24.925999999999998</v>
      </c>
      <c r="M316" s="6">
        <v>24.925999999999998</v>
      </c>
      <c r="N316" s="6">
        <v>24.925999999999998</v>
      </c>
      <c r="O316" s="6">
        <v>24.925999999999998</v>
      </c>
      <c r="P316" s="6">
        <v>241</v>
      </c>
      <c r="Q316" s="4" t="s">
        <v>26</v>
      </c>
      <c r="R316" s="4">
        <v>0</v>
      </c>
      <c r="S316" s="4" t="s">
        <v>249</v>
      </c>
      <c r="T316" s="4" t="s">
        <v>410</v>
      </c>
      <c r="U316" s="4">
        <v>0</v>
      </c>
      <c r="V316" s="4">
        <v>19</v>
      </c>
      <c r="W316" s="4">
        <v>57</v>
      </c>
    </row>
    <row r="317" spans="1:23" ht="11.25" customHeight="1" x14ac:dyDescent="0.25">
      <c r="A317" s="4" t="s">
        <v>21</v>
      </c>
      <c r="B317" s="4" t="s">
        <v>42</v>
      </c>
      <c r="C317" s="4" t="s">
        <v>23</v>
      </c>
      <c r="D317" s="4" t="s">
        <v>43</v>
      </c>
      <c r="E317" s="4" t="s">
        <v>51</v>
      </c>
      <c r="F317" s="4" t="s">
        <v>52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218.55099999999999</v>
      </c>
      <c r="M317" s="6">
        <v>218.55099999999999</v>
      </c>
      <c r="N317" s="6">
        <v>218.55099999999999</v>
      </c>
      <c r="O317" s="6">
        <v>218.55099999999999</v>
      </c>
      <c r="P317" s="6">
        <v>0</v>
      </c>
      <c r="Q317" s="4" t="s">
        <v>26</v>
      </c>
      <c r="R317" s="4">
        <v>0</v>
      </c>
      <c r="S317" s="4" t="s">
        <v>250</v>
      </c>
      <c r="T317" s="4" t="s">
        <v>411</v>
      </c>
      <c r="U317" s="4">
        <v>0</v>
      </c>
      <c r="V317" s="4">
        <v>30</v>
      </c>
      <c r="W317" s="4">
        <v>74</v>
      </c>
    </row>
    <row r="318" spans="1:23" ht="11.25" customHeight="1" x14ac:dyDescent="0.25">
      <c r="A318" s="4" t="s">
        <v>21</v>
      </c>
      <c r="B318" s="4" t="s">
        <v>42</v>
      </c>
      <c r="C318" s="4" t="s">
        <v>23</v>
      </c>
      <c r="D318" s="4" t="s">
        <v>43</v>
      </c>
      <c r="E318" s="4" t="s">
        <v>51</v>
      </c>
      <c r="F318" s="4" t="s">
        <v>52</v>
      </c>
      <c r="G318" s="4" t="s">
        <v>25</v>
      </c>
      <c r="H318" s="4" t="s">
        <v>25</v>
      </c>
      <c r="I318" s="5">
        <v>44470</v>
      </c>
      <c r="J318" s="6">
        <v>0</v>
      </c>
      <c r="K318" s="6">
        <v>0</v>
      </c>
      <c r="L318" s="6">
        <v>139.84200000000001</v>
      </c>
      <c r="M318" s="6">
        <v>139.84200000000001</v>
      </c>
      <c r="N318" s="6">
        <v>139.84200000000001</v>
      </c>
      <c r="O318" s="6">
        <v>139.84200000000001</v>
      </c>
      <c r="P318" s="6">
        <v>0</v>
      </c>
      <c r="Q318" s="4" t="s">
        <v>26</v>
      </c>
      <c r="R318" s="4">
        <v>0</v>
      </c>
      <c r="S318" s="4" t="s">
        <v>251</v>
      </c>
      <c r="T318" s="4" t="s">
        <v>412</v>
      </c>
      <c r="U318" s="4">
        <v>0</v>
      </c>
      <c r="V318" s="4">
        <v>30</v>
      </c>
      <c r="W318" s="4">
        <v>74</v>
      </c>
    </row>
    <row r="319" spans="1:23" ht="11.25" customHeight="1" x14ac:dyDescent="0.25">
      <c r="A319" s="4" t="s">
        <v>21</v>
      </c>
      <c r="B319" s="4" t="s">
        <v>42</v>
      </c>
      <c r="C319" s="4" t="s">
        <v>23</v>
      </c>
      <c r="D319" s="4" t="s">
        <v>43</v>
      </c>
      <c r="E319" s="4" t="s">
        <v>51</v>
      </c>
      <c r="F319" s="4" t="s">
        <v>52</v>
      </c>
      <c r="G319" s="4" t="s">
        <v>25</v>
      </c>
      <c r="H319" s="4" t="s">
        <v>25</v>
      </c>
      <c r="I319" s="5">
        <v>44501</v>
      </c>
      <c r="J319" s="6">
        <v>0</v>
      </c>
      <c r="K319" s="6">
        <v>0</v>
      </c>
      <c r="L319" s="6">
        <v>171.75</v>
      </c>
      <c r="M319" s="6">
        <v>171.75</v>
      </c>
      <c r="N319" s="6">
        <v>171.75</v>
      </c>
      <c r="O319" s="6">
        <v>171.75</v>
      </c>
      <c r="P319" s="6">
        <v>0</v>
      </c>
      <c r="Q319" s="4" t="s">
        <v>26</v>
      </c>
      <c r="R319" s="4">
        <v>0</v>
      </c>
      <c r="S319" s="4" t="s">
        <v>252</v>
      </c>
      <c r="T319" s="4" t="s">
        <v>413</v>
      </c>
      <c r="U319" s="4">
        <v>0</v>
      </c>
      <c r="V319" s="4">
        <v>30</v>
      </c>
      <c r="W319" s="4">
        <v>74</v>
      </c>
    </row>
    <row r="320" spans="1:23" ht="11.25" customHeight="1" x14ac:dyDescent="0.25">
      <c r="A320" s="4" t="s">
        <v>21</v>
      </c>
      <c r="B320" s="4" t="s">
        <v>42</v>
      </c>
      <c r="C320" s="4" t="s">
        <v>23</v>
      </c>
      <c r="D320" s="4" t="s">
        <v>43</v>
      </c>
      <c r="E320" s="4" t="s">
        <v>51</v>
      </c>
      <c r="F320" s="4" t="s">
        <v>52</v>
      </c>
      <c r="G320" s="4" t="s">
        <v>25</v>
      </c>
      <c r="H320" s="4" t="s">
        <v>25</v>
      </c>
      <c r="I320" s="5">
        <v>44531</v>
      </c>
      <c r="J320" s="6">
        <v>0</v>
      </c>
      <c r="K320" s="6">
        <v>0</v>
      </c>
      <c r="L320" s="6">
        <v>163.185</v>
      </c>
      <c r="M320" s="6">
        <v>163.185</v>
      </c>
      <c r="N320" s="6">
        <v>163.185</v>
      </c>
      <c r="O320" s="6">
        <v>163.185</v>
      </c>
      <c r="P320" s="6">
        <v>0</v>
      </c>
      <c r="Q320" s="4" t="s">
        <v>26</v>
      </c>
      <c r="R320" s="4">
        <v>0</v>
      </c>
      <c r="S320" s="4" t="s">
        <v>253</v>
      </c>
      <c r="T320" s="4" t="s">
        <v>414</v>
      </c>
      <c r="U320" s="4">
        <v>0</v>
      </c>
      <c r="V320" s="4">
        <v>30</v>
      </c>
      <c r="W320" s="4">
        <v>74</v>
      </c>
    </row>
    <row r="321" spans="1:23" ht="11.25" customHeight="1" x14ac:dyDescent="0.25">
      <c r="A321" s="4" t="s">
        <v>21</v>
      </c>
      <c r="B321" s="4" t="s">
        <v>42</v>
      </c>
      <c r="C321" s="4" t="s">
        <v>23</v>
      </c>
      <c r="D321" s="4" t="s">
        <v>43</v>
      </c>
      <c r="E321" s="4" t="s">
        <v>51</v>
      </c>
      <c r="F321" s="4" t="s">
        <v>52</v>
      </c>
      <c r="G321" s="4" t="s">
        <v>25</v>
      </c>
      <c r="H321" s="4" t="s">
        <v>25</v>
      </c>
      <c r="I321" s="5">
        <v>44562</v>
      </c>
      <c r="J321" s="6">
        <v>0</v>
      </c>
      <c r="K321" s="6">
        <v>0</v>
      </c>
      <c r="L321" s="6">
        <v>200.428</v>
      </c>
      <c r="M321" s="6">
        <v>200.428</v>
      </c>
      <c r="N321" s="6">
        <v>200.428</v>
      </c>
      <c r="O321" s="6">
        <v>200.428</v>
      </c>
      <c r="P321" s="6">
        <v>0</v>
      </c>
      <c r="Q321" s="4" t="s">
        <v>26</v>
      </c>
      <c r="R321" s="4">
        <v>0</v>
      </c>
      <c r="S321" s="4" t="s">
        <v>254</v>
      </c>
      <c r="T321" s="4" t="s">
        <v>415</v>
      </c>
      <c r="U321" s="4">
        <v>0</v>
      </c>
      <c r="V321" s="4">
        <v>30</v>
      </c>
      <c r="W321" s="4">
        <v>74</v>
      </c>
    </row>
    <row r="322" spans="1:23" ht="11.25" customHeight="1" x14ac:dyDescent="0.25">
      <c r="A322" s="4" t="s">
        <v>21</v>
      </c>
      <c r="B322" s="4" t="s">
        <v>42</v>
      </c>
      <c r="C322" s="4" t="s">
        <v>23</v>
      </c>
      <c r="D322" s="4" t="s">
        <v>43</v>
      </c>
      <c r="E322" s="4" t="s">
        <v>51</v>
      </c>
      <c r="F322" s="4" t="s">
        <v>52</v>
      </c>
      <c r="G322" s="4" t="s">
        <v>25</v>
      </c>
      <c r="H322" s="4" t="s">
        <v>25</v>
      </c>
      <c r="I322" s="5">
        <v>44593</v>
      </c>
      <c r="J322" s="6">
        <v>0</v>
      </c>
      <c r="K322" s="6">
        <v>0</v>
      </c>
      <c r="L322" s="6">
        <v>50.792999999999999</v>
      </c>
      <c r="M322" s="6">
        <v>50.792999999999999</v>
      </c>
      <c r="N322" s="6">
        <v>50.792999999999999</v>
      </c>
      <c r="O322" s="6">
        <v>50.792999999999999</v>
      </c>
      <c r="P322" s="6">
        <v>0</v>
      </c>
      <c r="Q322" s="4" t="s">
        <v>26</v>
      </c>
      <c r="R322" s="4">
        <v>0</v>
      </c>
      <c r="S322" s="4" t="s">
        <v>255</v>
      </c>
      <c r="T322" s="4" t="s">
        <v>416</v>
      </c>
      <c r="U322" s="4">
        <v>0</v>
      </c>
      <c r="V322" s="4">
        <v>30</v>
      </c>
      <c r="W322" s="4">
        <v>74</v>
      </c>
    </row>
    <row r="323" spans="1:23" ht="11.25" customHeight="1" x14ac:dyDescent="0.25">
      <c r="A323" s="4" t="s">
        <v>28</v>
      </c>
      <c r="B323" s="4" t="s">
        <v>42</v>
      </c>
      <c r="C323" s="4" t="s">
        <v>23</v>
      </c>
      <c r="D323" s="4" t="s">
        <v>43</v>
      </c>
      <c r="E323" s="4" t="s">
        <v>51</v>
      </c>
      <c r="F323" s="4" t="s">
        <v>52</v>
      </c>
      <c r="G323" s="4" t="s">
        <v>25</v>
      </c>
      <c r="H323" s="4" t="s">
        <v>25</v>
      </c>
      <c r="I323" s="5">
        <v>44593</v>
      </c>
      <c r="J323" s="6">
        <v>0</v>
      </c>
      <c r="K323" s="6">
        <v>0</v>
      </c>
      <c r="L323" s="6">
        <v>0.1</v>
      </c>
      <c r="M323" s="6">
        <v>0.1</v>
      </c>
      <c r="N323" s="6">
        <v>0.1</v>
      </c>
      <c r="O323" s="6">
        <v>0.1</v>
      </c>
      <c r="P323" s="6">
        <v>0</v>
      </c>
      <c r="Q323" s="4" t="s">
        <v>26</v>
      </c>
      <c r="R323" s="4">
        <v>0</v>
      </c>
      <c r="S323" s="4" t="s">
        <v>255</v>
      </c>
      <c r="T323" s="4" t="s">
        <v>416</v>
      </c>
      <c r="U323" s="4">
        <v>0</v>
      </c>
      <c r="V323" s="4">
        <v>30</v>
      </c>
      <c r="W323" s="4">
        <v>74</v>
      </c>
    </row>
    <row r="324" spans="1:23" ht="11.25" customHeight="1" x14ac:dyDescent="0.25">
      <c r="A324" s="4" t="s">
        <v>21</v>
      </c>
      <c r="B324" s="4" t="s">
        <v>42</v>
      </c>
      <c r="C324" s="4" t="s">
        <v>23</v>
      </c>
      <c r="D324" s="4" t="s">
        <v>43</v>
      </c>
      <c r="E324" s="4" t="s">
        <v>51</v>
      </c>
      <c r="F324" s="4" t="s">
        <v>52</v>
      </c>
      <c r="G324" s="4" t="s">
        <v>25</v>
      </c>
      <c r="H324" s="4" t="s">
        <v>25</v>
      </c>
      <c r="I324" s="5">
        <v>44621</v>
      </c>
      <c r="J324" s="6">
        <v>0</v>
      </c>
      <c r="K324" s="6">
        <v>0</v>
      </c>
      <c r="L324" s="6">
        <v>23.201000000000001</v>
      </c>
      <c r="M324" s="6">
        <v>23.201000000000001</v>
      </c>
      <c r="N324" s="6">
        <v>23.201000000000001</v>
      </c>
      <c r="O324" s="6">
        <v>23.201000000000001</v>
      </c>
      <c r="P324" s="6">
        <v>0</v>
      </c>
      <c r="Q324" s="4" t="s">
        <v>26</v>
      </c>
      <c r="R324" s="4">
        <v>0</v>
      </c>
      <c r="S324" s="4" t="s">
        <v>256</v>
      </c>
      <c r="T324" s="4" t="s">
        <v>417</v>
      </c>
      <c r="U324" s="4">
        <v>0</v>
      </c>
      <c r="V324" s="4">
        <v>30</v>
      </c>
      <c r="W324" s="4">
        <v>74</v>
      </c>
    </row>
    <row r="325" spans="1:23" ht="11.25" customHeight="1" x14ac:dyDescent="0.25">
      <c r="A325" s="4" t="s">
        <v>28</v>
      </c>
      <c r="B325" s="4" t="s">
        <v>42</v>
      </c>
      <c r="C325" s="4" t="s">
        <v>23</v>
      </c>
      <c r="D325" s="4" t="s">
        <v>43</v>
      </c>
      <c r="E325" s="4" t="s">
        <v>51</v>
      </c>
      <c r="F325" s="4" t="s">
        <v>52</v>
      </c>
      <c r="G325" s="4" t="s">
        <v>25</v>
      </c>
      <c r="H325" s="4" t="s">
        <v>25</v>
      </c>
      <c r="I325" s="5">
        <v>44621</v>
      </c>
      <c r="J325" s="6">
        <v>0</v>
      </c>
      <c r="K325" s="6">
        <v>0</v>
      </c>
      <c r="L325" s="6">
        <v>0.1</v>
      </c>
      <c r="M325" s="6">
        <v>0.1</v>
      </c>
      <c r="N325" s="6">
        <v>0.1</v>
      </c>
      <c r="O325" s="6">
        <v>0.1</v>
      </c>
      <c r="P325" s="6">
        <v>0</v>
      </c>
      <c r="Q325" s="4" t="s">
        <v>26</v>
      </c>
      <c r="R325" s="4">
        <v>0</v>
      </c>
      <c r="S325" s="4" t="s">
        <v>256</v>
      </c>
      <c r="T325" s="4" t="s">
        <v>417</v>
      </c>
      <c r="U325" s="4">
        <v>0</v>
      </c>
      <c r="V325" s="4">
        <v>30</v>
      </c>
      <c r="W325" s="4">
        <v>74</v>
      </c>
    </row>
    <row r="326" spans="1:23" ht="11.25" customHeight="1" x14ac:dyDescent="0.25">
      <c r="A326" s="4" t="s">
        <v>21</v>
      </c>
      <c r="B326" s="4" t="s">
        <v>42</v>
      </c>
      <c r="C326" s="4" t="s">
        <v>23</v>
      </c>
      <c r="D326" s="4" t="s">
        <v>43</v>
      </c>
      <c r="E326" s="4" t="s">
        <v>51</v>
      </c>
      <c r="F326" s="4" t="s">
        <v>52</v>
      </c>
      <c r="G326" s="4" t="s">
        <v>25</v>
      </c>
      <c r="H326" s="4" t="s">
        <v>25</v>
      </c>
      <c r="I326" s="5">
        <v>44652</v>
      </c>
      <c r="J326" s="6">
        <v>0</v>
      </c>
      <c r="K326" s="6">
        <v>0</v>
      </c>
      <c r="L326" s="6">
        <v>20.023</v>
      </c>
      <c r="M326" s="6">
        <v>20.023</v>
      </c>
      <c r="N326" s="6">
        <v>20.023</v>
      </c>
      <c r="O326" s="6">
        <v>20.023</v>
      </c>
      <c r="P326" s="6">
        <v>0</v>
      </c>
      <c r="Q326" s="4" t="s">
        <v>26</v>
      </c>
      <c r="R326" s="4">
        <v>0</v>
      </c>
      <c r="S326" s="4" t="s">
        <v>257</v>
      </c>
      <c r="T326" s="4" t="s">
        <v>418</v>
      </c>
      <c r="U326" s="4">
        <v>0</v>
      </c>
      <c r="V326" s="4">
        <v>30</v>
      </c>
      <c r="W326" s="4">
        <v>74</v>
      </c>
    </row>
    <row r="327" spans="1:23" ht="11.25" customHeight="1" x14ac:dyDescent="0.25">
      <c r="A327" s="4" t="s">
        <v>21</v>
      </c>
      <c r="B327" s="4" t="s">
        <v>42</v>
      </c>
      <c r="C327" s="4" t="s">
        <v>23</v>
      </c>
      <c r="D327" s="4" t="s">
        <v>43</v>
      </c>
      <c r="E327" s="4" t="s">
        <v>51</v>
      </c>
      <c r="F327" s="4" t="s">
        <v>52</v>
      </c>
      <c r="G327" s="4" t="s">
        <v>25</v>
      </c>
      <c r="H327" s="4" t="s">
        <v>25</v>
      </c>
      <c r="I327" s="5">
        <v>44682</v>
      </c>
      <c r="J327" s="6">
        <v>0</v>
      </c>
      <c r="K327" s="6">
        <v>0</v>
      </c>
      <c r="L327" s="6">
        <v>10.407999999999999</v>
      </c>
      <c r="M327" s="6">
        <v>10.407999999999999</v>
      </c>
      <c r="N327" s="6">
        <v>10.407999999999999</v>
      </c>
      <c r="O327" s="6">
        <v>10.407999999999999</v>
      </c>
      <c r="P327" s="6">
        <v>0</v>
      </c>
      <c r="Q327" s="4" t="s">
        <v>26</v>
      </c>
      <c r="R327" s="4">
        <v>0</v>
      </c>
      <c r="S327" s="4" t="s">
        <v>258</v>
      </c>
      <c r="T327" s="4" t="s">
        <v>419</v>
      </c>
      <c r="U327" s="4">
        <v>0</v>
      </c>
      <c r="V327" s="4">
        <v>30</v>
      </c>
      <c r="W327" s="4">
        <v>74</v>
      </c>
    </row>
    <row r="328" spans="1:23" ht="11.25" customHeight="1" x14ac:dyDescent="0.25">
      <c r="A328" s="4" t="s">
        <v>27</v>
      </c>
      <c r="B328" s="4" t="s">
        <v>42</v>
      </c>
      <c r="C328" s="4" t="s">
        <v>23</v>
      </c>
      <c r="D328" s="4" t="s">
        <v>43</v>
      </c>
      <c r="E328" s="4" t="s">
        <v>51</v>
      </c>
      <c r="F328" s="4" t="s">
        <v>52</v>
      </c>
      <c r="G328" s="4" t="s">
        <v>25</v>
      </c>
      <c r="H328" s="4" t="s">
        <v>25</v>
      </c>
      <c r="I328" s="5">
        <v>44682</v>
      </c>
      <c r="J328" s="6">
        <v>0</v>
      </c>
      <c r="K328" s="6">
        <v>0</v>
      </c>
      <c r="L328" s="6">
        <v>-9.6920000000000002</v>
      </c>
      <c r="M328" s="6">
        <v>-9.6920000000000002</v>
      </c>
      <c r="N328" s="6">
        <v>-9.6920000000000002</v>
      </c>
      <c r="O328" s="6">
        <v>-9.6920000000000002</v>
      </c>
      <c r="P328" s="6">
        <v>0</v>
      </c>
      <c r="Q328" s="4" t="s">
        <v>26</v>
      </c>
      <c r="R328" s="4">
        <v>0</v>
      </c>
      <c r="S328" s="4" t="s">
        <v>258</v>
      </c>
      <c r="T328" s="4" t="s">
        <v>419</v>
      </c>
      <c r="U328" s="4">
        <v>0</v>
      </c>
      <c r="V328" s="4">
        <v>30</v>
      </c>
      <c r="W328" s="4">
        <v>74</v>
      </c>
    </row>
    <row r="329" spans="1:23" ht="11.25" customHeight="1" x14ac:dyDescent="0.25">
      <c r="A329" s="4" t="s">
        <v>21</v>
      </c>
      <c r="B329" s="4" t="s">
        <v>42</v>
      </c>
      <c r="C329" s="4" t="s">
        <v>23</v>
      </c>
      <c r="D329" s="4" t="s">
        <v>43</v>
      </c>
      <c r="E329" s="4" t="s">
        <v>51</v>
      </c>
      <c r="F329" s="4" t="s">
        <v>52</v>
      </c>
      <c r="G329" s="4" t="s">
        <v>25</v>
      </c>
      <c r="H329" s="4" t="s">
        <v>25</v>
      </c>
      <c r="I329" s="5">
        <v>44713</v>
      </c>
      <c r="J329" s="6">
        <v>0</v>
      </c>
      <c r="K329" s="6">
        <v>0</v>
      </c>
      <c r="L329" s="6">
        <v>9.1449999999999996</v>
      </c>
      <c r="M329" s="6">
        <v>9.1449999999999996</v>
      </c>
      <c r="N329" s="6">
        <v>9.1449999999999996</v>
      </c>
      <c r="O329" s="6">
        <v>9.1449999999999996</v>
      </c>
      <c r="P329" s="6">
        <v>0</v>
      </c>
      <c r="Q329" s="4" t="s">
        <v>26</v>
      </c>
      <c r="R329" s="4">
        <v>0</v>
      </c>
      <c r="S329" s="4" t="s">
        <v>259</v>
      </c>
      <c r="T329" s="4" t="s">
        <v>420</v>
      </c>
      <c r="U329" s="4">
        <v>0</v>
      </c>
      <c r="V329" s="4">
        <v>30</v>
      </c>
      <c r="W329" s="4">
        <v>74</v>
      </c>
    </row>
    <row r="330" spans="1:23" ht="11.25" customHeight="1" x14ac:dyDescent="0.25">
      <c r="A330" s="4" t="s">
        <v>21</v>
      </c>
      <c r="B330" s="4" t="s">
        <v>42</v>
      </c>
      <c r="C330" s="4" t="s">
        <v>23</v>
      </c>
      <c r="D330" s="4" t="s">
        <v>43</v>
      </c>
      <c r="E330" s="4" t="s">
        <v>51</v>
      </c>
      <c r="F330" s="4" t="s">
        <v>52</v>
      </c>
      <c r="G330" s="4" t="s">
        <v>25</v>
      </c>
      <c r="H330" s="4" t="s">
        <v>25</v>
      </c>
      <c r="I330" s="5">
        <v>44743</v>
      </c>
      <c r="J330" s="6">
        <v>0</v>
      </c>
      <c r="K330" s="6">
        <v>0</v>
      </c>
      <c r="L330" s="6">
        <v>13.619</v>
      </c>
      <c r="M330" s="6">
        <v>13.619</v>
      </c>
      <c r="N330" s="6">
        <v>13.619</v>
      </c>
      <c r="O330" s="6">
        <v>13.619</v>
      </c>
      <c r="P330" s="6">
        <v>0</v>
      </c>
      <c r="Q330" s="4" t="s">
        <v>26</v>
      </c>
      <c r="R330" s="4">
        <v>0</v>
      </c>
      <c r="S330" s="4" t="s">
        <v>260</v>
      </c>
      <c r="T330" s="4" t="s">
        <v>421</v>
      </c>
      <c r="U330" s="4">
        <v>0</v>
      </c>
      <c r="V330" s="4">
        <v>30</v>
      </c>
      <c r="W330" s="4">
        <v>74</v>
      </c>
    </row>
    <row r="331" spans="1:23" ht="11.25" customHeight="1" x14ac:dyDescent="0.25">
      <c r="A331" s="4" t="s">
        <v>57</v>
      </c>
      <c r="B331" s="4" t="s">
        <v>42</v>
      </c>
      <c r="C331" s="4" t="s">
        <v>23</v>
      </c>
      <c r="D331" s="4" t="s">
        <v>43</v>
      </c>
      <c r="E331" s="4" t="s">
        <v>51</v>
      </c>
      <c r="F331" s="4" t="s">
        <v>52</v>
      </c>
      <c r="G331" s="4" t="s">
        <v>25</v>
      </c>
      <c r="H331" s="4" t="s">
        <v>25</v>
      </c>
      <c r="I331" s="5">
        <v>44774</v>
      </c>
      <c r="J331" s="6">
        <v>0</v>
      </c>
      <c r="K331" s="6">
        <v>0</v>
      </c>
      <c r="L331" s="6">
        <v>13.619</v>
      </c>
      <c r="M331" s="6">
        <v>13.619</v>
      </c>
      <c r="N331" s="6">
        <v>13.619</v>
      </c>
      <c r="O331" s="6">
        <v>13.619</v>
      </c>
      <c r="P331" s="6">
        <v>0</v>
      </c>
      <c r="Q331" s="4" t="s">
        <v>26</v>
      </c>
      <c r="R331" s="4">
        <v>0</v>
      </c>
      <c r="S331" s="4" t="s">
        <v>261</v>
      </c>
      <c r="T331" s="4" t="s">
        <v>422</v>
      </c>
      <c r="U331" s="4">
        <v>0</v>
      </c>
      <c r="V331" s="4">
        <v>30</v>
      </c>
      <c r="W331" s="4">
        <v>74</v>
      </c>
    </row>
    <row r="332" spans="1:23" ht="11.25" customHeight="1" x14ac:dyDescent="0.25">
      <c r="A332" s="4" t="s">
        <v>21</v>
      </c>
      <c r="B332" s="4" t="s">
        <v>42</v>
      </c>
      <c r="C332" s="4" t="s">
        <v>23</v>
      </c>
      <c r="D332" s="4" t="s">
        <v>43</v>
      </c>
      <c r="E332" s="4" t="s">
        <v>51</v>
      </c>
      <c r="F332" s="4" t="s">
        <v>53</v>
      </c>
      <c r="G332" s="4" t="s">
        <v>25</v>
      </c>
      <c r="H332" s="4" t="s">
        <v>25</v>
      </c>
      <c r="I332" s="5">
        <v>44440</v>
      </c>
      <c r="J332" s="6">
        <v>0</v>
      </c>
      <c r="K332" s="6">
        <v>0</v>
      </c>
      <c r="L332" s="6">
        <v>103.145</v>
      </c>
      <c r="M332" s="6">
        <v>41.258000000000003</v>
      </c>
      <c r="N332" s="6">
        <v>103.145</v>
      </c>
      <c r="O332" s="6">
        <v>41.258000000000003</v>
      </c>
      <c r="P332" s="6">
        <v>0</v>
      </c>
      <c r="Q332" s="4" t="s">
        <v>26</v>
      </c>
      <c r="R332" s="4">
        <v>0</v>
      </c>
      <c r="S332" s="4" t="s">
        <v>250</v>
      </c>
      <c r="T332" s="4" t="s">
        <v>411</v>
      </c>
      <c r="U332" s="4">
        <v>0</v>
      </c>
      <c r="V332" s="4">
        <v>30</v>
      </c>
      <c r="W332" s="4">
        <v>74</v>
      </c>
    </row>
    <row r="333" spans="1:23" ht="11.25" customHeight="1" x14ac:dyDescent="0.25">
      <c r="A333" s="4" t="s">
        <v>21</v>
      </c>
      <c r="B333" s="4" t="s">
        <v>42</v>
      </c>
      <c r="C333" s="4" t="s">
        <v>23</v>
      </c>
      <c r="D333" s="4" t="s">
        <v>43</v>
      </c>
      <c r="E333" s="4" t="s">
        <v>51</v>
      </c>
      <c r="F333" s="4" t="s">
        <v>53</v>
      </c>
      <c r="G333" s="4" t="s">
        <v>25</v>
      </c>
      <c r="H333" s="4" t="s">
        <v>25</v>
      </c>
      <c r="I333" s="5">
        <v>44470</v>
      </c>
      <c r="J333" s="6">
        <v>0</v>
      </c>
      <c r="K333" s="6">
        <v>0</v>
      </c>
      <c r="L333" s="6">
        <v>79.552000000000007</v>
      </c>
      <c r="M333" s="6">
        <v>31.820799999999998</v>
      </c>
      <c r="N333" s="6">
        <v>79.552000000000007</v>
      </c>
      <c r="O333" s="6">
        <v>31.820799999999998</v>
      </c>
      <c r="P333" s="6">
        <v>0</v>
      </c>
      <c r="Q333" s="4" t="s">
        <v>26</v>
      </c>
      <c r="R333" s="4">
        <v>0</v>
      </c>
      <c r="S333" s="4" t="s">
        <v>251</v>
      </c>
      <c r="T333" s="4" t="s">
        <v>412</v>
      </c>
      <c r="U333" s="4">
        <v>0</v>
      </c>
      <c r="V333" s="4">
        <v>30</v>
      </c>
      <c r="W333" s="4">
        <v>74</v>
      </c>
    </row>
    <row r="334" spans="1:23" ht="11.25" customHeight="1" x14ac:dyDescent="0.25">
      <c r="A334" s="4" t="s">
        <v>21</v>
      </c>
      <c r="B334" s="4" t="s">
        <v>42</v>
      </c>
      <c r="C334" s="4" t="s">
        <v>23</v>
      </c>
      <c r="D334" s="4" t="s">
        <v>43</v>
      </c>
      <c r="E334" s="4" t="s">
        <v>51</v>
      </c>
      <c r="F334" s="4" t="s">
        <v>53</v>
      </c>
      <c r="G334" s="4" t="s">
        <v>25</v>
      </c>
      <c r="H334" s="4" t="s">
        <v>25</v>
      </c>
      <c r="I334" s="5">
        <v>44501</v>
      </c>
      <c r="J334" s="6">
        <v>0</v>
      </c>
      <c r="K334" s="6">
        <v>0</v>
      </c>
      <c r="L334" s="6">
        <v>108.729</v>
      </c>
      <c r="M334" s="6">
        <v>43.491599999999998</v>
      </c>
      <c r="N334" s="6">
        <v>108.729</v>
      </c>
      <c r="O334" s="6">
        <v>43.491599999999998</v>
      </c>
      <c r="P334" s="6">
        <v>0</v>
      </c>
      <c r="Q334" s="4" t="s">
        <v>26</v>
      </c>
      <c r="R334" s="4">
        <v>0</v>
      </c>
      <c r="S334" s="4" t="s">
        <v>252</v>
      </c>
      <c r="T334" s="4" t="s">
        <v>413</v>
      </c>
      <c r="U334" s="4">
        <v>0</v>
      </c>
      <c r="V334" s="4">
        <v>30</v>
      </c>
      <c r="W334" s="4">
        <v>74</v>
      </c>
    </row>
    <row r="335" spans="1:23" ht="11.25" customHeight="1" x14ac:dyDescent="0.25">
      <c r="A335" s="4" t="s">
        <v>21</v>
      </c>
      <c r="B335" s="4" t="s">
        <v>42</v>
      </c>
      <c r="C335" s="4" t="s">
        <v>23</v>
      </c>
      <c r="D335" s="4" t="s">
        <v>43</v>
      </c>
      <c r="E335" s="4" t="s">
        <v>51</v>
      </c>
      <c r="F335" s="4" t="s">
        <v>53</v>
      </c>
      <c r="G335" s="4" t="s">
        <v>25</v>
      </c>
      <c r="H335" s="4" t="s">
        <v>25</v>
      </c>
      <c r="I335" s="5">
        <v>44531</v>
      </c>
      <c r="J335" s="6">
        <v>0</v>
      </c>
      <c r="K335" s="6">
        <v>0</v>
      </c>
      <c r="L335" s="6">
        <v>128.13900000000001</v>
      </c>
      <c r="M335" s="6">
        <v>51.255600000000001</v>
      </c>
      <c r="N335" s="6">
        <v>128.13900000000001</v>
      </c>
      <c r="O335" s="6">
        <v>51.255600000000001</v>
      </c>
      <c r="P335" s="6">
        <v>0</v>
      </c>
      <c r="Q335" s="4" t="s">
        <v>26</v>
      </c>
      <c r="R335" s="4">
        <v>0</v>
      </c>
      <c r="S335" s="4" t="s">
        <v>253</v>
      </c>
      <c r="T335" s="4" t="s">
        <v>414</v>
      </c>
      <c r="U335" s="4">
        <v>0</v>
      </c>
      <c r="V335" s="4">
        <v>30</v>
      </c>
      <c r="W335" s="4">
        <v>74</v>
      </c>
    </row>
    <row r="336" spans="1:23" ht="11.25" customHeight="1" x14ac:dyDescent="0.25">
      <c r="A336" s="4" t="s">
        <v>21</v>
      </c>
      <c r="B336" s="4" t="s">
        <v>42</v>
      </c>
      <c r="C336" s="4" t="s">
        <v>23</v>
      </c>
      <c r="D336" s="4" t="s">
        <v>43</v>
      </c>
      <c r="E336" s="4" t="s">
        <v>51</v>
      </c>
      <c r="F336" s="4" t="s">
        <v>53</v>
      </c>
      <c r="G336" s="4" t="s">
        <v>25</v>
      </c>
      <c r="H336" s="4" t="s">
        <v>25</v>
      </c>
      <c r="I336" s="5">
        <v>44562</v>
      </c>
      <c r="J336" s="6">
        <v>0</v>
      </c>
      <c r="K336" s="6">
        <v>0</v>
      </c>
      <c r="L336" s="6">
        <v>145.27600000000001</v>
      </c>
      <c r="M336" s="6">
        <v>58.110399999999998</v>
      </c>
      <c r="N336" s="6">
        <v>145.27600000000001</v>
      </c>
      <c r="O336" s="6">
        <v>58.110399999999998</v>
      </c>
      <c r="P336" s="6">
        <v>0</v>
      </c>
      <c r="Q336" s="4" t="s">
        <v>26</v>
      </c>
      <c r="R336" s="4">
        <v>0</v>
      </c>
      <c r="S336" s="4" t="s">
        <v>254</v>
      </c>
      <c r="T336" s="4" t="s">
        <v>415</v>
      </c>
      <c r="U336" s="4">
        <v>0</v>
      </c>
      <c r="V336" s="4">
        <v>30</v>
      </c>
      <c r="W336" s="4">
        <v>74</v>
      </c>
    </row>
    <row r="337" spans="1:23" ht="11.25" customHeight="1" x14ac:dyDescent="0.25">
      <c r="A337" s="4" t="s">
        <v>21</v>
      </c>
      <c r="B337" s="4" t="s">
        <v>42</v>
      </c>
      <c r="C337" s="4" t="s">
        <v>23</v>
      </c>
      <c r="D337" s="4" t="s">
        <v>43</v>
      </c>
      <c r="E337" s="4" t="s">
        <v>51</v>
      </c>
      <c r="F337" s="4" t="s">
        <v>53</v>
      </c>
      <c r="G337" s="4" t="s">
        <v>25</v>
      </c>
      <c r="H337" s="4" t="s">
        <v>25</v>
      </c>
      <c r="I337" s="5">
        <v>44593</v>
      </c>
      <c r="J337" s="6">
        <v>0</v>
      </c>
      <c r="K337" s="6">
        <v>0</v>
      </c>
      <c r="L337" s="6">
        <v>41.22</v>
      </c>
      <c r="M337" s="6">
        <v>16.488</v>
      </c>
      <c r="N337" s="6">
        <v>41.22</v>
      </c>
      <c r="O337" s="6">
        <v>16.488</v>
      </c>
      <c r="P337" s="6">
        <v>0</v>
      </c>
      <c r="Q337" s="4" t="s">
        <v>26</v>
      </c>
      <c r="R337" s="4">
        <v>0</v>
      </c>
      <c r="S337" s="4" t="s">
        <v>255</v>
      </c>
      <c r="T337" s="4" t="s">
        <v>416</v>
      </c>
      <c r="U337" s="4">
        <v>0</v>
      </c>
      <c r="V337" s="4">
        <v>30</v>
      </c>
      <c r="W337" s="4">
        <v>74</v>
      </c>
    </row>
    <row r="338" spans="1:23" ht="11.25" customHeight="1" x14ac:dyDescent="0.25">
      <c r="A338" s="4" t="s">
        <v>21</v>
      </c>
      <c r="B338" s="4" t="s">
        <v>42</v>
      </c>
      <c r="C338" s="4" t="s">
        <v>23</v>
      </c>
      <c r="D338" s="4" t="s">
        <v>43</v>
      </c>
      <c r="E338" s="4" t="s">
        <v>51</v>
      </c>
      <c r="F338" s="4" t="s">
        <v>53</v>
      </c>
      <c r="G338" s="4" t="s">
        <v>25</v>
      </c>
      <c r="H338" s="4" t="s">
        <v>25</v>
      </c>
      <c r="I338" s="5">
        <v>44621</v>
      </c>
      <c r="J338" s="6">
        <v>0</v>
      </c>
      <c r="K338" s="6">
        <v>0</v>
      </c>
      <c r="L338" s="6">
        <v>14.337</v>
      </c>
      <c r="M338" s="6">
        <v>5.7347999999999999</v>
      </c>
      <c r="N338" s="6">
        <v>14.337</v>
      </c>
      <c r="O338" s="6">
        <v>5.7347999999999999</v>
      </c>
      <c r="P338" s="6">
        <v>0</v>
      </c>
      <c r="Q338" s="4" t="s">
        <v>26</v>
      </c>
      <c r="R338" s="4">
        <v>0</v>
      </c>
      <c r="S338" s="4" t="s">
        <v>256</v>
      </c>
      <c r="T338" s="4" t="s">
        <v>417</v>
      </c>
      <c r="U338" s="4">
        <v>0</v>
      </c>
      <c r="V338" s="4">
        <v>30</v>
      </c>
      <c r="W338" s="4">
        <v>74</v>
      </c>
    </row>
    <row r="339" spans="1:23" ht="11.25" customHeight="1" x14ac:dyDescent="0.25">
      <c r="A339" s="4" t="s">
        <v>21</v>
      </c>
      <c r="B339" s="4" t="s">
        <v>42</v>
      </c>
      <c r="C339" s="4" t="s">
        <v>23</v>
      </c>
      <c r="D339" s="4" t="s">
        <v>43</v>
      </c>
      <c r="E339" s="4" t="s">
        <v>51</v>
      </c>
      <c r="F339" s="4" t="s">
        <v>53</v>
      </c>
      <c r="G339" s="4" t="s">
        <v>25</v>
      </c>
      <c r="H339" s="4" t="s">
        <v>25</v>
      </c>
      <c r="I339" s="5">
        <v>44652</v>
      </c>
      <c r="J339" s="6">
        <v>0</v>
      </c>
      <c r="K339" s="6">
        <v>0</v>
      </c>
      <c r="L339" s="6">
        <v>1.601</v>
      </c>
      <c r="M339" s="6">
        <v>0.64039999999999997</v>
      </c>
      <c r="N339" s="6">
        <v>1.601</v>
      </c>
      <c r="O339" s="6">
        <v>0.64039999999999997</v>
      </c>
      <c r="P339" s="6">
        <v>0</v>
      </c>
      <c r="Q339" s="4" t="s">
        <v>26</v>
      </c>
      <c r="R339" s="4">
        <v>0</v>
      </c>
      <c r="S339" s="4" t="s">
        <v>257</v>
      </c>
      <c r="T339" s="4" t="s">
        <v>418</v>
      </c>
      <c r="U339" s="4">
        <v>0</v>
      </c>
      <c r="V339" s="4">
        <v>30</v>
      </c>
      <c r="W339" s="4">
        <v>74</v>
      </c>
    </row>
    <row r="340" spans="1:23" ht="11.25" customHeight="1" x14ac:dyDescent="0.25">
      <c r="A340" s="4" t="s">
        <v>21</v>
      </c>
      <c r="B340" s="4" t="s">
        <v>42</v>
      </c>
      <c r="C340" s="4" t="s">
        <v>23</v>
      </c>
      <c r="D340" s="4" t="s">
        <v>43</v>
      </c>
      <c r="E340" s="4" t="s">
        <v>51</v>
      </c>
      <c r="F340" s="4" t="s">
        <v>53</v>
      </c>
      <c r="G340" s="4" t="s">
        <v>25</v>
      </c>
      <c r="H340" s="4" t="s">
        <v>25</v>
      </c>
      <c r="I340" s="5">
        <v>44682</v>
      </c>
      <c r="J340" s="6">
        <v>0</v>
      </c>
      <c r="K340" s="6">
        <v>0</v>
      </c>
      <c r="L340" s="6">
        <v>1.242</v>
      </c>
      <c r="M340" s="6">
        <v>0.49680000000000002</v>
      </c>
      <c r="N340" s="6">
        <v>1.242</v>
      </c>
      <c r="O340" s="6">
        <v>0.49680000000000002</v>
      </c>
      <c r="P340" s="6">
        <v>0</v>
      </c>
      <c r="Q340" s="4" t="s">
        <v>26</v>
      </c>
      <c r="R340" s="4">
        <v>0</v>
      </c>
      <c r="S340" s="4" t="s">
        <v>258</v>
      </c>
      <c r="T340" s="4" t="s">
        <v>419</v>
      </c>
      <c r="U340" s="4">
        <v>0</v>
      </c>
      <c r="V340" s="4">
        <v>30</v>
      </c>
      <c r="W340" s="4">
        <v>74</v>
      </c>
    </row>
    <row r="341" spans="1:23" ht="11.25" customHeight="1" x14ac:dyDescent="0.25">
      <c r="A341" s="4" t="s">
        <v>21</v>
      </c>
      <c r="B341" s="4" t="s">
        <v>42</v>
      </c>
      <c r="C341" s="4" t="s">
        <v>23</v>
      </c>
      <c r="D341" s="4" t="s">
        <v>43</v>
      </c>
      <c r="E341" s="4" t="s">
        <v>51</v>
      </c>
      <c r="F341" s="4" t="s">
        <v>53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0.64200000000000002</v>
      </c>
      <c r="M341" s="6">
        <v>0.25679999999999997</v>
      </c>
      <c r="N341" s="6">
        <v>0.64200000000000002</v>
      </c>
      <c r="O341" s="6">
        <v>0.25679999999999997</v>
      </c>
      <c r="P341" s="6">
        <v>0</v>
      </c>
      <c r="Q341" s="4" t="s">
        <v>26</v>
      </c>
      <c r="R341" s="4">
        <v>0</v>
      </c>
      <c r="S341" s="4" t="s">
        <v>259</v>
      </c>
      <c r="T341" s="4" t="s">
        <v>420</v>
      </c>
      <c r="U341" s="4">
        <v>0</v>
      </c>
      <c r="V341" s="4">
        <v>30</v>
      </c>
      <c r="W341" s="4">
        <v>74</v>
      </c>
    </row>
    <row r="342" spans="1:23" ht="11.25" customHeight="1" x14ac:dyDescent="0.25">
      <c r="A342" s="4" t="s">
        <v>21</v>
      </c>
      <c r="B342" s="4" t="s">
        <v>42</v>
      </c>
      <c r="C342" s="4" t="s">
        <v>23</v>
      </c>
      <c r="D342" s="4" t="s">
        <v>43</v>
      </c>
      <c r="E342" s="4" t="s">
        <v>51</v>
      </c>
      <c r="F342" s="4" t="s">
        <v>53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3.4420000000000002</v>
      </c>
      <c r="M342" s="6">
        <v>1.3768</v>
      </c>
      <c r="N342" s="6">
        <v>3.4420000000000002</v>
      </c>
      <c r="O342" s="6">
        <v>1.3768</v>
      </c>
      <c r="P342" s="6">
        <v>0</v>
      </c>
      <c r="Q342" s="4" t="s">
        <v>26</v>
      </c>
      <c r="R342" s="4">
        <v>0</v>
      </c>
      <c r="S342" s="4" t="s">
        <v>260</v>
      </c>
      <c r="T342" s="4" t="s">
        <v>421</v>
      </c>
      <c r="U342" s="4">
        <v>0</v>
      </c>
      <c r="V342" s="4">
        <v>30</v>
      </c>
      <c r="W342" s="4">
        <v>74</v>
      </c>
    </row>
    <row r="343" spans="1:23" ht="11.25" customHeight="1" x14ac:dyDescent="0.25">
      <c r="A343" s="4" t="s">
        <v>57</v>
      </c>
      <c r="B343" s="4" t="s">
        <v>42</v>
      </c>
      <c r="C343" s="4" t="s">
        <v>23</v>
      </c>
      <c r="D343" s="4" t="s">
        <v>43</v>
      </c>
      <c r="E343" s="4" t="s">
        <v>51</v>
      </c>
      <c r="F343" s="4" t="s">
        <v>53</v>
      </c>
      <c r="G343" s="4" t="s">
        <v>25</v>
      </c>
      <c r="H343" s="4" t="s">
        <v>25</v>
      </c>
      <c r="I343" s="5">
        <v>44774</v>
      </c>
      <c r="J343" s="6">
        <v>0</v>
      </c>
      <c r="K343" s="6">
        <v>0</v>
      </c>
      <c r="L343" s="6">
        <v>3.4420000000000002</v>
      </c>
      <c r="M343" s="6">
        <v>1.3768</v>
      </c>
      <c r="N343" s="6">
        <v>3.4420000000000002</v>
      </c>
      <c r="O343" s="6">
        <v>1.3768</v>
      </c>
      <c r="P343" s="6">
        <v>0</v>
      </c>
      <c r="Q343" s="4" t="s">
        <v>26</v>
      </c>
      <c r="R343" s="4">
        <v>0</v>
      </c>
      <c r="S343" s="4" t="s">
        <v>261</v>
      </c>
      <c r="T343" s="4" t="s">
        <v>422</v>
      </c>
      <c r="U343" s="4">
        <v>0</v>
      </c>
      <c r="V343" s="4">
        <v>30</v>
      </c>
      <c r="W343" s="4">
        <v>74</v>
      </c>
    </row>
    <row r="344" spans="1:23" ht="11.25" customHeight="1" x14ac:dyDescent="0.25">
      <c r="A344" s="4" t="s">
        <v>21</v>
      </c>
      <c r="B344" s="4" t="s">
        <v>42</v>
      </c>
      <c r="C344" s="4" t="s">
        <v>23</v>
      </c>
      <c r="D344" s="4" t="s">
        <v>43</v>
      </c>
      <c r="E344" s="4" t="s">
        <v>54</v>
      </c>
      <c r="F344" s="4" t="s">
        <v>52</v>
      </c>
      <c r="G344" s="4" t="s">
        <v>25</v>
      </c>
      <c r="H344" s="4" t="s">
        <v>25</v>
      </c>
      <c r="I344" s="5">
        <v>44440</v>
      </c>
      <c r="J344" s="6">
        <v>0</v>
      </c>
      <c r="K344" s="6">
        <v>0</v>
      </c>
      <c r="L344" s="6">
        <v>6.7000000000000004E-2</v>
      </c>
      <c r="M344" s="6">
        <v>6.7000000000000004E-2</v>
      </c>
      <c r="N344" s="6">
        <v>6.7000000000000004E-2</v>
      </c>
      <c r="O344" s="6">
        <v>6.7000000000000004E-2</v>
      </c>
      <c r="P344" s="6">
        <v>0</v>
      </c>
      <c r="Q344" s="4" t="s">
        <v>26</v>
      </c>
      <c r="R344" s="4">
        <v>0</v>
      </c>
      <c r="S344" s="4" t="s">
        <v>250</v>
      </c>
      <c r="T344" s="4" t="s">
        <v>411</v>
      </c>
      <c r="U344" s="4">
        <v>0</v>
      </c>
      <c r="V344" s="4">
        <v>30</v>
      </c>
      <c r="W344" s="4">
        <v>74</v>
      </c>
    </row>
    <row r="345" spans="1:23" ht="11.25" customHeight="1" x14ac:dyDescent="0.25">
      <c r="A345" s="4" t="s">
        <v>21</v>
      </c>
      <c r="B345" s="4" t="s">
        <v>42</v>
      </c>
      <c r="C345" s="4" t="s">
        <v>23</v>
      </c>
      <c r="D345" s="4" t="s">
        <v>43</v>
      </c>
      <c r="E345" s="4" t="s">
        <v>54</v>
      </c>
      <c r="F345" s="4" t="s">
        <v>52</v>
      </c>
      <c r="G345" s="4" t="s">
        <v>25</v>
      </c>
      <c r="H345" s="4" t="s">
        <v>25</v>
      </c>
      <c r="I345" s="5">
        <v>44470</v>
      </c>
      <c r="J345" s="6">
        <v>0</v>
      </c>
      <c r="K345" s="6">
        <v>0</v>
      </c>
      <c r="L345" s="6">
        <v>6.7000000000000004E-2</v>
      </c>
      <c r="M345" s="6">
        <v>6.7000000000000004E-2</v>
      </c>
      <c r="N345" s="6">
        <v>6.7000000000000004E-2</v>
      </c>
      <c r="O345" s="6">
        <v>6.7000000000000004E-2</v>
      </c>
      <c r="P345" s="6">
        <v>0</v>
      </c>
      <c r="Q345" s="4" t="s">
        <v>26</v>
      </c>
      <c r="R345" s="4">
        <v>0</v>
      </c>
      <c r="S345" s="4" t="s">
        <v>251</v>
      </c>
      <c r="T345" s="4" t="s">
        <v>412</v>
      </c>
      <c r="U345" s="4">
        <v>0</v>
      </c>
      <c r="V345" s="4">
        <v>30</v>
      </c>
      <c r="W345" s="4">
        <v>74</v>
      </c>
    </row>
    <row r="346" spans="1:23" ht="11.25" customHeight="1" x14ac:dyDescent="0.25">
      <c r="A346" s="4" t="s">
        <v>21</v>
      </c>
      <c r="B346" s="4" t="s">
        <v>42</v>
      </c>
      <c r="C346" s="4" t="s">
        <v>23</v>
      </c>
      <c r="D346" s="4" t="s">
        <v>43</v>
      </c>
      <c r="E346" s="4" t="s">
        <v>54</v>
      </c>
      <c r="F346" s="4" t="s">
        <v>52</v>
      </c>
      <c r="G346" s="4" t="s">
        <v>25</v>
      </c>
      <c r="H346" s="4" t="s">
        <v>25</v>
      </c>
      <c r="I346" s="5">
        <v>44501</v>
      </c>
      <c r="J346" s="6">
        <v>0</v>
      </c>
      <c r="K346" s="6">
        <v>0</v>
      </c>
      <c r="L346" s="6">
        <v>7.3999999999999996E-2</v>
      </c>
      <c r="M346" s="6">
        <v>7.3999999999999996E-2</v>
      </c>
      <c r="N346" s="6">
        <v>7.3999999999999996E-2</v>
      </c>
      <c r="O346" s="6">
        <v>7.3999999999999996E-2</v>
      </c>
      <c r="P346" s="6">
        <v>0</v>
      </c>
      <c r="Q346" s="4" t="s">
        <v>26</v>
      </c>
      <c r="R346" s="4">
        <v>0</v>
      </c>
      <c r="S346" s="4" t="s">
        <v>252</v>
      </c>
      <c r="T346" s="4" t="s">
        <v>413</v>
      </c>
      <c r="U346" s="4">
        <v>0</v>
      </c>
      <c r="V346" s="4">
        <v>30</v>
      </c>
      <c r="W346" s="4">
        <v>74</v>
      </c>
    </row>
    <row r="347" spans="1:23" ht="11.25" customHeight="1" x14ac:dyDescent="0.25">
      <c r="A347" s="4" t="s">
        <v>21</v>
      </c>
      <c r="B347" s="4" t="s">
        <v>42</v>
      </c>
      <c r="C347" s="4" t="s">
        <v>23</v>
      </c>
      <c r="D347" s="4" t="s">
        <v>43</v>
      </c>
      <c r="E347" s="4" t="s">
        <v>54</v>
      </c>
      <c r="F347" s="4" t="s">
        <v>52</v>
      </c>
      <c r="G347" s="4" t="s">
        <v>25</v>
      </c>
      <c r="H347" s="4" t="s">
        <v>25</v>
      </c>
      <c r="I347" s="5">
        <v>44531</v>
      </c>
      <c r="J347" s="6">
        <v>0</v>
      </c>
      <c r="K347" s="6">
        <v>0</v>
      </c>
      <c r="L347" s="6">
        <v>0.27600000000000002</v>
      </c>
      <c r="M347" s="6">
        <v>0.27600000000000002</v>
      </c>
      <c r="N347" s="6">
        <v>0.27600000000000002</v>
      </c>
      <c r="O347" s="6">
        <v>0.27600000000000002</v>
      </c>
      <c r="P347" s="6">
        <v>0</v>
      </c>
      <c r="Q347" s="4" t="s">
        <v>26</v>
      </c>
      <c r="R347" s="4">
        <v>0</v>
      </c>
      <c r="S347" s="4" t="s">
        <v>253</v>
      </c>
      <c r="T347" s="4" t="s">
        <v>414</v>
      </c>
      <c r="U347" s="4">
        <v>0</v>
      </c>
      <c r="V347" s="4">
        <v>30</v>
      </c>
      <c r="W347" s="4">
        <v>74</v>
      </c>
    </row>
    <row r="348" spans="1:23" ht="11.25" customHeight="1" x14ac:dyDescent="0.25">
      <c r="A348" s="4" t="s">
        <v>21</v>
      </c>
      <c r="B348" s="4" t="s">
        <v>42</v>
      </c>
      <c r="C348" s="4" t="s">
        <v>23</v>
      </c>
      <c r="D348" s="4" t="s">
        <v>43</v>
      </c>
      <c r="E348" s="4" t="s">
        <v>54</v>
      </c>
      <c r="F348" s="4" t="s">
        <v>52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0.96899999999999997</v>
      </c>
      <c r="M348" s="6">
        <v>0.96899999999999997</v>
      </c>
      <c r="N348" s="6">
        <v>0.96899999999999997</v>
      </c>
      <c r="O348" s="6">
        <v>0.96899999999999997</v>
      </c>
      <c r="P348" s="6">
        <v>0</v>
      </c>
      <c r="Q348" s="4" t="s">
        <v>26</v>
      </c>
      <c r="R348" s="4">
        <v>0</v>
      </c>
      <c r="S348" s="4" t="s">
        <v>254</v>
      </c>
      <c r="T348" s="4" t="s">
        <v>415</v>
      </c>
      <c r="U348" s="4">
        <v>0</v>
      </c>
      <c r="V348" s="4">
        <v>30</v>
      </c>
      <c r="W348" s="4">
        <v>74</v>
      </c>
    </row>
    <row r="349" spans="1:23" ht="11.25" customHeight="1" x14ac:dyDescent="0.25">
      <c r="A349" s="4" t="s">
        <v>21</v>
      </c>
      <c r="B349" s="4" t="s">
        <v>42</v>
      </c>
      <c r="C349" s="4" t="s">
        <v>23</v>
      </c>
      <c r="D349" s="4" t="s">
        <v>43</v>
      </c>
      <c r="E349" s="4" t="s">
        <v>54</v>
      </c>
      <c r="F349" s="4" t="s">
        <v>52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1.0489999999999999</v>
      </c>
      <c r="M349" s="6">
        <v>1.0489999999999999</v>
      </c>
      <c r="N349" s="6">
        <v>1.0489999999999999</v>
      </c>
      <c r="O349" s="6">
        <v>1.0489999999999999</v>
      </c>
      <c r="P349" s="6">
        <v>0</v>
      </c>
      <c r="Q349" s="4" t="s">
        <v>26</v>
      </c>
      <c r="R349" s="4">
        <v>0</v>
      </c>
      <c r="S349" s="4" t="s">
        <v>255</v>
      </c>
      <c r="T349" s="4" t="s">
        <v>416</v>
      </c>
      <c r="U349" s="4">
        <v>0</v>
      </c>
      <c r="V349" s="4">
        <v>30</v>
      </c>
      <c r="W349" s="4">
        <v>74</v>
      </c>
    </row>
    <row r="350" spans="1:23" ht="11.25" customHeight="1" x14ac:dyDescent="0.25">
      <c r="A350" s="4" t="s">
        <v>21</v>
      </c>
      <c r="B350" s="4" t="s">
        <v>42</v>
      </c>
      <c r="C350" s="4" t="s">
        <v>23</v>
      </c>
      <c r="D350" s="4" t="s">
        <v>43</v>
      </c>
      <c r="E350" s="4" t="s">
        <v>54</v>
      </c>
      <c r="F350" s="4" t="s">
        <v>52</v>
      </c>
      <c r="G350" s="4" t="s">
        <v>25</v>
      </c>
      <c r="H350" s="4" t="s">
        <v>25</v>
      </c>
      <c r="I350" s="5">
        <v>44621</v>
      </c>
      <c r="J350" s="6">
        <v>0</v>
      </c>
      <c r="K350" s="6">
        <v>0</v>
      </c>
      <c r="L350" s="6">
        <v>1.677</v>
      </c>
      <c r="M350" s="6">
        <v>1.677</v>
      </c>
      <c r="N350" s="6">
        <v>1.677</v>
      </c>
      <c r="O350" s="6">
        <v>1.677</v>
      </c>
      <c r="P350" s="6">
        <v>0</v>
      </c>
      <c r="Q350" s="4" t="s">
        <v>26</v>
      </c>
      <c r="R350" s="4">
        <v>0</v>
      </c>
      <c r="S350" s="4" t="s">
        <v>256</v>
      </c>
      <c r="T350" s="4" t="s">
        <v>417</v>
      </c>
      <c r="U350" s="4">
        <v>0</v>
      </c>
      <c r="V350" s="4">
        <v>30</v>
      </c>
      <c r="W350" s="4">
        <v>74</v>
      </c>
    </row>
    <row r="351" spans="1:23" ht="11.25" customHeight="1" x14ac:dyDescent="0.25">
      <c r="A351" s="4" t="s">
        <v>21</v>
      </c>
      <c r="B351" s="4" t="s">
        <v>42</v>
      </c>
      <c r="C351" s="4" t="s">
        <v>23</v>
      </c>
      <c r="D351" s="4" t="s">
        <v>43</v>
      </c>
      <c r="E351" s="4" t="s">
        <v>54</v>
      </c>
      <c r="F351" s="4" t="s">
        <v>52</v>
      </c>
      <c r="G351" s="4" t="s">
        <v>25</v>
      </c>
      <c r="H351" s="4" t="s">
        <v>25</v>
      </c>
      <c r="I351" s="5">
        <v>44652</v>
      </c>
      <c r="J351" s="6">
        <v>0</v>
      </c>
      <c r="K351" s="6">
        <v>0</v>
      </c>
      <c r="L351" s="6">
        <v>1.605</v>
      </c>
      <c r="M351" s="6">
        <v>1.605</v>
      </c>
      <c r="N351" s="6">
        <v>1.605</v>
      </c>
      <c r="O351" s="6">
        <v>1.605</v>
      </c>
      <c r="P351" s="6">
        <v>0</v>
      </c>
      <c r="Q351" s="4" t="s">
        <v>26</v>
      </c>
      <c r="R351" s="4">
        <v>0</v>
      </c>
      <c r="S351" s="4" t="s">
        <v>257</v>
      </c>
      <c r="T351" s="4" t="s">
        <v>418</v>
      </c>
      <c r="U351" s="4">
        <v>0</v>
      </c>
      <c r="V351" s="4">
        <v>30</v>
      </c>
      <c r="W351" s="4">
        <v>74</v>
      </c>
    </row>
    <row r="352" spans="1:23" ht="11.25" customHeight="1" x14ac:dyDescent="0.25">
      <c r="A352" s="4" t="s">
        <v>21</v>
      </c>
      <c r="B352" s="4" t="s">
        <v>42</v>
      </c>
      <c r="C352" s="4" t="s">
        <v>23</v>
      </c>
      <c r="D352" s="4" t="s">
        <v>43</v>
      </c>
      <c r="E352" s="4" t="s">
        <v>54</v>
      </c>
      <c r="F352" s="4" t="s">
        <v>52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1.103</v>
      </c>
      <c r="M352" s="6">
        <v>1.103</v>
      </c>
      <c r="N352" s="6">
        <v>1.103</v>
      </c>
      <c r="O352" s="6">
        <v>1.103</v>
      </c>
      <c r="P352" s="6">
        <v>0</v>
      </c>
      <c r="Q352" s="4" t="s">
        <v>26</v>
      </c>
      <c r="R352" s="4">
        <v>0</v>
      </c>
      <c r="S352" s="4" t="s">
        <v>258</v>
      </c>
      <c r="T352" s="4" t="s">
        <v>419</v>
      </c>
      <c r="U352" s="4">
        <v>0</v>
      </c>
      <c r="V352" s="4">
        <v>30</v>
      </c>
      <c r="W352" s="4">
        <v>74</v>
      </c>
    </row>
    <row r="353" spans="1:23" ht="11.25" customHeight="1" x14ac:dyDescent="0.25">
      <c r="A353" s="4" t="s">
        <v>21</v>
      </c>
      <c r="B353" s="4" t="s">
        <v>42</v>
      </c>
      <c r="C353" s="4" t="s">
        <v>23</v>
      </c>
      <c r="D353" s="4" t="s">
        <v>43</v>
      </c>
      <c r="E353" s="4" t="s">
        <v>54</v>
      </c>
      <c r="F353" s="4" t="s">
        <v>52</v>
      </c>
      <c r="G353" s="4" t="s">
        <v>25</v>
      </c>
      <c r="H353" s="4" t="s">
        <v>25</v>
      </c>
      <c r="I353" s="5">
        <v>44713</v>
      </c>
      <c r="J353" s="6">
        <v>0</v>
      </c>
      <c r="K353" s="6">
        <v>0</v>
      </c>
      <c r="L353" s="6">
        <v>0.81</v>
      </c>
      <c r="M353" s="6">
        <v>0.81</v>
      </c>
      <c r="N353" s="6">
        <v>0.81</v>
      </c>
      <c r="O353" s="6">
        <v>0.81</v>
      </c>
      <c r="P353" s="6">
        <v>0</v>
      </c>
      <c r="Q353" s="4" t="s">
        <v>26</v>
      </c>
      <c r="R353" s="4">
        <v>0</v>
      </c>
      <c r="S353" s="4" t="s">
        <v>259</v>
      </c>
      <c r="T353" s="4" t="s">
        <v>420</v>
      </c>
      <c r="U353" s="4">
        <v>0</v>
      </c>
      <c r="V353" s="4">
        <v>30</v>
      </c>
      <c r="W353" s="4">
        <v>74</v>
      </c>
    </row>
    <row r="354" spans="1:23" ht="11.25" customHeight="1" x14ac:dyDescent="0.25">
      <c r="A354" s="4" t="s">
        <v>21</v>
      </c>
      <c r="B354" s="4" t="s">
        <v>42</v>
      </c>
      <c r="C354" s="4" t="s">
        <v>23</v>
      </c>
      <c r="D354" s="4" t="s">
        <v>43</v>
      </c>
      <c r="E354" s="4" t="s">
        <v>54</v>
      </c>
      <c r="F354" s="4" t="s">
        <v>52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0.104</v>
      </c>
      <c r="M354" s="6">
        <v>0.104</v>
      </c>
      <c r="N354" s="6">
        <v>0.104</v>
      </c>
      <c r="O354" s="6">
        <v>0.104</v>
      </c>
      <c r="P354" s="6">
        <v>0</v>
      </c>
      <c r="Q354" s="4" t="s">
        <v>26</v>
      </c>
      <c r="R354" s="4">
        <v>0</v>
      </c>
      <c r="S354" s="4" t="s">
        <v>260</v>
      </c>
      <c r="T354" s="4" t="s">
        <v>421</v>
      </c>
      <c r="U354" s="4">
        <v>0</v>
      </c>
      <c r="V354" s="4">
        <v>30</v>
      </c>
      <c r="W354" s="4">
        <v>74</v>
      </c>
    </row>
    <row r="355" spans="1:23" ht="11.25" customHeight="1" x14ac:dyDescent="0.25">
      <c r="A355" s="4" t="s">
        <v>57</v>
      </c>
      <c r="B355" s="4" t="s">
        <v>42</v>
      </c>
      <c r="C355" s="4" t="s">
        <v>23</v>
      </c>
      <c r="D355" s="4" t="s">
        <v>43</v>
      </c>
      <c r="E355" s="4" t="s">
        <v>54</v>
      </c>
      <c r="F355" s="4" t="s">
        <v>52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0.104</v>
      </c>
      <c r="M355" s="6">
        <v>0.104</v>
      </c>
      <c r="N355" s="6">
        <v>0.104</v>
      </c>
      <c r="O355" s="6">
        <v>0.104</v>
      </c>
      <c r="P355" s="6">
        <v>0</v>
      </c>
      <c r="Q355" s="4" t="s">
        <v>26</v>
      </c>
      <c r="R355" s="4">
        <v>0</v>
      </c>
      <c r="S355" s="4" t="s">
        <v>261</v>
      </c>
      <c r="T355" s="4" t="s">
        <v>422</v>
      </c>
      <c r="U355" s="4">
        <v>0</v>
      </c>
      <c r="V355" s="4">
        <v>30</v>
      </c>
      <c r="W355" s="4">
        <v>74</v>
      </c>
    </row>
    <row r="356" spans="1:23" ht="11.25" customHeight="1" x14ac:dyDescent="0.25">
      <c r="A356" s="4" t="s">
        <v>21</v>
      </c>
      <c r="B356" s="4" t="s">
        <v>42</v>
      </c>
      <c r="C356" s="4" t="s">
        <v>23</v>
      </c>
      <c r="D356" s="4" t="s">
        <v>43</v>
      </c>
      <c r="E356" s="4" t="s">
        <v>54</v>
      </c>
      <c r="F356" s="4" t="s">
        <v>53</v>
      </c>
      <c r="G356" s="4" t="s">
        <v>25</v>
      </c>
      <c r="H356" s="4" t="s">
        <v>25</v>
      </c>
      <c r="I356" s="5">
        <v>44440</v>
      </c>
      <c r="J356" s="6">
        <v>0</v>
      </c>
      <c r="K356" s="6">
        <v>0</v>
      </c>
      <c r="L356" s="6">
        <v>4.2000000000000003E-2</v>
      </c>
      <c r="M356" s="6">
        <v>1.6799999999999999E-2</v>
      </c>
      <c r="N356" s="6">
        <v>4.2000000000000003E-2</v>
      </c>
      <c r="O356" s="6">
        <v>1.6799999999999999E-2</v>
      </c>
      <c r="P356" s="6">
        <v>0</v>
      </c>
      <c r="Q356" s="4" t="s">
        <v>26</v>
      </c>
      <c r="R356" s="4">
        <v>0</v>
      </c>
      <c r="S356" s="4" t="s">
        <v>250</v>
      </c>
      <c r="T356" s="4" t="s">
        <v>411</v>
      </c>
      <c r="U356" s="4">
        <v>0</v>
      </c>
      <c r="V356" s="4">
        <v>30</v>
      </c>
      <c r="W356" s="4">
        <v>74</v>
      </c>
    </row>
    <row r="357" spans="1:23" ht="11.25" customHeight="1" x14ac:dyDescent="0.25">
      <c r="A357" s="4" t="s">
        <v>21</v>
      </c>
      <c r="B357" s="4" t="s">
        <v>42</v>
      </c>
      <c r="C357" s="4" t="s">
        <v>23</v>
      </c>
      <c r="D357" s="4" t="s">
        <v>43</v>
      </c>
      <c r="E357" s="4" t="s">
        <v>54</v>
      </c>
      <c r="F357" s="4" t="s">
        <v>53</v>
      </c>
      <c r="G357" s="4" t="s">
        <v>25</v>
      </c>
      <c r="H357" s="4" t="s">
        <v>25</v>
      </c>
      <c r="I357" s="5">
        <v>44470</v>
      </c>
      <c r="J357" s="6">
        <v>0</v>
      </c>
      <c r="K357" s="6">
        <v>0</v>
      </c>
      <c r="L357" s="6">
        <v>3.3000000000000002E-2</v>
      </c>
      <c r="M357" s="6">
        <v>1.32E-2</v>
      </c>
      <c r="N357" s="6">
        <v>3.3000000000000002E-2</v>
      </c>
      <c r="O357" s="6">
        <v>1.32E-2</v>
      </c>
      <c r="P357" s="6">
        <v>0</v>
      </c>
      <c r="Q357" s="4" t="s">
        <v>26</v>
      </c>
      <c r="R357" s="4">
        <v>0</v>
      </c>
      <c r="S357" s="4" t="s">
        <v>251</v>
      </c>
      <c r="T357" s="4" t="s">
        <v>412</v>
      </c>
      <c r="U357" s="4">
        <v>0</v>
      </c>
      <c r="V357" s="4">
        <v>30</v>
      </c>
      <c r="W357" s="4">
        <v>74</v>
      </c>
    </row>
    <row r="358" spans="1:23" ht="11.25" customHeight="1" x14ac:dyDescent="0.25">
      <c r="A358" s="4" t="s">
        <v>21</v>
      </c>
      <c r="B358" s="4" t="s">
        <v>42</v>
      </c>
      <c r="C358" s="4" t="s">
        <v>23</v>
      </c>
      <c r="D358" s="4" t="s">
        <v>43</v>
      </c>
      <c r="E358" s="4" t="s">
        <v>54</v>
      </c>
      <c r="F358" s="4" t="s">
        <v>53</v>
      </c>
      <c r="G358" s="4" t="s">
        <v>25</v>
      </c>
      <c r="H358" s="4" t="s">
        <v>25</v>
      </c>
      <c r="I358" s="5">
        <v>44501</v>
      </c>
      <c r="J358" s="6">
        <v>0</v>
      </c>
      <c r="K358" s="6">
        <v>0</v>
      </c>
      <c r="L358" s="6">
        <v>2.5999999999999999E-2</v>
      </c>
      <c r="M358" s="6">
        <v>1.04E-2</v>
      </c>
      <c r="N358" s="6">
        <v>2.5999999999999999E-2</v>
      </c>
      <c r="O358" s="6">
        <v>1.04E-2</v>
      </c>
      <c r="P358" s="6">
        <v>0</v>
      </c>
      <c r="Q358" s="4" t="s">
        <v>26</v>
      </c>
      <c r="R358" s="4">
        <v>0</v>
      </c>
      <c r="S358" s="4" t="s">
        <v>252</v>
      </c>
      <c r="T358" s="4" t="s">
        <v>413</v>
      </c>
      <c r="U358" s="4">
        <v>0</v>
      </c>
      <c r="V358" s="4">
        <v>30</v>
      </c>
      <c r="W358" s="4">
        <v>74</v>
      </c>
    </row>
    <row r="359" spans="1:23" ht="11.25" customHeight="1" x14ac:dyDescent="0.25">
      <c r="A359" s="4" t="s">
        <v>21</v>
      </c>
      <c r="B359" s="4" t="s">
        <v>42</v>
      </c>
      <c r="C359" s="4" t="s">
        <v>23</v>
      </c>
      <c r="D359" s="4" t="s">
        <v>43</v>
      </c>
      <c r="E359" s="4" t="s">
        <v>54</v>
      </c>
      <c r="F359" s="4" t="s">
        <v>53</v>
      </c>
      <c r="G359" s="4" t="s">
        <v>25</v>
      </c>
      <c r="H359" s="4" t="s">
        <v>25</v>
      </c>
      <c r="I359" s="5">
        <v>44531</v>
      </c>
      <c r="J359" s="6">
        <v>0</v>
      </c>
      <c r="K359" s="6">
        <v>0</v>
      </c>
      <c r="L359" s="6">
        <v>0.71699999999999997</v>
      </c>
      <c r="M359" s="6">
        <v>0.2868</v>
      </c>
      <c r="N359" s="6">
        <v>0.71699999999999997</v>
      </c>
      <c r="O359" s="6">
        <v>0.2868</v>
      </c>
      <c r="P359" s="6">
        <v>0</v>
      </c>
      <c r="Q359" s="4" t="s">
        <v>26</v>
      </c>
      <c r="R359" s="4">
        <v>0</v>
      </c>
      <c r="S359" s="4" t="s">
        <v>253</v>
      </c>
      <c r="T359" s="4" t="s">
        <v>414</v>
      </c>
      <c r="U359" s="4">
        <v>0</v>
      </c>
      <c r="V359" s="4">
        <v>30</v>
      </c>
      <c r="W359" s="4">
        <v>74</v>
      </c>
    </row>
    <row r="360" spans="1:23" ht="11.25" customHeight="1" x14ac:dyDescent="0.25">
      <c r="A360" s="4" t="s">
        <v>21</v>
      </c>
      <c r="B360" s="4" t="s">
        <v>42</v>
      </c>
      <c r="C360" s="4" t="s">
        <v>23</v>
      </c>
      <c r="D360" s="4" t="s">
        <v>43</v>
      </c>
      <c r="E360" s="4" t="s">
        <v>54</v>
      </c>
      <c r="F360" s="4" t="s">
        <v>53</v>
      </c>
      <c r="G360" s="4" t="s">
        <v>25</v>
      </c>
      <c r="H360" s="4" t="s">
        <v>25</v>
      </c>
      <c r="I360" s="5">
        <v>44562</v>
      </c>
      <c r="J360" s="6">
        <v>0</v>
      </c>
      <c r="K360" s="6">
        <v>0</v>
      </c>
      <c r="L360" s="6">
        <v>1.984</v>
      </c>
      <c r="M360" s="6">
        <v>0.79359999999999997</v>
      </c>
      <c r="N360" s="6">
        <v>1.984</v>
      </c>
      <c r="O360" s="6">
        <v>0.79359999999999997</v>
      </c>
      <c r="P360" s="6">
        <v>0</v>
      </c>
      <c r="Q360" s="4" t="s">
        <v>26</v>
      </c>
      <c r="R360" s="4">
        <v>0</v>
      </c>
      <c r="S360" s="4" t="s">
        <v>254</v>
      </c>
      <c r="T360" s="4" t="s">
        <v>415</v>
      </c>
      <c r="U360" s="4">
        <v>0</v>
      </c>
      <c r="V360" s="4">
        <v>30</v>
      </c>
      <c r="W360" s="4">
        <v>74</v>
      </c>
    </row>
    <row r="361" spans="1:23" ht="11.25" customHeight="1" x14ac:dyDescent="0.25">
      <c r="A361" s="4" t="s">
        <v>21</v>
      </c>
      <c r="B361" s="4" t="s">
        <v>42</v>
      </c>
      <c r="C361" s="4" t="s">
        <v>23</v>
      </c>
      <c r="D361" s="4" t="s">
        <v>43</v>
      </c>
      <c r="E361" s="4" t="s">
        <v>54</v>
      </c>
      <c r="F361" s="4" t="s">
        <v>53</v>
      </c>
      <c r="G361" s="4" t="s">
        <v>25</v>
      </c>
      <c r="H361" s="4" t="s">
        <v>25</v>
      </c>
      <c r="I361" s="5">
        <v>44593</v>
      </c>
      <c r="J361" s="6">
        <v>0</v>
      </c>
      <c r="K361" s="6">
        <v>0</v>
      </c>
      <c r="L361" s="6">
        <v>2.4489999999999998</v>
      </c>
      <c r="M361" s="6">
        <v>0.97960000000000003</v>
      </c>
      <c r="N361" s="6">
        <v>2.4489999999999998</v>
      </c>
      <c r="O361" s="6">
        <v>0.97960000000000003</v>
      </c>
      <c r="P361" s="6">
        <v>0</v>
      </c>
      <c r="Q361" s="4" t="s">
        <v>26</v>
      </c>
      <c r="R361" s="4">
        <v>0</v>
      </c>
      <c r="S361" s="4" t="s">
        <v>255</v>
      </c>
      <c r="T361" s="4" t="s">
        <v>416</v>
      </c>
      <c r="U361" s="4">
        <v>0</v>
      </c>
      <c r="V361" s="4">
        <v>30</v>
      </c>
      <c r="W361" s="4">
        <v>74</v>
      </c>
    </row>
    <row r="362" spans="1:23" ht="11.25" customHeight="1" x14ac:dyDescent="0.25">
      <c r="A362" s="4" t="s">
        <v>21</v>
      </c>
      <c r="B362" s="4" t="s">
        <v>42</v>
      </c>
      <c r="C362" s="4" t="s">
        <v>23</v>
      </c>
      <c r="D362" s="4" t="s">
        <v>43</v>
      </c>
      <c r="E362" s="4" t="s">
        <v>54</v>
      </c>
      <c r="F362" s="4" t="s">
        <v>53</v>
      </c>
      <c r="G362" s="4" t="s">
        <v>25</v>
      </c>
      <c r="H362" s="4" t="s">
        <v>25</v>
      </c>
      <c r="I362" s="5">
        <v>44621</v>
      </c>
      <c r="J362" s="6">
        <v>0</v>
      </c>
      <c r="K362" s="6">
        <v>0</v>
      </c>
      <c r="L362" s="6">
        <v>3.2210000000000001</v>
      </c>
      <c r="M362" s="6">
        <v>1.2884</v>
      </c>
      <c r="N362" s="6">
        <v>3.2210000000000001</v>
      </c>
      <c r="O362" s="6">
        <v>1.2884</v>
      </c>
      <c r="P362" s="6">
        <v>0</v>
      </c>
      <c r="Q362" s="4" t="s">
        <v>26</v>
      </c>
      <c r="R362" s="4">
        <v>0</v>
      </c>
      <c r="S362" s="4" t="s">
        <v>256</v>
      </c>
      <c r="T362" s="4" t="s">
        <v>417</v>
      </c>
      <c r="U362" s="4">
        <v>0</v>
      </c>
      <c r="V362" s="4">
        <v>30</v>
      </c>
      <c r="W362" s="4">
        <v>74</v>
      </c>
    </row>
    <row r="363" spans="1:23" ht="11.25" customHeight="1" x14ac:dyDescent="0.25">
      <c r="A363" s="4" t="s">
        <v>21</v>
      </c>
      <c r="B363" s="4" t="s">
        <v>42</v>
      </c>
      <c r="C363" s="4" t="s">
        <v>23</v>
      </c>
      <c r="D363" s="4" t="s">
        <v>43</v>
      </c>
      <c r="E363" s="4" t="s">
        <v>54</v>
      </c>
      <c r="F363" s="4" t="s">
        <v>53</v>
      </c>
      <c r="G363" s="4" t="s">
        <v>25</v>
      </c>
      <c r="H363" s="4" t="s">
        <v>25</v>
      </c>
      <c r="I363" s="5">
        <v>44652</v>
      </c>
      <c r="J363" s="6">
        <v>0</v>
      </c>
      <c r="K363" s="6">
        <v>0</v>
      </c>
      <c r="L363" s="6">
        <v>2.9910000000000001</v>
      </c>
      <c r="M363" s="6">
        <v>1.1963999999999999</v>
      </c>
      <c r="N363" s="6">
        <v>2.9910000000000001</v>
      </c>
      <c r="O363" s="6">
        <v>1.1963999999999999</v>
      </c>
      <c r="P363" s="6">
        <v>0</v>
      </c>
      <c r="Q363" s="4" t="s">
        <v>26</v>
      </c>
      <c r="R363" s="4">
        <v>0</v>
      </c>
      <c r="S363" s="4" t="s">
        <v>257</v>
      </c>
      <c r="T363" s="4" t="s">
        <v>418</v>
      </c>
      <c r="U363" s="4">
        <v>0</v>
      </c>
      <c r="V363" s="4">
        <v>30</v>
      </c>
      <c r="W363" s="4">
        <v>74</v>
      </c>
    </row>
    <row r="364" spans="1:23" ht="11.25" customHeight="1" x14ac:dyDescent="0.25">
      <c r="A364" s="4" t="s">
        <v>21</v>
      </c>
      <c r="B364" s="4" t="s">
        <v>42</v>
      </c>
      <c r="C364" s="4" t="s">
        <v>23</v>
      </c>
      <c r="D364" s="4" t="s">
        <v>43</v>
      </c>
      <c r="E364" s="4" t="s">
        <v>54</v>
      </c>
      <c r="F364" s="4" t="s">
        <v>53</v>
      </c>
      <c r="G364" s="4" t="s">
        <v>25</v>
      </c>
      <c r="H364" s="4" t="s">
        <v>25</v>
      </c>
      <c r="I364" s="5">
        <v>44682</v>
      </c>
      <c r="J364" s="6">
        <v>0</v>
      </c>
      <c r="K364" s="6">
        <v>0</v>
      </c>
      <c r="L364" s="6">
        <v>2.02</v>
      </c>
      <c r="M364" s="6">
        <v>0.80800000000000005</v>
      </c>
      <c r="N364" s="6">
        <v>2.02</v>
      </c>
      <c r="O364" s="6">
        <v>0.80800000000000005</v>
      </c>
      <c r="P364" s="6">
        <v>0</v>
      </c>
      <c r="Q364" s="4" t="s">
        <v>26</v>
      </c>
      <c r="R364" s="4">
        <v>0</v>
      </c>
      <c r="S364" s="4" t="s">
        <v>258</v>
      </c>
      <c r="T364" s="4" t="s">
        <v>419</v>
      </c>
      <c r="U364" s="4">
        <v>0</v>
      </c>
      <c r="V364" s="4">
        <v>30</v>
      </c>
      <c r="W364" s="4">
        <v>74</v>
      </c>
    </row>
    <row r="365" spans="1:23" ht="11.25" customHeight="1" x14ac:dyDescent="0.25">
      <c r="A365" s="4" t="s">
        <v>21</v>
      </c>
      <c r="B365" s="4" t="s">
        <v>42</v>
      </c>
      <c r="C365" s="4" t="s">
        <v>23</v>
      </c>
      <c r="D365" s="4" t="s">
        <v>43</v>
      </c>
      <c r="E365" s="4" t="s">
        <v>54</v>
      </c>
      <c r="F365" s="4" t="s">
        <v>53</v>
      </c>
      <c r="G365" s="4" t="s">
        <v>25</v>
      </c>
      <c r="H365" s="4" t="s">
        <v>25</v>
      </c>
      <c r="I365" s="5">
        <v>44713</v>
      </c>
      <c r="J365" s="6">
        <v>0</v>
      </c>
      <c r="K365" s="6">
        <v>0</v>
      </c>
      <c r="L365" s="6">
        <v>1.109</v>
      </c>
      <c r="M365" s="6">
        <v>0.44359999999999999</v>
      </c>
      <c r="N365" s="6">
        <v>1.109</v>
      </c>
      <c r="O365" s="6">
        <v>0.44359999999999999</v>
      </c>
      <c r="P365" s="6">
        <v>0</v>
      </c>
      <c r="Q365" s="4" t="s">
        <v>26</v>
      </c>
      <c r="R365" s="4">
        <v>0</v>
      </c>
      <c r="S365" s="4" t="s">
        <v>259</v>
      </c>
      <c r="T365" s="4" t="s">
        <v>420</v>
      </c>
      <c r="U365" s="4">
        <v>0</v>
      </c>
      <c r="V365" s="4">
        <v>30</v>
      </c>
      <c r="W365" s="4">
        <v>74</v>
      </c>
    </row>
    <row r="366" spans="1:23" ht="11.25" customHeight="1" x14ac:dyDescent="0.25">
      <c r="A366" s="4" t="s">
        <v>21</v>
      </c>
      <c r="B366" s="4" t="s">
        <v>42</v>
      </c>
      <c r="C366" s="4" t="s">
        <v>23</v>
      </c>
      <c r="D366" s="4" t="s">
        <v>43</v>
      </c>
      <c r="E366" s="4" t="s">
        <v>54</v>
      </c>
      <c r="F366" s="4" t="s">
        <v>53</v>
      </c>
      <c r="G366" s="4" t="s">
        <v>25</v>
      </c>
      <c r="H366" s="4" t="s">
        <v>25</v>
      </c>
      <c r="I366" s="5">
        <v>44743</v>
      </c>
      <c r="J366" s="6">
        <v>0</v>
      </c>
      <c r="K366" s="6">
        <v>0</v>
      </c>
      <c r="L366" s="6">
        <v>0.14799999999999999</v>
      </c>
      <c r="M366" s="6">
        <v>5.9200000000000003E-2</v>
      </c>
      <c r="N366" s="6">
        <v>0.14799999999999999</v>
      </c>
      <c r="O366" s="6">
        <v>5.9200000000000003E-2</v>
      </c>
      <c r="P366" s="6">
        <v>0</v>
      </c>
      <c r="Q366" s="4" t="s">
        <v>26</v>
      </c>
      <c r="R366" s="4">
        <v>0</v>
      </c>
      <c r="S366" s="4" t="s">
        <v>260</v>
      </c>
      <c r="T366" s="4" t="s">
        <v>421</v>
      </c>
      <c r="U366" s="4">
        <v>0</v>
      </c>
      <c r="V366" s="4">
        <v>30</v>
      </c>
      <c r="W366" s="4">
        <v>74</v>
      </c>
    </row>
    <row r="367" spans="1:23" ht="11.25" customHeight="1" x14ac:dyDescent="0.25">
      <c r="A367" s="4" t="s">
        <v>57</v>
      </c>
      <c r="B367" s="4" t="s">
        <v>42</v>
      </c>
      <c r="C367" s="4" t="s">
        <v>23</v>
      </c>
      <c r="D367" s="4" t="s">
        <v>43</v>
      </c>
      <c r="E367" s="4" t="s">
        <v>54</v>
      </c>
      <c r="F367" s="4" t="s">
        <v>53</v>
      </c>
      <c r="G367" s="4" t="s">
        <v>25</v>
      </c>
      <c r="H367" s="4" t="s">
        <v>25</v>
      </c>
      <c r="I367" s="5">
        <v>44774</v>
      </c>
      <c r="J367" s="6">
        <v>0</v>
      </c>
      <c r="K367" s="6">
        <v>0</v>
      </c>
      <c r="L367" s="6">
        <v>0.14799999999999999</v>
      </c>
      <c r="M367" s="6">
        <v>5.9200000000000003E-2</v>
      </c>
      <c r="N367" s="6">
        <v>0.14799999999999999</v>
      </c>
      <c r="O367" s="6">
        <v>5.9200000000000003E-2</v>
      </c>
      <c r="P367" s="6">
        <v>0</v>
      </c>
      <c r="Q367" s="4" t="s">
        <v>26</v>
      </c>
      <c r="R367" s="4">
        <v>0</v>
      </c>
      <c r="S367" s="4" t="s">
        <v>261</v>
      </c>
      <c r="T367" s="4" t="s">
        <v>422</v>
      </c>
      <c r="U367" s="4">
        <v>0</v>
      </c>
      <c r="V367" s="4">
        <v>30</v>
      </c>
      <c r="W367" s="4">
        <v>74</v>
      </c>
    </row>
    <row r="368" spans="1:23" ht="11.25" customHeight="1" x14ac:dyDescent="0.25">
      <c r="A368" s="4" t="s">
        <v>21</v>
      </c>
      <c r="B368" s="4" t="s">
        <v>42</v>
      </c>
      <c r="C368" s="4" t="s">
        <v>23</v>
      </c>
      <c r="D368" s="4" t="s">
        <v>43</v>
      </c>
      <c r="E368" s="4" t="s">
        <v>25</v>
      </c>
      <c r="F368" s="4" t="s">
        <v>25</v>
      </c>
      <c r="G368" s="4" t="s">
        <v>25</v>
      </c>
      <c r="H368" s="4" t="s">
        <v>25</v>
      </c>
      <c r="I368" s="5">
        <v>44440</v>
      </c>
      <c r="J368" s="6">
        <v>0</v>
      </c>
      <c r="K368" s="6">
        <v>0</v>
      </c>
      <c r="L368" s="6">
        <v>1132.354</v>
      </c>
      <c r="M368" s="6">
        <v>1132.354</v>
      </c>
      <c r="N368" s="6">
        <v>1132.354</v>
      </c>
      <c r="O368" s="6">
        <v>1132.354</v>
      </c>
      <c r="P368" s="6">
        <v>2356</v>
      </c>
      <c r="Q368" s="4" t="s">
        <v>26</v>
      </c>
      <c r="R368" s="4">
        <v>0</v>
      </c>
      <c r="S368" s="4" t="s">
        <v>250</v>
      </c>
      <c r="T368" s="4" t="s">
        <v>411</v>
      </c>
      <c r="U368" s="4">
        <v>0</v>
      </c>
      <c r="V368" s="4">
        <v>30</v>
      </c>
      <c r="W368" s="4">
        <v>74</v>
      </c>
    </row>
    <row r="369" spans="1:23" ht="11.25" customHeight="1" x14ac:dyDescent="0.25">
      <c r="A369" s="4" t="s">
        <v>28</v>
      </c>
      <c r="B369" s="4" t="s">
        <v>42</v>
      </c>
      <c r="C369" s="4" t="s">
        <v>23</v>
      </c>
      <c r="D369" s="4" t="s">
        <v>43</v>
      </c>
      <c r="E369" s="4" t="s">
        <v>25</v>
      </c>
      <c r="F369" s="4" t="s">
        <v>25</v>
      </c>
      <c r="G369" s="4" t="s">
        <v>25</v>
      </c>
      <c r="H369" s="4" t="s">
        <v>25</v>
      </c>
      <c r="I369" s="5">
        <v>44440</v>
      </c>
      <c r="J369" s="6">
        <v>0</v>
      </c>
      <c r="K369" s="6">
        <v>0</v>
      </c>
      <c r="L369" s="6">
        <v>17.155000000000001</v>
      </c>
      <c r="M369" s="6">
        <v>17.155000000000001</v>
      </c>
      <c r="N369" s="6">
        <v>17.155000000000001</v>
      </c>
      <c r="O369" s="6">
        <v>17.155000000000001</v>
      </c>
      <c r="P369" s="6">
        <v>16</v>
      </c>
      <c r="Q369" s="4" t="s">
        <v>26</v>
      </c>
      <c r="R369" s="4">
        <v>0</v>
      </c>
      <c r="S369" s="4" t="s">
        <v>250</v>
      </c>
      <c r="T369" s="4" t="s">
        <v>411</v>
      </c>
      <c r="U369" s="4">
        <v>0</v>
      </c>
      <c r="V369" s="4">
        <v>30</v>
      </c>
      <c r="W369" s="4">
        <v>74</v>
      </c>
    </row>
    <row r="370" spans="1:23" ht="11.25" customHeight="1" x14ac:dyDescent="0.25">
      <c r="A370" s="4" t="s">
        <v>21</v>
      </c>
      <c r="B370" s="4" t="s">
        <v>42</v>
      </c>
      <c r="C370" s="4" t="s">
        <v>23</v>
      </c>
      <c r="D370" s="4" t="s">
        <v>43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44470</v>
      </c>
      <c r="J370" s="6">
        <v>0</v>
      </c>
      <c r="K370" s="6">
        <v>0</v>
      </c>
      <c r="L370" s="6">
        <v>1150.972</v>
      </c>
      <c r="M370" s="6">
        <v>1150.972</v>
      </c>
      <c r="N370" s="6">
        <v>1150.972</v>
      </c>
      <c r="O370" s="6">
        <v>1150.972</v>
      </c>
      <c r="P370" s="6">
        <v>2375</v>
      </c>
      <c r="Q370" s="4" t="s">
        <v>26</v>
      </c>
      <c r="R370" s="4">
        <v>0</v>
      </c>
      <c r="S370" s="4" t="s">
        <v>251</v>
      </c>
      <c r="T370" s="4" t="s">
        <v>412</v>
      </c>
      <c r="U370" s="4">
        <v>0</v>
      </c>
      <c r="V370" s="4">
        <v>30</v>
      </c>
      <c r="W370" s="4">
        <v>74</v>
      </c>
    </row>
    <row r="371" spans="1:23" ht="11.25" customHeight="1" x14ac:dyDescent="0.25">
      <c r="A371" s="4" t="s">
        <v>28</v>
      </c>
      <c r="B371" s="4" t="s">
        <v>42</v>
      </c>
      <c r="C371" s="4" t="s">
        <v>23</v>
      </c>
      <c r="D371" s="4" t="s">
        <v>43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44470</v>
      </c>
      <c r="J371" s="6">
        <v>0</v>
      </c>
      <c r="K371" s="6">
        <v>0</v>
      </c>
      <c r="L371" s="6">
        <v>22.286000000000001</v>
      </c>
      <c r="M371" s="6">
        <v>22.286000000000001</v>
      </c>
      <c r="N371" s="6">
        <v>22.286000000000001</v>
      </c>
      <c r="O371" s="6">
        <v>22.286000000000001</v>
      </c>
      <c r="P371" s="6">
        <v>15</v>
      </c>
      <c r="Q371" s="4" t="s">
        <v>26</v>
      </c>
      <c r="R371" s="4">
        <v>0</v>
      </c>
      <c r="S371" s="4" t="s">
        <v>251</v>
      </c>
      <c r="T371" s="4" t="s">
        <v>412</v>
      </c>
      <c r="U371" s="4">
        <v>0</v>
      </c>
      <c r="V371" s="4">
        <v>30</v>
      </c>
      <c r="W371" s="4">
        <v>74</v>
      </c>
    </row>
    <row r="372" spans="1:23" ht="11.25" customHeight="1" x14ac:dyDescent="0.25">
      <c r="A372" s="4" t="s">
        <v>21</v>
      </c>
      <c r="B372" s="4" t="s">
        <v>42</v>
      </c>
      <c r="C372" s="4" t="s">
        <v>23</v>
      </c>
      <c r="D372" s="4" t="s">
        <v>43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44501</v>
      </c>
      <c r="J372" s="6">
        <v>0</v>
      </c>
      <c r="K372" s="6">
        <v>0</v>
      </c>
      <c r="L372" s="6">
        <v>1227.769</v>
      </c>
      <c r="M372" s="6">
        <v>1227.769</v>
      </c>
      <c r="N372" s="6">
        <v>1227.769</v>
      </c>
      <c r="O372" s="6">
        <v>1227.769</v>
      </c>
      <c r="P372" s="6">
        <v>2374</v>
      </c>
      <c r="Q372" s="4" t="s">
        <v>26</v>
      </c>
      <c r="R372" s="4">
        <v>0</v>
      </c>
      <c r="S372" s="4" t="s">
        <v>252</v>
      </c>
      <c r="T372" s="4" t="s">
        <v>413</v>
      </c>
      <c r="U372" s="4">
        <v>0</v>
      </c>
      <c r="V372" s="4">
        <v>30</v>
      </c>
      <c r="W372" s="4">
        <v>74</v>
      </c>
    </row>
    <row r="373" spans="1:23" ht="11.25" customHeight="1" x14ac:dyDescent="0.25">
      <c r="A373" s="4" t="s">
        <v>28</v>
      </c>
      <c r="B373" s="4" t="s">
        <v>42</v>
      </c>
      <c r="C373" s="4" t="s">
        <v>23</v>
      </c>
      <c r="D373" s="4" t="s">
        <v>43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44501</v>
      </c>
      <c r="J373" s="6">
        <v>0</v>
      </c>
      <c r="K373" s="6">
        <v>0</v>
      </c>
      <c r="L373" s="6">
        <v>27.45</v>
      </c>
      <c r="M373" s="6">
        <v>27.45</v>
      </c>
      <c r="N373" s="6">
        <v>27.45</v>
      </c>
      <c r="O373" s="6">
        <v>27.45</v>
      </c>
      <c r="P373" s="6">
        <v>17</v>
      </c>
      <c r="Q373" s="4" t="s">
        <v>26</v>
      </c>
      <c r="R373" s="4">
        <v>0</v>
      </c>
      <c r="S373" s="4" t="s">
        <v>252</v>
      </c>
      <c r="T373" s="4" t="s">
        <v>413</v>
      </c>
      <c r="U373" s="4">
        <v>0</v>
      </c>
      <c r="V373" s="4">
        <v>30</v>
      </c>
      <c r="W373" s="4">
        <v>74</v>
      </c>
    </row>
    <row r="374" spans="1:23" ht="11.25" customHeight="1" x14ac:dyDescent="0.25">
      <c r="A374" s="4" t="s">
        <v>21</v>
      </c>
      <c r="B374" s="4" t="s">
        <v>42</v>
      </c>
      <c r="C374" s="4" t="s">
        <v>23</v>
      </c>
      <c r="D374" s="4" t="s">
        <v>43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44531</v>
      </c>
      <c r="J374" s="6">
        <v>0</v>
      </c>
      <c r="K374" s="6">
        <v>0</v>
      </c>
      <c r="L374" s="6">
        <v>1242.847</v>
      </c>
      <c r="M374" s="6">
        <v>1242.847</v>
      </c>
      <c r="N374" s="6">
        <v>1242.847</v>
      </c>
      <c r="O374" s="6">
        <v>1242.847</v>
      </c>
      <c r="P374" s="6">
        <v>2373</v>
      </c>
      <c r="Q374" s="4" t="s">
        <v>26</v>
      </c>
      <c r="R374" s="4">
        <v>0</v>
      </c>
      <c r="S374" s="4" t="s">
        <v>253</v>
      </c>
      <c r="T374" s="4" t="s">
        <v>414</v>
      </c>
      <c r="U374" s="4">
        <v>0</v>
      </c>
      <c r="V374" s="4">
        <v>30</v>
      </c>
      <c r="W374" s="4">
        <v>74</v>
      </c>
    </row>
    <row r="375" spans="1:23" ht="11.25" customHeight="1" x14ac:dyDescent="0.25">
      <c r="A375" s="4" t="s">
        <v>28</v>
      </c>
      <c r="B375" s="4" t="s">
        <v>42</v>
      </c>
      <c r="C375" s="4" t="s">
        <v>23</v>
      </c>
      <c r="D375" s="4" t="s">
        <v>43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44531</v>
      </c>
      <c r="J375" s="6">
        <v>0</v>
      </c>
      <c r="K375" s="6">
        <v>0</v>
      </c>
      <c r="L375" s="6">
        <v>10.256</v>
      </c>
      <c r="M375" s="6">
        <v>10.256</v>
      </c>
      <c r="N375" s="6">
        <v>10.256</v>
      </c>
      <c r="O375" s="6">
        <v>10.256</v>
      </c>
      <c r="P375" s="6">
        <v>17</v>
      </c>
      <c r="Q375" s="4" t="s">
        <v>26</v>
      </c>
      <c r="R375" s="4">
        <v>0</v>
      </c>
      <c r="S375" s="4" t="s">
        <v>253</v>
      </c>
      <c r="T375" s="4" t="s">
        <v>414</v>
      </c>
      <c r="U375" s="4">
        <v>0</v>
      </c>
      <c r="V375" s="4">
        <v>30</v>
      </c>
      <c r="W375" s="4">
        <v>74</v>
      </c>
    </row>
    <row r="376" spans="1:23" ht="11.25" customHeight="1" x14ac:dyDescent="0.25">
      <c r="A376" s="4" t="s">
        <v>21</v>
      </c>
      <c r="B376" s="4" t="s">
        <v>42</v>
      </c>
      <c r="C376" s="4" t="s">
        <v>23</v>
      </c>
      <c r="D376" s="4" t="s">
        <v>43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44562</v>
      </c>
      <c r="J376" s="6">
        <v>0</v>
      </c>
      <c r="K376" s="6">
        <v>0</v>
      </c>
      <c r="L376" s="6">
        <v>1551.222</v>
      </c>
      <c r="M376" s="6">
        <v>1551.222</v>
      </c>
      <c r="N376" s="6">
        <v>1551.222</v>
      </c>
      <c r="O376" s="6">
        <v>1551.222</v>
      </c>
      <c r="P376" s="6">
        <v>2371</v>
      </c>
      <c r="Q376" s="4" t="s">
        <v>26</v>
      </c>
      <c r="R376" s="4">
        <v>0</v>
      </c>
      <c r="S376" s="4" t="s">
        <v>254</v>
      </c>
      <c r="T376" s="4" t="s">
        <v>415</v>
      </c>
      <c r="U376" s="4">
        <v>0</v>
      </c>
      <c r="V376" s="4">
        <v>30</v>
      </c>
      <c r="W376" s="4">
        <v>74</v>
      </c>
    </row>
    <row r="377" spans="1:23" ht="11.25" customHeight="1" x14ac:dyDescent="0.25">
      <c r="A377" s="4" t="s">
        <v>27</v>
      </c>
      <c r="B377" s="4" t="s">
        <v>42</v>
      </c>
      <c r="C377" s="4" t="s">
        <v>23</v>
      </c>
      <c r="D377" s="4" t="s">
        <v>43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44562</v>
      </c>
      <c r="J377" s="6">
        <v>0</v>
      </c>
      <c r="K377" s="6">
        <v>0</v>
      </c>
      <c r="L377" s="6">
        <v>-71.263000000000005</v>
      </c>
      <c r="M377" s="6">
        <v>-71.263000000000005</v>
      </c>
      <c r="N377" s="6">
        <v>-71.263000000000005</v>
      </c>
      <c r="O377" s="6">
        <v>-71.263000000000005</v>
      </c>
      <c r="P377" s="6">
        <v>0</v>
      </c>
      <c r="Q377" s="4" t="s">
        <v>26</v>
      </c>
      <c r="R377" s="4">
        <v>0</v>
      </c>
      <c r="S377" s="4" t="s">
        <v>254</v>
      </c>
      <c r="T377" s="4" t="s">
        <v>415</v>
      </c>
      <c r="U377" s="4">
        <v>0</v>
      </c>
      <c r="V377" s="4">
        <v>30</v>
      </c>
      <c r="W377" s="4">
        <v>74</v>
      </c>
    </row>
    <row r="378" spans="1:23" ht="11.25" customHeight="1" x14ac:dyDescent="0.25">
      <c r="A378" s="4" t="s">
        <v>28</v>
      </c>
      <c r="B378" s="4" t="s">
        <v>42</v>
      </c>
      <c r="C378" s="4" t="s">
        <v>23</v>
      </c>
      <c r="D378" s="4" t="s">
        <v>43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44562</v>
      </c>
      <c r="J378" s="6">
        <v>0</v>
      </c>
      <c r="K378" s="6">
        <v>0</v>
      </c>
      <c r="L378" s="6">
        <v>15.025</v>
      </c>
      <c r="M378" s="6">
        <v>15.025</v>
      </c>
      <c r="N378" s="6">
        <v>15.025</v>
      </c>
      <c r="O378" s="6">
        <v>15.025</v>
      </c>
      <c r="P378" s="6">
        <v>18</v>
      </c>
      <c r="Q378" s="4" t="s">
        <v>26</v>
      </c>
      <c r="R378" s="4">
        <v>0</v>
      </c>
      <c r="S378" s="4" t="s">
        <v>254</v>
      </c>
      <c r="T378" s="4" t="s">
        <v>415</v>
      </c>
      <c r="U378" s="4">
        <v>0</v>
      </c>
      <c r="V378" s="4">
        <v>30</v>
      </c>
      <c r="W378" s="4">
        <v>74</v>
      </c>
    </row>
    <row r="379" spans="1:23" ht="11.25" customHeight="1" x14ac:dyDescent="0.25">
      <c r="A379" s="4" t="s">
        <v>21</v>
      </c>
      <c r="B379" s="4" t="s">
        <v>42</v>
      </c>
      <c r="C379" s="4" t="s">
        <v>23</v>
      </c>
      <c r="D379" s="4" t="s">
        <v>43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44593</v>
      </c>
      <c r="J379" s="6">
        <v>0</v>
      </c>
      <c r="K379" s="6">
        <v>0</v>
      </c>
      <c r="L379" s="6">
        <v>1418.7260000000001</v>
      </c>
      <c r="M379" s="6">
        <v>1418.7260000000001</v>
      </c>
      <c r="N379" s="6">
        <v>1418.7260000000001</v>
      </c>
      <c r="O379" s="6">
        <v>1418.7260000000001</v>
      </c>
      <c r="P379" s="6">
        <v>2364</v>
      </c>
      <c r="Q379" s="4" t="s">
        <v>26</v>
      </c>
      <c r="R379" s="4">
        <v>0</v>
      </c>
      <c r="S379" s="4" t="s">
        <v>255</v>
      </c>
      <c r="T379" s="4" t="s">
        <v>416</v>
      </c>
      <c r="U379" s="4">
        <v>0</v>
      </c>
      <c r="V379" s="4">
        <v>30</v>
      </c>
      <c r="W379" s="4">
        <v>74</v>
      </c>
    </row>
    <row r="380" spans="1:23" ht="11.25" customHeight="1" x14ac:dyDescent="0.25">
      <c r="A380" s="4" t="s">
        <v>28</v>
      </c>
      <c r="B380" s="4" t="s">
        <v>42</v>
      </c>
      <c r="C380" s="4" t="s">
        <v>23</v>
      </c>
      <c r="D380" s="4" t="s">
        <v>43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24.189</v>
      </c>
      <c r="M380" s="6">
        <v>24.189</v>
      </c>
      <c r="N380" s="6">
        <v>24.189</v>
      </c>
      <c r="O380" s="6">
        <v>24.189</v>
      </c>
      <c r="P380" s="6">
        <v>23</v>
      </c>
      <c r="Q380" s="4" t="s">
        <v>26</v>
      </c>
      <c r="R380" s="4">
        <v>0</v>
      </c>
      <c r="S380" s="4" t="s">
        <v>255</v>
      </c>
      <c r="T380" s="4" t="s">
        <v>416</v>
      </c>
      <c r="U380" s="4">
        <v>0</v>
      </c>
      <c r="V380" s="4">
        <v>30</v>
      </c>
      <c r="W380" s="4">
        <v>74</v>
      </c>
    </row>
    <row r="381" spans="1:23" ht="11.25" customHeight="1" x14ac:dyDescent="0.25">
      <c r="A381" s="4" t="s">
        <v>21</v>
      </c>
      <c r="B381" s="4" t="s">
        <v>42</v>
      </c>
      <c r="C381" s="4" t="s">
        <v>23</v>
      </c>
      <c r="D381" s="4" t="s">
        <v>43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1390.1510000000001</v>
      </c>
      <c r="M381" s="6">
        <v>1390.1510000000001</v>
      </c>
      <c r="N381" s="6">
        <v>1390.1510000000001</v>
      </c>
      <c r="O381" s="6">
        <v>1390.1510000000001</v>
      </c>
      <c r="P381" s="6">
        <v>2353</v>
      </c>
      <c r="Q381" s="4" t="s">
        <v>26</v>
      </c>
      <c r="R381" s="4">
        <v>0</v>
      </c>
      <c r="S381" s="4" t="s">
        <v>256</v>
      </c>
      <c r="T381" s="4" t="s">
        <v>417</v>
      </c>
      <c r="U381" s="4">
        <v>0</v>
      </c>
      <c r="V381" s="4">
        <v>30</v>
      </c>
      <c r="W381" s="4">
        <v>74</v>
      </c>
    </row>
    <row r="382" spans="1:23" ht="11.25" customHeight="1" x14ac:dyDescent="0.25">
      <c r="A382" s="4" t="s">
        <v>28</v>
      </c>
      <c r="B382" s="4" t="s">
        <v>42</v>
      </c>
      <c r="C382" s="4" t="s">
        <v>23</v>
      </c>
      <c r="D382" s="4" t="s">
        <v>43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70.018000000000001</v>
      </c>
      <c r="M382" s="6">
        <v>70.018000000000001</v>
      </c>
      <c r="N382" s="6">
        <v>70.018000000000001</v>
      </c>
      <c r="O382" s="6">
        <v>70.018000000000001</v>
      </c>
      <c r="P382" s="6">
        <v>25</v>
      </c>
      <c r="Q382" s="4" t="s">
        <v>26</v>
      </c>
      <c r="R382" s="4">
        <v>0</v>
      </c>
      <c r="S382" s="4" t="s">
        <v>256</v>
      </c>
      <c r="T382" s="4" t="s">
        <v>417</v>
      </c>
      <c r="U382" s="4">
        <v>0</v>
      </c>
      <c r="V382" s="4">
        <v>30</v>
      </c>
      <c r="W382" s="4">
        <v>74</v>
      </c>
    </row>
    <row r="383" spans="1:23" ht="11.25" customHeight="1" x14ac:dyDescent="0.25">
      <c r="A383" s="4" t="s">
        <v>21</v>
      </c>
      <c r="B383" s="4" t="s">
        <v>42</v>
      </c>
      <c r="C383" s="4" t="s">
        <v>23</v>
      </c>
      <c r="D383" s="4" t="s">
        <v>43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44652</v>
      </c>
      <c r="J383" s="6">
        <v>0</v>
      </c>
      <c r="K383" s="6">
        <v>0</v>
      </c>
      <c r="L383" s="6">
        <v>1138.578</v>
      </c>
      <c r="M383" s="6">
        <v>1138.578</v>
      </c>
      <c r="N383" s="6">
        <v>1138.578</v>
      </c>
      <c r="O383" s="6">
        <v>1138.578</v>
      </c>
      <c r="P383" s="6">
        <v>2330</v>
      </c>
      <c r="Q383" s="4" t="s">
        <v>26</v>
      </c>
      <c r="R383" s="4">
        <v>0</v>
      </c>
      <c r="S383" s="4" t="s">
        <v>257</v>
      </c>
      <c r="T383" s="4" t="s">
        <v>418</v>
      </c>
      <c r="U383" s="4">
        <v>0</v>
      </c>
      <c r="V383" s="4">
        <v>30</v>
      </c>
      <c r="W383" s="4">
        <v>74</v>
      </c>
    </row>
    <row r="384" spans="1:23" ht="11.25" customHeight="1" x14ac:dyDescent="0.25">
      <c r="A384" s="4" t="s">
        <v>28</v>
      </c>
      <c r="B384" s="4" t="s">
        <v>42</v>
      </c>
      <c r="C384" s="4" t="s">
        <v>23</v>
      </c>
      <c r="D384" s="4" t="s">
        <v>43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37.817</v>
      </c>
      <c r="M384" s="6">
        <v>37.817</v>
      </c>
      <c r="N384" s="6">
        <v>37.817</v>
      </c>
      <c r="O384" s="6">
        <v>37.817</v>
      </c>
      <c r="P384" s="6">
        <v>31</v>
      </c>
      <c r="Q384" s="4" t="s">
        <v>26</v>
      </c>
      <c r="R384" s="4">
        <v>0</v>
      </c>
      <c r="S384" s="4" t="s">
        <v>257</v>
      </c>
      <c r="T384" s="4" t="s">
        <v>418</v>
      </c>
      <c r="U384" s="4">
        <v>0</v>
      </c>
      <c r="V384" s="4">
        <v>30</v>
      </c>
      <c r="W384" s="4">
        <v>74</v>
      </c>
    </row>
    <row r="385" spans="1:23" ht="11.25" customHeight="1" x14ac:dyDescent="0.25">
      <c r="A385" s="4" t="s">
        <v>21</v>
      </c>
      <c r="B385" s="4" t="s">
        <v>42</v>
      </c>
      <c r="C385" s="4" t="s">
        <v>23</v>
      </c>
      <c r="D385" s="4" t="s">
        <v>43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44682</v>
      </c>
      <c r="J385" s="6">
        <v>0</v>
      </c>
      <c r="K385" s="6">
        <v>0</v>
      </c>
      <c r="L385" s="6">
        <v>951.43399999999997</v>
      </c>
      <c r="M385" s="6">
        <v>951.43399999999997</v>
      </c>
      <c r="N385" s="6">
        <v>951.43399999999997</v>
      </c>
      <c r="O385" s="6">
        <v>951.43399999999997</v>
      </c>
      <c r="P385" s="6">
        <v>2318</v>
      </c>
      <c r="Q385" s="4" t="s">
        <v>26</v>
      </c>
      <c r="R385" s="4">
        <v>0</v>
      </c>
      <c r="S385" s="4" t="s">
        <v>258</v>
      </c>
      <c r="T385" s="4" t="s">
        <v>419</v>
      </c>
      <c r="U385" s="4">
        <v>0</v>
      </c>
      <c r="V385" s="4">
        <v>30</v>
      </c>
      <c r="W385" s="4">
        <v>74</v>
      </c>
    </row>
    <row r="386" spans="1:23" ht="11.25" customHeight="1" x14ac:dyDescent="0.25">
      <c r="A386" s="4" t="s">
        <v>28</v>
      </c>
      <c r="B386" s="4" t="s">
        <v>42</v>
      </c>
      <c r="C386" s="4" t="s">
        <v>23</v>
      </c>
      <c r="D386" s="4" t="s">
        <v>43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45.685000000000002</v>
      </c>
      <c r="M386" s="6">
        <v>45.685000000000002</v>
      </c>
      <c r="N386" s="6">
        <v>45.685000000000002</v>
      </c>
      <c r="O386" s="6">
        <v>45.685000000000002</v>
      </c>
      <c r="P386" s="6">
        <v>37</v>
      </c>
      <c r="Q386" s="4" t="s">
        <v>26</v>
      </c>
      <c r="R386" s="4">
        <v>0</v>
      </c>
      <c r="S386" s="4" t="s">
        <v>258</v>
      </c>
      <c r="T386" s="4" t="s">
        <v>419</v>
      </c>
      <c r="U386" s="4">
        <v>0</v>
      </c>
      <c r="V386" s="4">
        <v>30</v>
      </c>
      <c r="W386" s="4">
        <v>74</v>
      </c>
    </row>
    <row r="387" spans="1:23" ht="11.25" customHeight="1" x14ac:dyDescent="0.25">
      <c r="A387" s="4" t="s">
        <v>21</v>
      </c>
      <c r="B387" s="4" t="s">
        <v>42</v>
      </c>
      <c r="C387" s="4" t="s">
        <v>23</v>
      </c>
      <c r="D387" s="4" t="s">
        <v>43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44713</v>
      </c>
      <c r="J387" s="6">
        <v>0</v>
      </c>
      <c r="K387" s="6">
        <v>0</v>
      </c>
      <c r="L387" s="6">
        <v>934.24300000000005</v>
      </c>
      <c r="M387" s="6">
        <v>934.24300000000005</v>
      </c>
      <c r="N387" s="6">
        <v>934.24300000000005</v>
      </c>
      <c r="O387" s="6">
        <v>934.24300000000005</v>
      </c>
      <c r="P387" s="6">
        <v>2318</v>
      </c>
      <c r="Q387" s="4" t="s">
        <v>26</v>
      </c>
      <c r="R387" s="4">
        <v>0</v>
      </c>
      <c r="S387" s="4" t="s">
        <v>259</v>
      </c>
      <c r="T387" s="4" t="s">
        <v>420</v>
      </c>
      <c r="U387" s="4">
        <v>0</v>
      </c>
      <c r="V387" s="4">
        <v>30</v>
      </c>
      <c r="W387" s="4">
        <v>74</v>
      </c>
    </row>
    <row r="388" spans="1:23" ht="11.25" customHeight="1" x14ac:dyDescent="0.25">
      <c r="A388" s="4" t="s">
        <v>28</v>
      </c>
      <c r="B388" s="4" t="s">
        <v>42</v>
      </c>
      <c r="C388" s="4" t="s">
        <v>23</v>
      </c>
      <c r="D388" s="4" t="s">
        <v>43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29.890999999999998</v>
      </c>
      <c r="M388" s="6">
        <v>29.890999999999998</v>
      </c>
      <c r="N388" s="6">
        <v>29.890999999999998</v>
      </c>
      <c r="O388" s="6">
        <v>29.890999999999998</v>
      </c>
      <c r="P388" s="6">
        <v>41</v>
      </c>
      <c r="Q388" s="4" t="s">
        <v>26</v>
      </c>
      <c r="R388" s="4">
        <v>0</v>
      </c>
      <c r="S388" s="4" t="s">
        <v>259</v>
      </c>
      <c r="T388" s="4" t="s">
        <v>420</v>
      </c>
      <c r="U388" s="4">
        <v>0</v>
      </c>
      <c r="V388" s="4">
        <v>30</v>
      </c>
      <c r="W388" s="4">
        <v>74</v>
      </c>
    </row>
    <row r="389" spans="1:23" ht="11.25" customHeight="1" x14ac:dyDescent="0.25">
      <c r="A389" s="4" t="s">
        <v>21</v>
      </c>
      <c r="B389" s="4" t="s">
        <v>42</v>
      </c>
      <c r="C389" s="4" t="s">
        <v>23</v>
      </c>
      <c r="D389" s="4" t="s">
        <v>43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44743</v>
      </c>
      <c r="J389" s="6">
        <v>0</v>
      </c>
      <c r="K389" s="6">
        <v>0</v>
      </c>
      <c r="L389" s="6">
        <v>938.06500000000005</v>
      </c>
      <c r="M389" s="6">
        <v>938.06500000000005</v>
      </c>
      <c r="N389" s="6">
        <v>938.06500000000005</v>
      </c>
      <c r="O389" s="6">
        <v>938.06500000000005</v>
      </c>
      <c r="P389" s="6">
        <v>2303</v>
      </c>
      <c r="Q389" s="4" t="s">
        <v>26</v>
      </c>
      <c r="R389" s="4">
        <v>0</v>
      </c>
      <c r="S389" s="4" t="s">
        <v>260</v>
      </c>
      <c r="T389" s="4" t="s">
        <v>421</v>
      </c>
      <c r="U389" s="4">
        <v>0</v>
      </c>
      <c r="V389" s="4">
        <v>30</v>
      </c>
      <c r="W389" s="4">
        <v>74</v>
      </c>
    </row>
    <row r="390" spans="1:23" ht="11.25" customHeight="1" x14ac:dyDescent="0.25">
      <c r="A390" s="4" t="s">
        <v>27</v>
      </c>
      <c r="B390" s="4" t="s">
        <v>42</v>
      </c>
      <c r="C390" s="4" t="s">
        <v>23</v>
      </c>
      <c r="D390" s="4" t="s">
        <v>43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44743</v>
      </c>
      <c r="J390" s="6">
        <v>0</v>
      </c>
      <c r="K390" s="6">
        <v>0</v>
      </c>
      <c r="L390" s="6">
        <v>-0.17199999999999999</v>
      </c>
      <c r="M390" s="6">
        <v>-0.17199999999999999</v>
      </c>
      <c r="N390" s="6">
        <v>-0.17199999999999999</v>
      </c>
      <c r="O390" s="6">
        <v>-0.17199999999999999</v>
      </c>
      <c r="P390" s="6">
        <v>0</v>
      </c>
      <c r="Q390" s="4" t="s">
        <v>26</v>
      </c>
      <c r="R390" s="4">
        <v>0</v>
      </c>
      <c r="S390" s="4" t="s">
        <v>260</v>
      </c>
      <c r="T390" s="4" t="s">
        <v>421</v>
      </c>
      <c r="U390" s="4">
        <v>0</v>
      </c>
      <c r="V390" s="4">
        <v>30</v>
      </c>
      <c r="W390" s="4">
        <v>74</v>
      </c>
    </row>
    <row r="391" spans="1:23" ht="11.25" customHeight="1" x14ac:dyDescent="0.25">
      <c r="A391" s="4" t="s">
        <v>28</v>
      </c>
      <c r="B391" s="4" t="s">
        <v>42</v>
      </c>
      <c r="C391" s="4" t="s">
        <v>23</v>
      </c>
      <c r="D391" s="4" t="s">
        <v>43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44743</v>
      </c>
      <c r="J391" s="6">
        <v>0</v>
      </c>
      <c r="K391" s="6">
        <v>0</v>
      </c>
      <c r="L391" s="6">
        <v>35.591999999999999</v>
      </c>
      <c r="M391" s="6">
        <v>35.591999999999999</v>
      </c>
      <c r="N391" s="6">
        <v>35.591999999999999</v>
      </c>
      <c r="O391" s="6">
        <v>35.591999999999999</v>
      </c>
      <c r="P391" s="6">
        <v>49</v>
      </c>
      <c r="Q391" s="4" t="s">
        <v>26</v>
      </c>
      <c r="R391" s="4">
        <v>0</v>
      </c>
      <c r="S391" s="4" t="s">
        <v>260</v>
      </c>
      <c r="T391" s="4" t="s">
        <v>421</v>
      </c>
      <c r="U391" s="4">
        <v>0</v>
      </c>
      <c r="V391" s="4">
        <v>30</v>
      </c>
      <c r="W391" s="4">
        <v>74</v>
      </c>
    </row>
    <row r="392" spans="1:23" ht="11.25" customHeight="1" x14ac:dyDescent="0.25">
      <c r="A392" s="4" t="s">
        <v>57</v>
      </c>
      <c r="B392" s="4" t="s">
        <v>42</v>
      </c>
      <c r="C392" s="4" t="s">
        <v>23</v>
      </c>
      <c r="D392" s="4" t="s">
        <v>43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44774</v>
      </c>
      <c r="J392" s="6">
        <v>0</v>
      </c>
      <c r="K392" s="6">
        <v>0</v>
      </c>
      <c r="L392" s="6">
        <v>938.06500000000005</v>
      </c>
      <c r="M392" s="6">
        <v>938.06500000000005</v>
      </c>
      <c r="N392" s="6">
        <v>938.06500000000005</v>
      </c>
      <c r="O392" s="6">
        <v>938.06500000000005</v>
      </c>
      <c r="P392" s="6">
        <v>2303</v>
      </c>
      <c r="Q392" s="4" t="s">
        <v>26</v>
      </c>
      <c r="R392" s="4">
        <v>0</v>
      </c>
      <c r="S392" s="4" t="s">
        <v>261</v>
      </c>
      <c r="T392" s="4" t="s">
        <v>422</v>
      </c>
      <c r="U392" s="4">
        <v>0</v>
      </c>
      <c r="V392" s="4">
        <v>30</v>
      </c>
      <c r="W392" s="4">
        <v>74</v>
      </c>
    </row>
    <row r="393" spans="1:23" ht="11.25" customHeight="1" x14ac:dyDescent="0.25">
      <c r="A393" s="4" t="s">
        <v>57</v>
      </c>
      <c r="B393" s="4" t="s">
        <v>42</v>
      </c>
      <c r="C393" s="4" t="s">
        <v>23</v>
      </c>
      <c r="D393" s="4" t="s">
        <v>43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44774</v>
      </c>
      <c r="J393" s="6">
        <v>0</v>
      </c>
      <c r="K393" s="6">
        <v>0</v>
      </c>
      <c r="L393" s="6">
        <v>-0.17199999999999999</v>
      </c>
      <c r="M393" s="6">
        <v>-0.17199999999999999</v>
      </c>
      <c r="N393" s="6">
        <v>-0.17199999999999999</v>
      </c>
      <c r="O393" s="6">
        <v>-0.17199999999999999</v>
      </c>
      <c r="P393" s="6">
        <v>0</v>
      </c>
      <c r="Q393" s="4" t="s">
        <v>26</v>
      </c>
      <c r="R393" s="4">
        <v>0</v>
      </c>
      <c r="S393" s="4" t="s">
        <v>261</v>
      </c>
      <c r="T393" s="4" t="s">
        <v>422</v>
      </c>
      <c r="U393" s="4">
        <v>0</v>
      </c>
      <c r="V393" s="4">
        <v>30</v>
      </c>
      <c r="W393" s="4">
        <v>74</v>
      </c>
    </row>
    <row r="394" spans="1:23" ht="11.25" customHeight="1" x14ac:dyDescent="0.25">
      <c r="A394" s="4" t="s">
        <v>57</v>
      </c>
      <c r="B394" s="4" t="s">
        <v>42</v>
      </c>
      <c r="C394" s="4" t="s">
        <v>23</v>
      </c>
      <c r="D394" s="4" t="s">
        <v>43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35.591999999999999</v>
      </c>
      <c r="M394" s="6">
        <v>35.591999999999999</v>
      </c>
      <c r="N394" s="6">
        <v>35.591999999999999</v>
      </c>
      <c r="O394" s="6">
        <v>35.591999999999999</v>
      </c>
      <c r="P394" s="6">
        <v>49</v>
      </c>
      <c r="Q394" s="4" t="s">
        <v>26</v>
      </c>
      <c r="R394" s="4">
        <v>0</v>
      </c>
      <c r="S394" s="4" t="s">
        <v>261</v>
      </c>
      <c r="T394" s="4" t="s">
        <v>422</v>
      </c>
      <c r="U394" s="4">
        <v>0</v>
      </c>
      <c r="V394" s="4">
        <v>30</v>
      </c>
      <c r="W394" s="4">
        <v>74</v>
      </c>
    </row>
    <row r="395" spans="1:23" ht="11.25" customHeight="1" x14ac:dyDescent="0.25">
      <c r="A395" s="4" t="s">
        <v>21</v>
      </c>
      <c r="B395" s="4" t="s">
        <v>33</v>
      </c>
      <c r="C395" s="4" t="s">
        <v>23</v>
      </c>
      <c r="D395" s="4" t="s">
        <v>41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44440</v>
      </c>
      <c r="J395" s="6">
        <v>0</v>
      </c>
      <c r="K395" s="6">
        <v>0</v>
      </c>
      <c r="L395" s="6">
        <v>1024.357</v>
      </c>
      <c r="M395" s="6">
        <v>1024.357</v>
      </c>
      <c r="N395" s="6">
        <v>1024.357</v>
      </c>
      <c r="O395" s="6">
        <v>1024.357</v>
      </c>
      <c r="P395" s="6">
        <v>1641</v>
      </c>
      <c r="Q395" s="4" t="s">
        <v>26</v>
      </c>
      <c r="R395" s="4">
        <v>0</v>
      </c>
      <c r="S395" s="4" t="s">
        <v>262</v>
      </c>
      <c r="T395" s="4" t="s">
        <v>423</v>
      </c>
      <c r="U395" s="4">
        <v>0</v>
      </c>
      <c r="V395" s="4">
        <v>26</v>
      </c>
      <c r="W395" s="4">
        <v>75</v>
      </c>
    </row>
    <row r="396" spans="1:23" ht="11.25" customHeight="1" x14ac:dyDescent="0.25">
      <c r="A396" s="4" t="s">
        <v>28</v>
      </c>
      <c r="B396" s="4" t="s">
        <v>33</v>
      </c>
      <c r="C396" s="4" t="s">
        <v>23</v>
      </c>
      <c r="D396" s="4" t="s">
        <v>41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44440</v>
      </c>
      <c r="J396" s="6">
        <v>0</v>
      </c>
      <c r="K396" s="6">
        <v>0</v>
      </c>
      <c r="L396" s="6">
        <v>0.49</v>
      </c>
      <c r="M396" s="6">
        <v>0.49</v>
      </c>
      <c r="N396" s="6">
        <v>0.49</v>
      </c>
      <c r="O396" s="6">
        <v>0.49</v>
      </c>
      <c r="P396" s="6">
        <v>4</v>
      </c>
      <c r="Q396" s="4" t="s">
        <v>26</v>
      </c>
      <c r="R396" s="4">
        <v>0</v>
      </c>
      <c r="S396" s="4" t="s">
        <v>262</v>
      </c>
      <c r="T396" s="4" t="s">
        <v>423</v>
      </c>
      <c r="U396" s="4">
        <v>0</v>
      </c>
      <c r="V396" s="4">
        <v>26</v>
      </c>
      <c r="W396" s="4">
        <v>75</v>
      </c>
    </row>
    <row r="397" spans="1:23" ht="11.25" customHeight="1" x14ac:dyDescent="0.25">
      <c r="A397" s="4" t="s">
        <v>21</v>
      </c>
      <c r="B397" s="4" t="s">
        <v>33</v>
      </c>
      <c r="C397" s="4" t="s">
        <v>23</v>
      </c>
      <c r="D397" s="4" t="s">
        <v>41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44470</v>
      </c>
      <c r="J397" s="6">
        <v>0</v>
      </c>
      <c r="K397" s="6">
        <v>0</v>
      </c>
      <c r="L397" s="6">
        <v>1033.7429999999999</v>
      </c>
      <c r="M397" s="6">
        <v>1033.7429999999999</v>
      </c>
      <c r="N397" s="6">
        <v>1033.7429999999999</v>
      </c>
      <c r="O397" s="6">
        <v>1033.7429999999999</v>
      </c>
      <c r="P397" s="6">
        <v>1652</v>
      </c>
      <c r="Q397" s="4" t="s">
        <v>26</v>
      </c>
      <c r="R397" s="4">
        <v>0</v>
      </c>
      <c r="S397" s="4" t="s">
        <v>263</v>
      </c>
      <c r="T397" s="4" t="s">
        <v>424</v>
      </c>
      <c r="U397" s="4">
        <v>0</v>
      </c>
      <c r="V397" s="4">
        <v>26</v>
      </c>
      <c r="W397" s="4">
        <v>75</v>
      </c>
    </row>
    <row r="398" spans="1:23" ht="11.25" customHeight="1" x14ac:dyDescent="0.25">
      <c r="A398" s="4" t="s">
        <v>28</v>
      </c>
      <c r="B398" s="4" t="s">
        <v>33</v>
      </c>
      <c r="C398" s="4" t="s">
        <v>23</v>
      </c>
      <c r="D398" s="4" t="s">
        <v>41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44470</v>
      </c>
      <c r="J398" s="6">
        <v>0</v>
      </c>
      <c r="K398" s="6">
        <v>0</v>
      </c>
      <c r="L398" s="6">
        <v>0.69899999999999995</v>
      </c>
      <c r="M398" s="6">
        <v>0.69899999999999995</v>
      </c>
      <c r="N398" s="6">
        <v>0.69899999999999995</v>
      </c>
      <c r="O398" s="6">
        <v>0.69899999999999995</v>
      </c>
      <c r="P398" s="6">
        <v>4</v>
      </c>
      <c r="Q398" s="4" t="s">
        <v>26</v>
      </c>
      <c r="R398" s="4">
        <v>0</v>
      </c>
      <c r="S398" s="4" t="s">
        <v>263</v>
      </c>
      <c r="T398" s="4" t="s">
        <v>424</v>
      </c>
      <c r="U398" s="4">
        <v>0</v>
      </c>
      <c r="V398" s="4">
        <v>26</v>
      </c>
      <c r="W398" s="4">
        <v>75</v>
      </c>
    </row>
    <row r="399" spans="1:23" ht="11.25" customHeight="1" x14ac:dyDescent="0.25">
      <c r="A399" s="4" t="s">
        <v>21</v>
      </c>
      <c r="B399" s="4" t="s">
        <v>33</v>
      </c>
      <c r="C399" s="4" t="s">
        <v>23</v>
      </c>
      <c r="D399" s="4" t="s">
        <v>41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44501</v>
      </c>
      <c r="J399" s="6">
        <v>0</v>
      </c>
      <c r="K399" s="6">
        <v>0</v>
      </c>
      <c r="L399" s="6">
        <v>1053.56</v>
      </c>
      <c r="M399" s="6">
        <v>1053.56</v>
      </c>
      <c r="N399" s="6">
        <v>1053.56</v>
      </c>
      <c r="O399" s="6">
        <v>1053.56</v>
      </c>
      <c r="P399" s="6">
        <v>1653</v>
      </c>
      <c r="Q399" s="4" t="s">
        <v>26</v>
      </c>
      <c r="R399" s="4">
        <v>0</v>
      </c>
      <c r="S399" s="4" t="s">
        <v>264</v>
      </c>
      <c r="T399" s="4" t="s">
        <v>425</v>
      </c>
      <c r="U399" s="4">
        <v>0</v>
      </c>
      <c r="V399" s="4">
        <v>26</v>
      </c>
      <c r="W399" s="4">
        <v>75</v>
      </c>
    </row>
    <row r="400" spans="1:23" ht="11.25" customHeight="1" x14ac:dyDescent="0.25">
      <c r="A400" s="4" t="s">
        <v>27</v>
      </c>
      <c r="B400" s="4" t="s">
        <v>33</v>
      </c>
      <c r="C400" s="4" t="s">
        <v>23</v>
      </c>
      <c r="D400" s="4" t="s">
        <v>41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44501</v>
      </c>
      <c r="J400" s="6">
        <v>0</v>
      </c>
      <c r="K400" s="6">
        <v>0</v>
      </c>
      <c r="L400" s="6">
        <v>0.08</v>
      </c>
      <c r="M400" s="6">
        <v>0.08</v>
      </c>
      <c r="N400" s="6">
        <v>0.08</v>
      </c>
      <c r="O400" s="6">
        <v>0.08</v>
      </c>
      <c r="P400" s="6">
        <v>0</v>
      </c>
      <c r="Q400" s="4" t="s">
        <v>26</v>
      </c>
      <c r="R400" s="4">
        <v>0</v>
      </c>
      <c r="S400" s="4" t="s">
        <v>264</v>
      </c>
      <c r="T400" s="4" t="s">
        <v>425</v>
      </c>
      <c r="U400" s="4">
        <v>0</v>
      </c>
      <c r="V400" s="4">
        <v>26</v>
      </c>
      <c r="W400" s="4">
        <v>75</v>
      </c>
    </row>
    <row r="401" spans="1:23" ht="11.25" customHeight="1" x14ac:dyDescent="0.25">
      <c r="A401" s="4" t="s">
        <v>28</v>
      </c>
      <c r="B401" s="4" t="s">
        <v>33</v>
      </c>
      <c r="C401" s="4" t="s">
        <v>23</v>
      </c>
      <c r="D401" s="4" t="s">
        <v>41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44501</v>
      </c>
      <c r="J401" s="6">
        <v>0</v>
      </c>
      <c r="K401" s="6">
        <v>0</v>
      </c>
      <c r="L401" s="6">
        <v>0.43</v>
      </c>
      <c r="M401" s="6">
        <v>0.43</v>
      </c>
      <c r="N401" s="6">
        <v>0.43</v>
      </c>
      <c r="O401" s="6">
        <v>0.43</v>
      </c>
      <c r="P401" s="6">
        <v>5</v>
      </c>
      <c r="Q401" s="4" t="s">
        <v>26</v>
      </c>
      <c r="R401" s="4">
        <v>0</v>
      </c>
      <c r="S401" s="4" t="s">
        <v>264</v>
      </c>
      <c r="T401" s="4" t="s">
        <v>425</v>
      </c>
      <c r="U401" s="4">
        <v>0</v>
      </c>
      <c r="V401" s="4">
        <v>26</v>
      </c>
      <c r="W401" s="4">
        <v>75</v>
      </c>
    </row>
    <row r="402" spans="1:23" ht="11.25" customHeight="1" x14ac:dyDescent="0.25">
      <c r="A402" s="4" t="s">
        <v>21</v>
      </c>
      <c r="B402" s="4" t="s">
        <v>33</v>
      </c>
      <c r="C402" s="4" t="s">
        <v>23</v>
      </c>
      <c r="D402" s="4" t="s">
        <v>41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44531</v>
      </c>
      <c r="J402" s="6">
        <v>0</v>
      </c>
      <c r="K402" s="6">
        <v>0</v>
      </c>
      <c r="L402" s="6">
        <v>1147.079</v>
      </c>
      <c r="M402" s="6">
        <v>1147.079</v>
      </c>
      <c r="N402" s="6">
        <v>1147.079</v>
      </c>
      <c r="O402" s="6">
        <v>1147.079</v>
      </c>
      <c r="P402" s="6">
        <v>1660</v>
      </c>
      <c r="Q402" s="4" t="s">
        <v>26</v>
      </c>
      <c r="R402" s="4">
        <v>0</v>
      </c>
      <c r="S402" s="4" t="s">
        <v>265</v>
      </c>
      <c r="T402" s="4" t="s">
        <v>426</v>
      </c>
      <c r="U402" s="4">
        <v>0</v>
      </c>
      <c r="V402" s="4">
        <v>26</v>
      </c>
      <c r="W402" s="4">
        <v>75</v>
      </c>
    </row>
    <row r="403" spans="1:23" ht="11.25" customHeight="1" x14ac:dyDescent="0.25">
      <c r="A403" s="4" t="s">
        <v>27</v>
      </c>
      <c r="B403" s="4" t="s">
        <v>33</v>
      </c>
      <c r="C403" s="4" t="s">
        <v>23</v>
      </c>
      <c r="D403" s="4" t="s">
        <v>41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44531</v>
      </c>
      <c r="J403" s="6">
        <v>0</v>
      </c>
      <c r="K403" s="6">
        <v>0</v>
      </c>
      <c r="L403" s="6">
        <v>-0.29899999999999999</v>
      </c>
      <c r="M403" s="6">
        <v>-0.29899999999999999</v>
      </c>
      <c r="N403" s="6">
        <v>-0.29899999999999999</v>
      </c>
      <c r="O403" s="6">
        <v>-0.29899999999999999</v>
      </c>
      <c r="P403" s="6">
        <v>0</v>
      </c>
      <c r="Q403" s="4" t="s">
        <v>26</v>
      </c>
      <c r="R403" s="4">
        <v>0</v>
      </c>
      <c r="S403" s="4" t="s">
        <v>265</v>
      </c>
      <c r="T403" s="4" t="s">
        <v>426</v>
      </c>
      <c r="U403" s="4">
        <v>0</v>
      </c>
      <c r="V403" s="4">
        <v>26</v>
      </c>
      <c r="W403" s="4">
        <v>75</v>
      </c>
    </row>
    <row r="404" spans="1:23" ht="11.25" customHeight="1" x14ac:dyDescent="0.25">
      <c r="A404" s="4" t="s">
        <v>28</v>
      </c>
      <c r="B404" s="4" t="s">
        <v>33</v>
      </c>
      <c r="C404" s="4" t="s">
        <v>23</v>
      </c>
      <c r="D404" s="4" t="s">
        <v>41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44531</v>
      </c>
      <c r="J404" s="6">
        <v>0</v>
      </c>
      <c r="K404" s="6">
        <v>0</v>
      </c>
      <c r="L404" s="6">
        <v>0.43</v>
      </c>
      <c r="M404" s="6">
        <v>0.43</v>
      </c>
      <c r="N404" s="6">
        <v>0.43</v>
      </c>
      <c r="O404" s="6">
        <v>0.43</v>
      </c>
      <c r="P404" s="6">
        <v>5</v>
      </c>
      <c r="Q404" s="4" t="s">
        <v>26</v>
      </c>
      <c r="R404" s="4">
        <v>0</v>
      </c>
      <c r="S404" s="4" t="s">
        <v>265</v>
      </c>
      <c r="T404" s="4" t="s">
        <v>426</v>
      </c>
      <c r="U404" s="4">
        <v>0</v>
      </c>
      <c r="V404" s="4">
        <v>26</v>
      </c>
      <c r="W404" s="4">
        <v>75</v>
      </c>
    </row>
    <row r="405" spans="1:23" ht="11.25" customHeight="1" x14ac:dyDescent="0.25">
      <c r="A405" s="4" t="s">
        <v>21</v>
      </c>
      <c r="B405" s="4" t="s">
        <v>33</v>
      </c>
      <c r="C405" s="4" t="s">
        <v>23</v>
      </c>
      <c r="D405" s="4" t="s">
        <v>41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44562</v>
      </c>
      <c r="J405" s="6">
        <v>0</v>
      </c>
      <c r="K405" s="6">
        <v>0</v>
      </c>
      <c r="L405" s="6">
        <v>1327.3530000000001</v>
      </c>
      <c r="M405" s="6">
        <v>1327.3530000000001</v>
      </c>
      <c r="N405" s="6">
        <v>1327.3530000000001</v>
      </c>
      <c r="O405" s="6">
        <v>1327.3530000000001</v>
      </c>
      <c r="P405" s="6">
        <v>1661</v>
      </c>
      <c r="Q405" s="4" t="s">
        <v>26</v>
      </c>
      <c r="R405" s="4">
        <v>0</v>
      </c>
      <c r="S405" s="4" t="s">
        <v>266</v>
      </c>
      <c r="T405" s="4" t="s">
        <v>427</v>
      </c>
      <c r="U405" s="4">
        <v>0</v>
      </c>
      <c r="V405" s="4">
        <v>26</v>
      </c>
      <c r="W405" s="4">
        <v>75</v>
      </c>
    </row>
    <row r="406" spans="1:23" ht="11.25" customHeight="1" x14ac:dyDescent="0.25">
      <c r="A406" s="4" t="s">
        <v>27</v>
      </c>
      <c r="B406" s="4" t="s">
        <v>33</v>
      </c>
      <c r="C406" s="4" t="s">
        <v>23</v>
      </c>
      <c r="D406" s="4" t="s">
        <v>41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44562</v>
      </c>
      <c r="J406" s="6">
        <v>0</v>
      </c>
      <c r="K406" s="6">
        <v>0</v>
      </c>
      <c r="L406" s="6">
        <v>-9.4E-2</v>
      </c>
      <c r="M406" s="6">
        <v>-9.4E-2</v>
      </c>
      <c r="N406" s="6">
        <v>-9.4E-2</v>
      </c>
      <c r="O406" s="6">
        <v>-9.4E-2</v>
      </c>
      <c r="P406" s="6">
        <v>0</v>
      </c>
      <c r="Q406" s="4" t="s">
        <v>26</v>
      </c>
      <c r="R406" s="4">
        <v>0</v>
      </c>
      <c r="S406" s="4" t="s">
        <v>266</v>
      </c>
      <c r="T406" s="4" t="s">
        <v>427</v>
      </c>
      <c r="U406" s="4">
        <v>0</v>
      </c>
      <c r="V406" s="4">
        <v>26</v>
      </c>
      <c r="W406" s="4">
        <v>75</v>
      </c>
    </row>
    <row r="407" spans="1:23" ht="11.25" customHeight="1" x14ac:dyDescent="0.25">
      <c r="A407" s="4" t="s">
        <v>28</v>
      </c>
      <c r="B407" s="4" t="s">
        <v>33</v>
      </c>
      <c r="C407" s="4" t="s">
        <v>23</v>
      </c>
      <c r="D407" s="4" t="s">
        <v>41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44562</v>
      </c>
      <c r="J407" s="6">
        <v>0</v>
      </c>
      <c r="K407" s="6">
        <v>0</v>
      </c>
      <c r="L407" s="6">
        <v>0.53</v>
      </c>
      <c r="M407" s="6">
        <v>0.53</v>
      </c>
      <c r="N407" s="6">
        <v>0.53</v>
      </c>
      <c r="O407" s="6">
        <v>0.53</v>
      </c>
      <c r="P407" s="6">
        <v>6</v>
      </c>
      <c r="Q407" s="4" t="s">
        <v>26</v>
      </c>
      <c r="R407" s="4">
        <v>0</v>
      </c>
      <c r="S407" s="4" t="s">
        <v>266</v>
      </c>
      <c r="T407" s="4" t="s">
        <v>427</v>
      </c>
      <c r="U407" s="4">
        <v>0</v>
      </c>
      <c r="V407" s="4">
        <v>26</v>
      </c>
      <c r="W407" s="4">
        <v>75</v>
      </c>
    </row>
    <row r="408" spans="1:23" ht="11.25" customHeight="1" x14ac:dyDescent="0.25">
      <c r="A408" s="4" t="s">
        <v>21</v>
      </c>
      <c r="B408" s="4" t="s">
        <v>33</v>
      </c>
      <c r="C408" s="4" t="s">
        <v>23</v>
      </c>
      <c r="D408" s="4" t="s">
        <v>41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44593</v>
      </c>
      <c r="J408" s="6">
        <v>0</v>
      </c>
      <c r="K408" s="6">
        <v>0</v>
      </c>
      <c r="L408" s="6">
        <v>1387.9159999999999</v>
      </c>
      <c r="M408" s="6">
        <v>1387.9159999999999</v>
      </c>
      <c r="N408" s="6">
        <v>1387.9159999999999</v>
      </c>
      <c r="O408" s="6">
        <v>1387.9159999999999</v>
      </c>
      <c r="P408" s="6">
        <v>1662</v>
      </c>
      <c r="Q408" s="4" t="s">
        <v>26</v>
      </c>
      <c r="R408" s="4">
        <v>0</v>
      </c>
      <c r="S408" s="4" t="s">
        <v>267</v>
      </c>
      <c r="T408" s="4" t="s">
        <v>428</v>
      </c>
      <c r="U408" s="4">
        <v>0</v>
      </c>
      <c r="V408" s="4">
        <v>26</v>
      </c>
      <c r="W408" s="4">
        <v>75</v>
      </c>
    </row>
    <row r="409" spans="1:23" ht="11.25" customHeight="1" x14ac:dyDescent="0.25">
      <c r="A409" s="4" t="s">
        <v>27</v>
      </c>
      <c r="B409" s="4" t="s">
        <v>33</v>
      </c>
      <c r="C409" s="4" t="s">
        <v>23</v>
      </c>
      <c r="D409" s="4" t="s">
        <v>41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44593</v>
      </c>
      <c r="J409" s="6">
        <v>0</v>
      </c>
      <c r="K409" s="6">
        <v>0</v>
      </c>
      <c r="L409" s="6">
        <v>-4.7750000000000004</v>
      </c>
      <c r="M409" s="6">
        <v>-4.7750000000000004</v>
      </c>
      <c r="N409" s="6">
        <v>-4.7750000000000004</v>
      </c>
      <c r="O409" s="6">
        <v>-4.7750000000000004</v>
      </c>
      <c r="P409" s="6">
        <v>0</v>
      </c>
      <c r="Q409" s="4" t="s">
        <v>26</v>
      </c>
      <c r="R409" s="4">
        <v>0</v>
      </c>
      <c r="S409" s="4" t="s">
        <v>267</v>
      </c>
      <c r="T409" s="4" t="s">
        <v>428</v>
      </c>
      <c r="U409" s="4">
        <v>0</v>
      </c>
      <c r="V409" s="4">
        <v>26</v>
      </c>
      <c r="W409" s="4">
        <v>75</v>
      </c>
    </row>
    <row r="410" spans="1:23" ht="11.25" customHeight="1" x14ac:dyDescent="0.25">
      <c r="A410" s="4" t="s">
        <v>28</v>
      </c>
      <c r="B410" s="4" t="s">
        <v>33</v>
      </c>
      <c r="C410" s="4" t="s">
        <v>23</v>
      </c>
      <c r="D410" s="4" t="s">
        <v>41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0.79</v>
      </c>
      <c r="M410" s="6">
        <v>0.79</v>
      </c>
      <c r="N410" s="6">
        <v>0.79</v>
      </c>
      <c r="O410" s="6">
        <v>0.79</v>
      </c>
      <c r="P410" s="6">
        <v>6</v>
      </c>
      <c r="Q410" s="4" t="s">
        <v>26</v>
      </c>
      <c r="R410" s="4">
        <v>0</v>
      </c>
      <c r="S410" s="4" t="s">
        <v>267</v>
      </c>
      <c r="T410" s="4" t="s">
        <v>428</v>
      </c>
      <c r="U410" s="4">
        <v>0</v>
      </c>
      <c r="V410" s="4">
        <v>26</v>
      </c>
      <c r="W410" s="4">
        <v>75</v>
      </c>
    </row>
    <row r="411" spans="1:23" ht="11.25" customHeight="1" x14ac:dyDescent="0.25">
      <c r="A411" s="4" t="s">
        <v>21</v>
      </c>
      <c r="B411" s="4" t="s">
        <v>33</v>
      </c>
      <c r="C411" s="4" t="s">
        <v>23</v>
      </c>
      <c r="D411" s="4" t="s">
        <v>41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44621</v>
      </c>
      <c r="J411" s="6">
        <v>0</v>
      </c>
      <c r="K411" s="6">
        <v>0</v>
      </c>
      <c r="L411" s="6">
        <v>1348.3889999999999</v>
      </c>
      <c r="M411" s="6">
        <v>1348.3889999999999</v>
      </c>
      <c r="N411" s="6">
        <v>1348.3889999999999</v>
      </c>
      <c r="O411" s="6">
        <v>1348.3889999999999</v>
      </c>
      <c r="P411" s="6">
        <v>1666</v>
      </c>
      <c r="Q411" s="4" t="s">
        <v>26</v>
      </c>
      <c r="R411" s="4">
        <v>0</v>
      </c>
      <c r="S411" s="4" t="s">
        <v>268</v>
      </c>
      <c r="T411" s="4" t="s">
        <v>429</v>
      </c>
      <c r="U411" s="4">
        <v>0</v>
      </c>
      <c r="V411" s="4">
        <v>26</v>
      </c>
      <c r="W411" s="4">
        <v>75</v>
      </c>
    </row>
    <row r="412" spans="1:23" ht="11.25" customHeight="1" x14ac:dyDescent="0.25">
      <c r="A412" s="4" t="s">
        <v>28</v>
      </c>
      <c r="B412" s="4" t="s">
        <v>33</v>
      </c>
      <c r="C412" s="4" t="s">
        <v>23</v>
      </c>
      <c r="D412" s="4" t="s">
        <v>41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1.5609999999999999</v>
      </c>
      <c r="M412" s="6">
        <v>1.5609999999999999</v>
      </c>
      <c r="N412" s="6">
        <v>1.5609999999999999</v>
      </c>
      <c r="O412" s="6">
        <v>1.5609999999999999</v>
      </c>
      <c r="P412" s="6">
        <v>7</v>
      </c>
      <c r="Q412" s="4" t="s">
        <v>26</v>
      </c>
      <c r="R412" s="4">
        <v>0</v>
      </c>
      <c r="S412" s="4" t="s">
        <v>268</v>
      </c>
      <c r="T412" s="4" t="s">
        <v>429</v>
      </c>
      <c r="U412" s="4">
        <v>0</v>
      </c>
      <c r="V412" s="4">
        <v>26</v>
      </c>
      <c r="W412" s="4">
        <v>75</v>
      </c>
    </row>
    <row r="413" spans="1:23" ht="11.25" customHeight="1" x14ac:dyDescent="0.25">
      <c r="A413" s="4" t="s">
        <v>21</v>
      </c>
      <c r="B413" s="4" t="s">
        <v>33</v>
      </c>
      <c r="C413" s="4" t="s">
        <v>23</v>
      </c>
      <c r="D413" s="4" t="s">
        <v>41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44652</v>
      </c>
      <c r="J413" s="6">
        <v>0</v>
      </c>
      <c r="K413" s="6">
        <v>0</v>
      </c>
      <c r="L413" s="6">
        <v>1182.068</v>
      </c>
      <c r="M413" s="6">
        <v>1182.068</v>
      </c>
      <c r="N413" s="6">
        <v>1182.068</v>
      </c>
      <c r="O413" s="6">
        <v>1182.068</v>
      </c>
      <c r="P413" s="6">
        <v>1667</v>
      </c>
      <c r="Q413" s="4" t="s">
        <v>26</v>
      </c>
      <c r="R413" s="4">
        <v>0</v>
      </c>
      <c r="S413" s="4" t="s">
        <v>269</v>
      </c>
      <c r="T413" s="4" t="s">
        <v>430</v>
      </c>
      <c r="U413" s="4">
        <v>0</v>
      </c>
      <c r="V413" s="4">
        <v>26</v>
      </c>
      <c r="W413" s="4">
        <v>75</v>
      </c>
    </row>
    <row r="414" spans="1:23" ht="11.25" customHeight="1" x14ac:dyDescent="0.25">
      <c r="A414" s="4" t="s">
        <v>28</v>
      </c>
      <c r="B414" s="4" t="s">
        <v>33</v>
      </c>
      <c r="C414" s="4" t="s">
        <v>23</v>
      </c>
      <c r="D414" s="4" t="s">
        <v>41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2.09</v>
      </c>
      <c r="M414" s="6">
        <v>2.09</v>
      </c>
      <c r="N414" s="6">
        <v>2.09</v>
      </c>
      <c r="O414" s="6">
        <v>2.09</v>
      </c>
      <c r="P414" s="6">
        <v>9</v>
      </c>
      <c r="Q414" s="4" t="s">
        <v>26</v>
      </c>
      <c r="R414" s="4">
        <v>0</v>
      </c>
      <c r="S414" s="4" t="s">
        <v>269</v>
      </c>
      <c r="T414" s="4" t="s">
        <v>430</v>
      </c>
      <c r="U414" s="4">
        <v>0</v>
      </c>
      <c r="V414" s="4">
        <v>26</v>
      </c>
      <c r="W414" s="4">
        <v>75</v>
      </c>
    </row>
    <row r="415" spans="1:23" ht="11.25" customHeight="1" x14ac:dyDescent="0.25">
      <c r="A415" s="4" t="s">
        <v>21</v>
      </c>
      <c r="B415" s="4" t="s">
        <v>33</v>
      </c>
      <c r="C415" s="4" t="s">
        <v>23</v>
      </c>
      <c r="D415" s="4" t="s">
        <v>41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1003.98</v>
      </c>
      <c r="M415" s="6">
        <v>1003.98</v>
      </c>
      <c r="N415" s="6">
        <v>1003.98</v>
      </c>
      <c r="O415" s="6">
        <v>1003.98</v>
      </c>
      <c r="P415" s="6">
        <v>1672</v>
      </c>
      <c r="Q415" s="4" t="s">
        <v>26</v>
      </c>
      <c r="R415" s="4">
        <v>0</v>
      </c>
      <c r="S415" s="4" t="s">
        <v>270</v>
      </c>
      <c r="T415" s="4" t="s">
        <v>431</v>
      </c>
      <c r="U415" s="4">
        <v>0</v>
      </c>
      <c r="V415" s="4">
        <v>26</v>
      </c>
      <c r="W415" s="4">
        <v>75</v>
      </c>
    </row>
    <row r="416" spans="1:23" ht="11.25" customHeight="1" x14ac:dyDescent="0.25">
      <c r="A416" s="4" t="s">
        <v>27</v>
      </c>
      <c r="B416" s="4" t="s">
        <v>33</v>
      </c>
      <c r="C416" s="4" t="s">
        <v>23</v>
      </c>
      <c r="D416" s="4" t="s">
        <v>41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-0.55600000000000005</v>
      </c>
      <c r="M416" s="6">
        <v>-0.55600000000000005</v>
      </c>
      <c r="N416" s="6">
        <v>-0.55600000000000005</v>
      </c>
      <c r="O416" s="6">
        <v>-0.55600000000000005</v>
      </c>
      <c r="P416" s="6">
        <v>0</v>
      </c>
      <c r="Q416" s="4" t="s">
        <v>26</v>
      </c>
      <c r="R416" s="4">
        <v>0</v>
      </c>
      <c r="S416" s="4" t="s">
        <v>270</v>
      </c>
      <c r="T416" s="4" t="s">
        <v>431</v>
      </c>
      <c r="U416" s="4">
        <v>0</v>
      </c>
      <c r="V416" s="4">
        <v>26</v>
      </c>
      <c r="W416" s="4">
        <v>75</v>
      </c>
    </row>
    <row r="417" spans="1:23" ht="11.25" customHeight="1" x14ac:dyDescent="0.25">
      <c r="A417" s="4" t="s">
        <v>28</v>
      </c>
      <c r="B417" s="4" t="s">
        <v>33</v>
      </c>
      <c r="C417" s="4" t="s">
        <v>23</v>
      </c>
      <c r="D417" s="4" t="s">
        <v>41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2.069</v>
      </c>
      <c r="M417" s="6">
        <v>2.069</v>
      </c>
      <c r="N417" s="6">
        <v>2.069</v>
      </c>
      <c r="O417" s="6">
        <v>2.069</v>
      </c>
      <c r="P417" s="6">
        <v>9</v>
      </c>
      <c r="Q417" s="4" t="s">
        <v>26</v>
      </c>
      <c r="R417" s="4">
        <v>0</v>
      </c>
      <c r="S417" s="4" t="s">
        <v>270</v>
      </c>
      <c r="T417" s="4" t="s">
        <v>431</v>
      </c>
      <c r="U417" s="4">
        <v>0</v>
      </c>
      <c r="V417" s="4">
        <v>26</v>
      </c>
      <c r="W417" s="4">
        <v>75</v>
      </c>
    </row>
    <row r="418" spans="1:23" ht="11.25" customHeight="1" x14ac:dyDescent="0.25">
      <c r="A418" s="4" t="s">
        <v>21</v>
      </c>
      <c r="B418" s="4" t="s">
        <v>33</v>
      </c>
      <c r="C418" s="4" t="s">
        <v>23</v>
      </c>
      <c r="D418" s="4" t="s">
        <v>41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989.36900000000003</v>
      </c>
      <c r="M418" s="6">
        <v>989.36900000000003</v>
      </c>
      <c r="N418" s="6">
        <v>989.36900000000003</v>
      </c>
      <c r="O418" s="6">
        <v>989.36900000000003</v>
      </c>
      <c r="P418" s="6">
        <v>1669</v>
      </c>
      <c r="Q418" s="4" t="s">
        <v>26</v>
      </c>
      <c r="R418" s="4">
        <v>0</v>
      </c>
      <c r="S418" s="4" t="s">
        <v>271</v>
      </c>
      <c r="T418" s="4" t="s">
        <v>432</v>
      </c>
      <c r="U418" s="4">
        <v>0</v>
      </c>
      <c r="V418" s="4">
        <v>26</v>
      </c>
      <c r="W418" s="4">
        <v>75</v>
      </c>
    </row>
    <row r="419" spans="1:23" ht="11.25" customHeight="1" x14ac:dyDescent="0.25">
      <c r="A419" s="4" t="s">
        <v>27</v>
      </c>
      <c r="B419" s="4" t="s">
        <v>33</v>
      </c>
      <c r="C419" s="4" t="s">
        <v>23</v>
      </c>
      <c r="D419" s="4" t="s">
        <v>41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-2.0790000000000002</v>
      </c>
      <c r="M419" s="6">
        <v>-2.0790000000000002</v>
      </c>
      <c r="N419" s="6">
        <v>-2.0790000000000002</v>
      </c>
      <c r="O419" s="6">
        <v>-2.0790000000000002</v>
      </c>
      <c r="P419" s="6">
        <v>0</v>
      </c>
      <c r="Q419" s="4" t="s">
        <v>26</v>
      </c>
      <c r="R419" s="4">
        <v>0</v>
      </c>
      <c r="S419" s="4" t="s">
        <v>271</v>
      </c>
      <c r="T419" s="4" t="s">
        <v>432</v>
      </c>
      <c r="U419" s="4">
        <v>0</v>
      </c>
      <c r="V419" s="4">
        <v>26</v>
      </c>
      <c r="W419" s="4">
        <v>75</v>
      </c>
    </row>
    <row r="420" spans="1:23" ht="11.25" customHeight="1" x14ac:dyDescent="0.25">
      <c r="A420" s="4" t="s">
        <v>28</v>
      </c>
      <c r="B420" s="4" t="s">
        <v>33</v>
      </c>
      <c r="C420" s="4" t="s">
        <v>23</v>
      </c>
      <c r="D420" s="4" t="s">
        <v>41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44713</v>
      </c>
      <c r="J420" s="6">
        <v>0</v>
      </c>
      <c r="K420" s="6">
        <v>0</v>
      </c>
      <c r="L420" s="6">
        <v>8.2810000000000006</v>
      </c>
      <c r="M420" s="6">
        <v>8.2810000000000006</v>
      </c>
      <c r="N420" s="6">
        <v>8.2810000000000006</v>
      </c>
      <c r="O420" s="6">
        <v>8.2810000000000006</v>
      </c>
      <c r="P420" s="6">
        <v>15</v>
      </c>
      <c r="Q420" s="4" t="s">
        <v>26</v>
      </c>
      <c r="R420" s="4">
        <v>0</v>
      </c>
      <c r="S420" s="4" t="s">
        <v>271</v>
      </c>
      <c r="T420" s="4" t="s">
        <v>432</v>
      </c>
      <c r="U420" s="4">
        <v>0</v>
      </c>
      <c r="V420" s="4">
        <v>26</v>
      </c>
      <c r="W420" s="4">
        <v>75</v>
      </c>
    </row>
    <row r="421" spans="1:23" ht="11.25" customHeight="1" x14ac:dyDescent="0.25">
      <c r="A421" s="4" t="s">
        <v>21</v>
      </c>
      <c r="B421" s="4" t="s">
        <v>33</v>
      </c>
      <c r="C421" s="4" t="s">
        <v>23</v>
      </c>
      <c r="D421" s="4" t="s">
        <v>41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44743</v>
      </c>
      <c r="J421" s="6">
        <v>0</v>
      </c>
      <c r="K421" s="6">
        <v>0</v>
      </c>
      <c r="L421" s="6">
        <v>982.68499999999995</v>
      </c>
      <c r="M421" s="6">
        <v>982.68499999999995</v>
      </c>
      <c r="N421" s="6">
        <v>982.68499999999995</v>
      </c>
      <c r="O421" s="6">
        <v>982.68499999999995</v>
      </c>
      <c r="P421" s="6">
        <v>1676</v>
      </c>
      <c r="Q421" s="4" t="s">
        <v>26</v>
      </c>
      <c r="R421" s="4">
        <v>0</v>
      </c>
      <c r="S421" s="4" t="s">
        <v>272</v>
      </c>
      <c r="T421" s="4" t="s">
        <v>433</v>
      </c>
      <c r="U421" s="4">
        <v>0</v>
      </c>
      <c r="V421" s="4">
        <v>26</v>
      </c>
      <c r="W421" s="4">
        <v>75</v>
      </c>
    </row>
    <row r="422" spans="1:23" ht="11.25" customHeight="1" x14ac:dyDescent="0.25">
      <c r="A422" s="4" t="s">
        <v>28</v>
      </c>
      <c r="B422" s="4" t="s">
        <v>33</v>
      </c>
      <c r="C422" s="4" t="s">
        <v>23</v>
      </c>
      <c r="D422" s="4" t="s">
        <v>41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8.9160000000000004</v>
      </c>
      <c r="M422" s="6">
        <v>8.9160000000000004</v>
      </c>
      <c r="N422" s="6">
        <v>8.9160000000000004</v>
      </c>
      <c r="O422" s="6">
        <v>8.9160000000000004</v>
      </c>
      <c r="P422" s="6">
        <v>17</v>
      </c>
      <c r="Q422" s="4" t="s">
        <v>26</v>
      </c>
      <c r="R422" s="4">
        <v>0</v>
      </c>
      <c r="S422" s="4" t="s">
        <v>272</v>
      </c>
      <c r="T422" s="4" t="s">
        <v>433</v>
      </c>
      <c r="U422" s="4">
        <v>0</v>
      </c>
      <c r="V422" s="4">
        <v>26</v>
      </c>
      <c r="W422" s="4">
        <v>75</v>
      </c>
    </row>
    <row r="423" spans="1:23" ht="11.25" customHeight="1" x14ac:dyDescent="0.25">
      <c r="A423" s="4" t="s">
        <v>57</v>
      </c>
      <c r="B423" s="4" t="s">
        <v>33</v>
      </c>
      <c r="C423" s="4" t="s">
        <v>23</v>
      </c>
      <c r="D423" s="4" t="s">
        <v>41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982.68499999999995</v>
      </c>
      <c r="M423" s="6">
        <v>982.68499999999995</v>
      </c>
      <c r="N423" s="6">
        <v>982.68499999999995</v>
      </c>
      <c r="O423" s="6">
        <v>982.68499999999995</v>
      </c>
      <c r="P423" s="6">
        <v>1676</v>
      </c>
      <c r="Q423" s="4" t="s">
        <v>26</v>
      </c>
      <c r="R423" s="4">
        <v>0</v>
      </c>
      <c r="S423" s="4" t="s">
        <v>273</v>
      </c>
      <c r="T423" s="4" t="s">
        <v>434</v>
      </c>
      <c r="U423" s="4">
        <v>0</v>
      </c>
      <c r="V423" s="4">
        <v>26</v>
      </c>
      <c r="W423" s="4">
        <v>75</v>
      </c>
    </row>
    <row r="424" spans="1:23" ht="11.25" customHeight="1" x14ac:dyDescent="0.25">
      <c r="A424" s="4" t="s">
        <v>57</v>
      </c>
      <c r="B424" s="4" t="s">
        <v>33</v>
      </c>
      <c r="C424" s="4" t="s">
        <v>23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44774</v>
      </c>
      <c r="J424" s="6">
        <v>0</v>
      </c>
      <c r="K424" s="6">
        <v>0</v>
      </c>
      <c r="L424" s="6">
        <v>8.9160000000000004</v>
      </c>
      <c r="M424" s="6">
        <v>8.9160000000000004</v>
      </c>
      <c r="N424" s="6">
        <v>8.9160000000000004</v>
      </c>
      <c r="O424" s="6">
        <v>8.9160000000000004</v>
      </c>
      <c r="P424" s="6">
        <v>17</v>
      </c>
      <c r="Q424" s="4" t="s">
        <v>26</v>
      </c>
      <c r="R424" s="4">
        <v>0</v>
      </c>
      <c r="S424" s="4" t="s">
        <v>273</v>
      </c>
      <c r="T424" s="4" t="s">
        <v>434</v>
      </c>
      <c r="U424" s="4">
        <v>0</v>
      </c>
      <c r="V424" s="4">
        <v>26</v>
      </c>
      <c r="W424" s="4">
        <v>75</v>
      </c>
    </row>
    <row r="425" spans="1:23" ht="11.25" customHeight="1" x14ac:dyDescent="0.25">
      <c r="A425" s="4" t="s">
        <v>21</v>
      </c>
      <c r="B425" s="4" t="s">
        <v>33</v>
      </c>
      <c r="C425" s="4" t="s">
        <v>23</v>
      </c>
      <c r="D425" s="4" t="s">
        <v>50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0.52</v>
      </c>
      <c r="M425" s="6">
        <v>0.52</v>
      </c>
      <c r="N425" s="6">
        <v>0.52</v>
      </c>
      <c r="O425" s="6">
        <v>0.52</v>
      </c>
      <c r="P425" s="6">
        <v>2</v>
      </c>
      <c r="Q425" s="4" t="s">
        <v>26</v>
      </c>
      <c r="R425" s="4">
        <v>0</v>
      </c>
      <c r="S425" s="4" t="s">
        <v>262</v>
      </c>
      <c r="T425" s="4" t="s">
        <v>423</v>
      </c>
      <c r="U425" s="4">
        <v>0</v>
      </c>
      <c r="V425" s="4">
        <v>26</v>
      </c>
      <c r="W425" s="4">
        <v>75</v>
      </c>
    </row>
    <row r="426" spans="1:23" ht="11.25" customHeight="1" x14ac:dyDescent="0.25">
      <c r="A426" s="4" t="s">
        <v>21</v>
      </c>
      <c r="B426" s="4" t="s">
        <v>33</v>
      </c>
      <c r="C426" s="4" t="s">
        <v>23</v>
      </c>
      <c r="D426" s="4" t="s">
        <v>50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44470</v>
      </c>
      <c r="J426" s="6">
        <v>0</v>
      </c>
      <c r="K426" s="6">
        <v>0</v>
      </c>
      <c r="L426" s="6">
        <v>0.51800000000000002</v>
      </c>
      <c r="M426" s="6">
        <v>0.51800000000000002</v>
      </c>
      <c r="N426" s="6">
        <v>0.51800000000000002</v>
      </c>
      <c r="O426" s="6">
        <v>0.51800000000000002</v>
      </c>
      <c r="P426" s="6">
        <v>2</v>
      </c>
      <c r="Q426" s="4" t="s">
        <v>26</v>
      </c>
      <c r="R426" s="4">
        <v>0</v>
      </c>
      <c r="S426" s="4" t="s">
        <v>263</v>
      </c>
      <c r="T426" s="4" t="s">
        <v>424</v>
      </c>
      <c r="U426" s="4">
        <v>0</v>
      </c>
      <c r="V426" s="4">
        <v>26</v>
      </c>
      <c r="W426" s="4">
        <v>75</v>
      </c>
    </row>
    <row r="427" spans="1:23" ht="11.25" customHeight="1" x14ac:dyDescent="0.25">
      <c r="A427" s="4" t="s">
        <v>21</v>
      </c>
      <c r="B427" s="4" t="s">
        <v>33</v>
      </c>
      <c r="C427" s="4" t="s">
        <v>23</v>
      </c>
      <c r="D427" s="4" t="s">
        <v>50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44501</v>
      </c>
      <c r="J427" s="6">
        <v>0</v>
      </c>
      <c r="K427" s="6">
        <v>0</v>
      </c>
      <c r="L427" s="6">
        <v>0.47199999999999998</v>
      </c>
      <c r="M427" s="6">
        <v>0.47199999999999998</v>
      </c>
      <c r="N427" s="6">
        <v>0.47199999999999998</v>
      </c>
      <c r="O427" s="6">
        <v>0.47199999999999998</v>
      </c>
      <c r="P427" s="6">
        <v>2</v>
      </c>
      <c r="Q427" s="4" t="s">
        <v>26</v>
      </c>
      <c r="R427" s="4">
        <v>0</v>
      </c>
      <c r="S427" s="4" t="s">
        <v>264</v>
      </c>
      <c r="T427" s="4" t="s">
        <v>425</v>
      </c>
      <c r="U427" s="4">
        <v>0</v>
      </c>
      <c r="V427" s="4">
        <v>26</v>
      </c>
      <c r="W427" s="4">
        <v>75</v>
      </c>
    </row>
    <row r="428" spans="1:23" ht="11.25" customHeight="1" x14ac:dyDescent="0.25">
      <c r="A428" s="4" t="s">
        <v>21</v>
      </c>
      <c r="B428" s="4" t="s">
        <v>33</v>
      </c>
      <c r="C428" s="4" t="s">
        <v>23</v>
      </c>
      <c r="D428" s="4" t="s">
        <v>50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44531</v>
      </c>
      <c r="J428" s="6">
        <v>0</v>
      </c>
      <c r="K428" s="6">
        <v>0</v>
      </c>
      <c r="L428" s="6">
        <v>0.76400000000000001</v>
      </c>
      <c r="M428" s="6">
        <v>0.76400000000000001</v>
      </c>
      <c r="N428" s="6">
        <v>0.76400000000000001</v>
      </c>
      <c r="O428" s="6">
        <v>0.76400000000000001</v>
      </c>
      <c r="P428" s="6">
        <v>2</v>
      </c>
      <c r="Q428" s="4" t="s">
        <v>26</v>
      </c>
      <c r="R428" s="4">
        <v>0</v>
      </c>
      <c r="S428" s="4" t="s">
        <v>265</v>
      </c>
      <c r="T428" s="4" t="s">
        <v>426</v>
      </c>
      <c r="U428" s="4">
        <v>0</v>
      </c>
      <c r="V428" s="4">
        <v>26</v>
      </c>
      <c r="W428" s="4">
        <v>75</v>
      </c>
    </row>
    <row r="429" spans="1:23" ht="11.25" customHeight="1" x14ac:dyDescent="0.25">
      <c r="A429" s="4" t="s">
        <v>21</v>
      </c>
      <c r="B429" s="4" t="s">
        <v>33</v>
      </c>
      <c r="C429" s="4" t="s">
        <v>23</v>
      </c>
      <c r="D429" s="4" t="s">
        <v>50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44562</v>
      </c>
      <c r="J429" s="6">
        <v>0</v>
      </c>
      <c r="K429" s="6">
        <v>0</v>
      </c>
      <c r="L429" s="6">
        <v>0.78600000000000003</v>
      </c>
      <c r="M429" s="6">
        <v>0.78600000000000003</v>
      </c>
      <c r="N429" s="6">
        <v>0.78600000000000003</v>
      </c>
      <c r="O429" s="6">
        <v>0.78600000000000003</v>
      </c>
      <c r="P429" s="6">
        <v>2</v>
      </c>
      <c r="Q429" s="4" t="s">
        <v>26</v>
      </c>
      <c r="R429" s="4">
        <v>0</v>
      </c>
      <c r="S429" s="4" t="s">
        <v>266</v>
      </c>
      <c r="T429" s="4" t="s">
        <v>427</v>
      </c>
      <c r="U429" s="4">
        <v>0</v>
      </c>
      <c r="V429" s="4">
        <v>26</v>
      </c>
      <c r="W429" s="4">
        <v>75</v>
      </c>
    </row>
    <row r="430" spans="1:23" ht="11.25" customHeight="1" x14ac:dyDescent="0.25">
      <c r="A430" s="4" t="s">
        <v>21</v>
      </c>
      <c r="B430" s="4" t="s">
        <v>33</v>
      </c>
      <c r="C430" s="4" t="s">
        <v>23</v>
      </c>
      <c r="D430" s="4" t="s">
        <v>50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44593</v>
      </c>
      <c r="J430" s="6">
        <v>0</v>
      </c>
      <c r="K430" s="6">
        <v>0</v>
      </c>
      <c r="L430" s="6">
        <v>0.88100000000000001</v>
      </c>
      <c r="M430" s="6">
        <v>0.88100000000000001</v>
      </c>
      <c r="N430" s="6">
        <v>0.88100000000000001</v>
      </c>
      <c r="O430" s="6">
        <v>0.88100000000000001</v>
      </c>
      <c r="P430" s="6">
        <v>2</v>
      </c>
      <c r="Q430" s="4" t="s">
        <v>26</v>
      </c>
      <c r="R430" s="4">
        <v>0</v>
      </c>
      <c r="S430" s="4" t="s">
        <v>267</v>
      </c>
      <c r="T430" s="4" t="s">
        <v>428</v>
      </c>
      <c r="U430" s="4">
        <v>0</v>
      </c>
      <c r="V430" s="4">
        <v>26</v>
      </c>
      <c r="W430" s="4">
        <v>75</v>
      </c>
    </row>
    <row r="431" spans="1:23" ht="11.25" customHeight="1" x14ac:dyDescent="0.25">
      <c r="A431" s="4" t="s">
        <v>21</v>
      </c>
      <c r="B431" s="4" t="s">
        <v>33</v>
      </c>
      <c r="C431" s="4" t="s">
        <v>23</v>
      </c>
      <c r="D431" s="4" t="s">
        <v>50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44621</v>
      </c>
      <c r="J431" s="6">
        <v>0</v>
      </c>
      <c r="K431" s="6">
        <v>0</v>
      </c>
      <c r="L431" s="6">
        <v>1.0189999999999999</v>
      </c>
      <c r="M431" s="6">
        <v>1.0189999999999999</v>
      </c>
      <c r="N431" s="6">
        <v>1.0189999999999999</v>
      </c>
      <c r="O431" s="6">
        <v>1.0189999999999999</v>
      </c>
      <c r="P431" s="6">
        <v>3</v>
      </c>
      <c r="Q431" s="4" t="s">
        <v>26</v>
      </c>
      <c r="R431" s="4">
        <v>0</v>
      </c>
      <c r="S431" s="4" t="s">
        <v>268</v>
      </c>
      <c r="T431" s="4" t="s">
        <v>429</v>
      </c>
      <c r="U431" s="4">
        <v>0</v>
      </c>
      <c r="V431" s="4">
        <v>26</v>
      </c>
      <c r="W431" s="4">
        <v>75</v>
      </c>
    </row>
    <row r="432" spans="1:23" ht="11.25" customHeight="1" x14ac:dyDescent="0.25">
      <c r="A432" s="4" t="s">
        <v>21</v>
      </c>
      <c r="B432" s="4" t="s">
        <v>33</v>
      </c>
      <c r="C432" s="4" t="s">
        <v>23</v>
      </c>
      <c r="D432" s="4" t="s">
        <v>50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44652</v>
      </c>
      <c r="J432" s="6">
        <v>0</v>
      </c>
      <c r="K432" s="6">
        <v>0</v>
      </c>
      <c r="L432" s="6">
        <v>1.4019999999999999</v>
      </c>
      <c r="M432" s="6">
        <v>1.4019999999999999</v>
      </c>
      <c r="N432" s="6">
        <v>1.4019999999999999</v>
      </c>
      <c r="O432" s="6">
        <v>1.4019999999999999</v>
      </c>
      <c r="P432" s="6">
        <v>2</v>
      </c>
      <c r="Q432" s="4" t="s">
        <v>26</v>
      </c>
      <c r="R432" s="4">
        <v>0</v>
      </c>
      <c r="S432" s="4" t="s">
        <v>269</v>
      </c>
      <c r="T432" s="4" t="s">
        <v>430</v>
      </c>
      <c r="U432" s="4">
        <v>0</v>
      </c>
      <c r="V432" s="4">
        <v>26</v>
      </c>
      <c r="W432" s="4">
        <v>75</v>
      </c>
    </row>
    <row r="433" spans="1:23" ht="11.25" customHeight="1" x14ac:dyDescent="0.25">
      <c r="A433" s="4" t="s">
        <v>28</v>
      </c>
      <c r="B433" s="4" t="s">
        <v>33</v>
      </c>
      <c r="C433" s="4" t="s">
        <v>23</v>
      </c>
      <c r="D433" s="4" t="s">
        <v>50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44652</v>
      </c>
      <c r="J433" s="6">
        <v>0</v>
      </c>
      <c r="K433" s="6">
        <v>0</v>
      </c>
      <c r="L433" s="6">
        <v>0.03</v>
      </c>
      <c r="M433" s="6">
        <v>0.03</v>
      </c>
      <c r="N433" s="6">
        <v>0.03</v>
      </c>
      <c r="O433" s="6">
        <v>0.03</v>
      </c>
      <c r="P433" s="6">
        <v>1</v>
      </c>
      <c r="Q433" s="4" t="s">
        <v>26</v>
      </c>
      <c r="R433" s="4">
        <v>0</v>
      </c>
      <c r="S433" s="4" t="s">
        <v>269</v>
      </c>
      <c r="T433" s="4" t="s">
        <v>430</v>
      </c>
      <c r="U433" s="4">
        <v>0</v>
      </c>
      <c r="V433" s="4">
        <v>26</v>
      </c>
      <c r="W433" s="4">
        <v>75</v>
      </c>
    </row>
    <row r="434" spans="1:23" ht="11.25" customHeight="1" x14ac:dyDescent="0.25">
      <c r="A434" s="4" t="s">
        <v>21</v>
      </c>
      <c r="B434" s="4" t="s">
        <v>33</v>
      </c>
      <c r="C434" s="4" t="s">
        <v>23</v>
      </c>
      <c r="D434" s="4" t="s">
        <v>50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44682</v>
      </c>
      <c r="J434" s="6">
        <v>0</v>
      </c>
      <c r="K434" s="6">
        <v>0</v>
      </c>
      <c r="L434" s="6">
        <v>1.002</v>
      </c>
      <c r="M434" s="6">
        <v>1.002</v>
      </c>
      <c r="N434" s="6">
        <v>1.002</v>
      </c>
      <c r="O434" s="6">
        <v>1.002</v>
      </c>
      <c r="P434" s="6">
        <v>2</v>
      </c>
      <c r="Q434" s="4" t="s">
        <v>26</v>
      </c>
      <c r="R434" s="4">
        <v>0</v>
      </c>
      <c r="S434" s="4" t="s">
        <v>270</v>
      </c>
      <c r="T434" s="4" t="s">
        <v>431</v>
      </c>
      <c r="U434" s="4">
        <v>0</v>
      </c>
      <c r="V434" s="4">
        <v>26</v>
      </c>
      <c r="W434" s="4">
        <v>75</v>
      </c>
    </row>
    <row r="435" spans="1:23" ht="11.25" customHeight="1" x14ac:dyDescent="0.25">
      <c r="A435" s="4" t="s">
        <v>28</v>
      </c>
      <c r="B435" s="4" t="s">
        <v>33</v>
      </c>
      <c r="C435" s="4" t="s">
        <v>23</v>
      </c>
      <c r="D435" s="4" t="s">
        <v>50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44682</v>
      </c>
      <c r="J435" s="6">
        <v>0</v>
      </c>
      <c r="K435" s="6">
        <v>0</v>
      </c>
      <c r="L435" s="6">
        <v>0.03</v>
      </c>
      <c r="M435" s="6">
        <v>0.03</v>
      </c>
      <c r="N435" s="6">
        <v>0.03</v>
      </c>
      <c r="O435" s="6">
        <v>0.03</v>
      </c>
      <c r="P435" s="6">
        <v>1</v>
      </c>
      <c r="Q435" s="4" t="s">
        <v>26</v>
      </c>
      <c r="R435" s="4">
        <v>0</v>
      </c>
      <c r="S435" s="4" t="s">
        <v>270</v>
      </c>
      <c r="T435" s="4" t="s">
        <v>431</v>
      </c>
      <c r="U435" s="4">
        <v>0</v>
      </c>
      <c r="V435" s="4">
        <v>26</v>
      </c>
      <c r="W435" s="4">
        <v>75</v>
      </c>
    </row>
    <row r="436" spans="1:23" ht="11.25" customHeight="1" x14ac:dyDescent="0.25">
      <c r="A436" s="4" t="s">
        <v>21</v>
      </c>
      <c r="B436" s="4" t="s">
        <v>33</v>
      </c>
      <c r="C436" s="4" t="s">
        <v>23</v>
      </c>
      <c r="D436" s="4" t="s">
        <v>50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44713</v>
      </c>
      <c r="J436" s="6">
        <v>0</v>
      </c>
      <c r="K436" s="6">
        <v>0</v>
      </c>
      <c r="L436" s="6">
        <v>0.999</v>
      </c>
      <c r="M436" s="6">
        <v>0.999</v>
      </c>
      <c r="N436" s="6">
        <v>0.999</v>
      </c>
      <c r="O436" s="6">
        <v>0.999</v>
      </c>
      <c r="P436" s="6">
        <v>2</v>
      </c>
      <c r="Q436" s="4" t="s">
        <v>26</v>
      </c>
      <c r="R436" s="4">
        <v>0</v>
      </c>
      <c r="S436" s="4" t="s">
        <v>271</v>
      </c>
      <c r="T436" s="4" t="s">
        <v>432</v>
      </c>
      <c r="U436" s="4">
        <v>0</v>
      </c>
      <c r="V436" s="4">
        <v>26</v>
      </c>
      <c r="W436" s="4">
        <v>75</v>
      </c>
    </row>
    <row r="437" spans="1:23" ht="11.25" customHeight="1" x14ac:dyDescent="0.25">
      <c r="A437" s="4" t="s">
        <v>28</v>
      </c>
      <c r="B437" s="4" t="s">
        <v>33</v>
      </c>
      <c r="C437" s="4" t="s">
        <v>23</v>
      </c>
      <c r="D437" s="4" t="s">
        <v>50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44713</v>
      </c>
      <c r="J437" s="6">
        <v>0</v>
      </c>
      <c r="K437" s="6">
        <v>0</v>
      </c>
      <c r="L437" s="6">
        <v>0.03</v>
      </c>
      <c r="M437" s="6">
        <v>0.03</v>
      </c>
      <c r="N437" s="6">
        <v>0.03</v>
      </c>
      <c r="O437" s="6">
        <v>0.03</v>
      </c>
      <c r="P437" s="6">
        <v>1</v>
      </c>
      <c r="Q437" s="4" t="s">
        <v>26</v>
      </c>
      <c r="R437" s="4">
        <v>0</v>
      </c>
      <c r="S437" s="4" t="s">
        <v>271</v>
      </c>
      <c r="T437" s="4" t="s">
        <v>432</v>
      </c>
      <c r="U437" s="4">
        <v>0</v>
      </c>
      <c r="V437" s="4">
        <v>26</v>
      </c>
      <c r="W437" s="4">
        <v>75</v>
      </c>
    </row>
    <row r="438" spans="1:23" ht="11.25" customHeight="1" x14ac:dyDescent="0.25">
      <c r="A438" s="4" t="s">
        <v>21</v>
      </c>
      <c r="B438" s="4" t="s">
        <v>33</v>
      </c>
      <c r="C438" s="4" t="s">
        <v>23</v>
      </c>
      <c r="D438" s="4" t="s">
        <v>50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44743</v>
      </c>
      <c r="J438" s="6">
        <v>0</v>
      </c>
      <c r="K438" s="6">
        <v>0</v>
      </c>
      <c r="L438" s="6">
        <v>0.998</v>
      </c>
      <c r="M438" s="6">
        <v>0.998</v>
      </c>
      <c r="N438" s="6">
        <v>0.998</v>
      </c>
      <c r="O438" s="6">
        <v>0.998</v>
      </c>
      <c r="P438" s="6">
        <v>2</v>
      </c>
      <c r="Q438" s="4" t="s">
        <v>26</v>
      </c>
      <c r="R438" s="4">
        <v>0</v>
      </c>
      <c r="S438" s="4" t="s">
        <v>272</v>
      </c>
      <c r="T438" s="4" t="s">
        <v>433</v>
      </c>
      <c r="U438" s="4">
        <v>0</v>
      </c>
      <c r="V438" s="4">
        <v>26</v>
      </c>
      <c r="W438" s="4">
        <v>75</v>
      </c>
    </row>
    <row r="439" spans="1:23" ht="11.25" customHeight="1" x14ac:dyDescent="0.25">
      <c r="A439" s="4" t="s">
        <v>28</v>
      </c>
      <c r="B439" s="4" t="s">
        <v>33</v>
      </c>
      <c r="C439" s="4" t="s">
        <v>23</v>
      </c>
      <c r="D439" s="4" t="s">
        <v>50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44743</v>
      </c>
      <c r="J439" s="6">
        <v>0</v>
      </c>
      <c r="K439" s="6">
        <v>0</v>
      </c>
      <c r="L439" s="6">
        <v>0.03</v>
      </c>
      <c r="M439" s="6">
        <v>0.03</v>
      </c>
      <c r="N439" s="6">
        <v>0.03</v>
      </c>
      <c r="O439" s="6">
        <v>0.03</v>
      </c>
      <c r="P439" s="6">
        <v>1</v>
      </c>
      <c r="Q439" s="4" t="s">
        <v>26</v>
      </c>
      <c r="R439" s="4">
        <v>0</v>
      </c>
      <c r="S439" s="4" t="s">
        <v>272</v>
      </c>
      <c r="T439" s="4" t="s">
        <v>433</v>
      </c>
      <c r="U439" s="4">
        <v>0</v>
      </c>
      <c r="V439" s="4">
        <v>26</v>
      </c>
      <c r="W439" s="4">
        <v>75</v>
      </c>
    </row>
    <row r="440" spans="1:23" ht="11.25" customHeight="1" x14ac:dyDescent="0.25">
      <c r="A440" s="4" t="s">
        <v>57</v>
      </c>
      <c r="B440" s="4" t="s">
        <v>33</v>
      </c>
      <c r="C440" s="4" t="s">
        <v>23</v>
      </c>
      <c r="D440" s="4" t="s">
        <v>50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44774</v>
      </c>
      <c r="J440" s="6">
        <v>0</v>
      </c>
      <c r="K440" s="6">
        <v>0</v>
      </c>
      <c r="L440" s="6">
        <v>0.998</v>
      </c>
      <c r="M440" s="6">
        <v>0.998</v>
      </c>
      <c r="N440" s="6">
        <v>0.998</v>
      </c>
      <c r="O440" s="6">
        <v>0.998</v>
      </c>
      <c r="P440" s="6">
        <v>2</v>
      </c>
      <c r="Q440" s="4" t="s">
        <v>26</v>
      </c>
      <c r="R440" s="4">
        <v>0</v>
      </c>
      <c r="S440" s="4" t="s">
        <v>273</v>
      </c>
      <c r="T440" s="4" t="s">
        <v>434</v>
      </c>
      <c r="U440" s="4">
        <v>0</v>
      </c>
      <c r="V440" s="4">
        <v>26</v>
      </c>
      <c r="W440" s="4">
        <v>75</v>
      </c>
    </row>
    <row r="441" spans="1:23" ht="11.25" customHeight="1" x14ac:dyDescent="0.25">
      <c r="A441" s="4" t="s">
        <v>57</v>
      </c>
      <c r="B441" s="4" t="s">
        <v>33</v>
      </c>
      <c r="C441" s="4" t="s">
        <v>23</v>
      </c>
      <c r="D441" s="4" t="s">
        <v>50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44774</v>
      </c>
      <c r="J441" s="6">
        <v>0</v>
      </c>
      <c r="K441" s="6">
        <v>0</v>
      </c>
      <c r="L441" s="6">
        <v>0.03</v>
      </c>
      <c r="M441" s="6">
        <v>0.03</v>
      </c>
      <c r="N441" s="6">
        <v>0.03</v>
      </c>
      <c r="O441" s="6">
        <v>0.03</v>
      </c>
      <c r="P441" s="6">
        <v>1</v>
      </c>
      <c r="Q441" s="4" t="s">
        <v>26</v>
      </c>
      <c r="R441" s="4">
        <v>0</v>
      </c>
      <c r="S441" s="4" t="s">
        <v>273</v>
      </c>
      <c r="T441" s="4" t="s">
        <v>434</v>
      </c>
      <c r="U441" s="4">
        <v>0</v>
      </c>
      <c r="V441" s="4">
        <v>26</v>
      </c>
      <c r="W441" s="4">
        <v>75</v>
      </c>
    </row>
    <row r="442" spans="1:23" ht="11.25" customHeight="1" x14ac:dyDescent="0.25">
      <c r="A442" s="4" t="s">
        <v>21</v>
      </c>
      <c r="B442" s="4" t="s">
        <v>33</v>
      </c>
      <c r="C442" s="4" t="s">
        <v>23</v>
      </c>
      <c r="D442" s="4" t="s">
        <v>34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44440</v>
      </c>
      <c r="J442" s="6">
        <v>0</v>
      </c>
      <c r="K442" s="6">
        <v>0</v>
      </c>
      <c r="L442" s="6">
        <v>421.32799999999997</v>
      </c>
      <c r="M442" s="6">
        <v>421.32799999999997</v>
      </c>
      <c r="N442" s="6">
        <v>421.32799999999997</v>
      </c>
      <c r="O442" s="6">
        <v>421.32799999999997</v>
      </c>
      <c r="P442" s="6">
        <v>210</v>
      </c>
      <c r="Q442" s="4" t="s">
        <v>26</v>
      </c>
      <c r="R442" s="4">
        <v>0</v>
      </c>
      <c r="S442" s="4" t="s">
        <v>262</v>
      </c>
      <c r="T442" s="4" t="s">
        <v>423</v>
      </c>
      <c r="U442" s="4">
        <v>0</v>
      </c>
      <c r="V442" s="4">
        <v>26</v>
      </c>
      <c r="W442" s="4">
        <v>75</v>
      </c>
    </row>
    <row r="443" spans="1:23" ht="11.25" customHeight="1" x14ac:dyDescent="0.25">
      <c r="A443" s="4" t="s">
        <v>28</v>
      </c>
      <c r="B443" s="4" t="s">
        <v>33</v>
      </c>
      <c r="C443" s="4" t="s">
        <v>23</v>
      </c>
      <c r="D443" s="4" t="s">
        <v>34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44440</v>
      </c>
      <c r="J443" s="6">
        <v>0</v>
      </c>
      <c r="K443" s="6">
        <v>0</v>
      </c>
      <c r="L443" s="6">
        <v>8.4740000000000002</v>
      </c>
      <c r="M443" s="6">
        <v>8.4740000000000002</v>
      </c>
      <c r="N443" s="6">
        <v>8.4740000000000002</v>
      </c>
      <c r="O443" s="6">
        <v>8.4740000000000002</v>
      </c>
      <c r="P443" s="6">
        <v>2</v>
      </c>
      <c r="Q443" s="4" t="s">
        <v>26</v>
      </c>
      <c r="R443" s="4">
        <v>0</v>
      </c>
      <c r="S443" s="4" t="s">
        <v>262</v>
      </c>
      <c r="T443" s="4" t="s">
        <v>423</v>
      </c>
      <c r="U443" s="4">
        <v>0</v>
      </c>
      <c r="V443" s="4">
        <v>26</v>
      </c>
      <c r="W443" s="4">
        <v>75</v>
      </c>
    </row>
    <row r="444" spans="1:23" ht="11.25" customHeight="1" x14ac:dyDescent="0.25">
      <c r="A444" s="4" t="s">
        <v>21</v>
      </c>
      <c r="B444" s="4" t="s">
        <v>33</v>
      </c>
      <c r="C444" s="4" t="s">
        <v>23</v>
      </c>
      <c r="D444" s="4" t="s">
        <v>34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44470</v>
      </c>
      <c r="J444" s="6">
        <v>0</v>
      </c>
      <c r="K444" s="6">
        <v>0</v>
      </c>
      <c r="L444" s="6">
        <v>403.44600000000003</v>
      </c>
      <c r="M444" s="6">
        <v>403.44600000000003</v>
      </c>
      <c r="N444" s="6">
        <v>403.44600000000003</v>
      </c>
      <c r="O444" s="6">
        <v>403.44600000000003</v>
      </c>
      <c r="P444" s="6">
        <v>208</v>
      </c>
      <c r="Q444" s="4" t="s">
        <v>26</v>
      </c>
      <c r="R444" s="4">
        <v>0</v>
      </c>
      <c r="S444" s="4" t="s">
        <v>263</v>
      </c>
      <c r="T444" s="4" t="s">
        <v>424</v>
      </c>
      <c r="U444" s="4">
        <v>0</v>
      </c>
      <c r="V444" s="4">
        <v>26</v>
      </c>
      <c r="W444" s="4">
        <v>75</v>
      </c>
    </row>
    <row r="445" spans="1:23" ht="11.25" customHeight="1" x14ac:dyDescent="0.25">
      <c r="A445" s="4" t="s">
        <v>28</v>
      </c>
      <c r="B445" s="4" t="s">
        <v>33</v>
      </c>
      <c r="C445" s="4" t="s">
        <v>23</v>
      </c>
      <c r="D445" s="4" t="s">
        <v>34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44470</v>
      </c>
      <c r="J445" s="6">
        <v>0</v>
      </c>
      <c r="K445" s="6">
        <v>0</v>
      </c>
      <c r="L445" s="6">
        <v>7.7519999999999998</v>
      </c>
      <c r="M445" s="6">
        <v>7.7519999999999998</v>
      </c>
      <c r="N445" s="6">
        <v>7.7519999999999998</v>
      </c>
      <c r="O445" s="6">
        <v>7.7519999999999998</v>
      </c>
      <c r="P445" s="6">
        <v>2</v>
      </c>
      <c r="Q445" s="4" t="s">
        <v>26</v>
      </c>
      <c r="R445" s="4">
        <v>0</v>
      </c>
      <c r="S445" s="4" t="s">
        <v>263</v>
      </c>
      <c r="T445" s="4" t="s">
        <v>424</v>
      </c>
      <c r="U445" s="4">
        <v>0</v>
      </c>
      <c r="V445" s="4">
        <v>26</v>
      </c>
      <c r="W445" s="4">
        <v>75</v>
      </c>
    </row>
    <row r="446" spans="1:23" ht="11.25" customHeight="1" x14ac:dyDescent="0.25">
      <c r="A446" s="4" t="s">
        <v>21</v>
      </c>
      <c r="B446" s="4" t="s">
        <v>33</v>
      </c>
      <c r="C446" s="4" t="s">
        <v>23</v>
      </c>
      <c r="D446" s="4" t="s">
        <v>34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44501</v>
      </c>
      <c r="J446" s="6">
        <v>0</v>
      </c>
      <c r="K446" s="6">
        <v>0</v>
      </c>
      <c r="L446" s="6">
        <v>396.29</v>
      </c>
      <c r="M446" s="6">
        <v>396.29</v>
      </c>
      <c r="N446" s="6">
        <v>396.29</v>
      </c>
      <c r="O446" s="6">
        <v>396.29</v>
      </c>
      <c r="P446" s="6">
        <v>211</v>
      </c>
      <c r="Q446" s="4" t="s">
        <v>26</v>
      </c>
      <c r="R446" s="4">
        <v>0</v>
      </c>
      <c r="S446" s="4" t="s">
        <v>264</v>
      </c>
      <c r="T446" s="4" t="s">
        <v>425</v>
      </c>
      <c r="U446" s="4">
        <v>0</v>
      </c>
      <c r="V446" s="4">
        <v>26</v>
      </c>
      <c r="W446" s="4">
        <v>75</v>
      </c>
    </row>
    <row r="447" spans="1:23" ht="11.25" customHeight="1" x14ac:dyDescent="0.25">
      <c r="A447" s="4" t="s">
        <v>28</v>
      </c>
      <c r="B447" s="4" t="s">
        <v>33</v>
      </c>
      <c r="C447" s="4" t="s">
        <v>23</v>
      </c>
      <c r="D447" s="4" t="s">
        <v>34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44501</v>
      </c>
      <c r="J447" s="6">
        <v>0</v>
      </c>
      <c r="K447" s="6">
        <v>0</v>
      </c>
      <c r="L447" s="6">
        <v>2.9119999999999999</v>
      </c>
      <c r="M447" s="6">
        <v>2.9119999999999999</v>
      </c>
      <c r="N447" s="6">
        <v>2.9119999999999999</v>
      </c>
      <c r="O447" s="6">
        <v>2.9119999999999999</v>
      </c>
      <c r="P447" s="6">
        <v>2</v>
      </c>
      <c r="Q447" s="4" t="s">
        <v>26</v>
      </c>
      <c r="R447" s="4">
        <v>0</v>
      </c>
      <c r="S447" s="4" t="s">
        <v>264</v>
      </c>
      <c r="T447" s="4" t="s">
        <v>425</v>
      </c>
      <c r="U447" s="4">
        <v>0</v>
      </c>
      <c r="V447" s="4">
        <v>26</v>
      </c>
      <c r="W447" s="4">
        <v>75</v>
      </c>
    </row>
    <row r="448" spans="1:23" ht="11.25" customHeight="1" x14ac:dyDescent="0.25">
      <c r="A448" s="4" t="s">
        <v>21</v>
      </c>
      <c r="B448" s="4" t="s">
        <v>33</v>
      </c>
      <c r="C448" s="4" t="s">
        <v>23</v>
      </c>
      <c r="D448" s="4" t="s">
        <v>34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44531</v>
      </c>
      <c r="J448" s="6">
        <v>0</v>
      </c>
      <c r="K448" s="6">
        <v>0</v>
      </c>
      <c r="L448" s="6">
        <v>408.26499999999999</v>
      </c>
      <c r="M448" s="6">
        <v>408.26499999999999</v>
      </c>
      <c r="N448" s="6">
        <v>408.26499999999999</v>
      </c>
      <c r="O448" s="6">
        <v>408.26499999999999</v>
      </c>
      <c r="P448" s="6">
        <v>216</v>
      </c>
      <c r="Q448" s="4" t="s">
        <v>26</v>
      </c>
      <c r="R448" s="4">
        <v>0</v>
      </c>
      <c r="S448" s="4" t="s">
        <v>265</v>
      </c>
      <c r="T448" s="4" t="s">
        <v>426</v>
      </c>
      <c r="U448" s="4">
        <v>0</v>
      </c>
      <c r="V448" s="4">
        <v>26</v>
      </c>
      <c r="W448" s="4">
        <v>75</v>
      </c>
    </row>
    <row r="449" spans="1:23" ht="11.25" customHeight="1" x14ac:dyDescent="0.25">
      <c r="A449" s="4" t="s">
        <v>28</v>
      </c>
      <c r="B449" s="4" t="s">
        <v>33</v>
      </c>
      <c r="C449" s="4" t="s">
        <v>23</v>
      </c>
      <c r="D449" s="4" t="s">
        <v>34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44531</v>
      </c>
      <c r="J449" s="6">
        <v>0</v>
      </c>
      <c r="K449" s="6">
        <v>0</v>
      </c>
      <c r="L449" s="6">
        <v>2.2069999999999999</v>
      </c>
      <c r="M449" s="6">
        <v>2.2069999999999999</v>
      </c>
      <c r="N449" s="6">
        <v>2.2069999999999999</v>
      </c>
      <c r="O449" s="6">
        <v>2.2069999999999999</v>
      </c>
      <c r="P449" s="6">
        <v>2</v>
      </c>
      <c r="Q449" s="4" t="s">
        <v>26</v>
      </c>
      <c r="R449" s="4">
        <v>0</v>
      </c>
      <c r="S449" s="4" t="s">
        <v>265</v>
      </c>
      <c r="T449" s="4" t="s">
        <v>426</v>
      </c>
      <c r="U449" s="4">
        <v>0</v>
      </c>
      <c r="V449" s="4">
        <v>26</v>
      </c>
      <c r="W449" s="4">
        <v>75</v>
      </c>
    </row>
    <row r="450" spans="1:23" ht="11.25" customHeight="1" x14ac:dyDescent="0.25">
      <c r="A450" s="4" t="s">
        <v>21</v>
      </c>
      <c r="B450" s="4" t="s">
        <v>33</v>
      </c>
      <c r="C450" s="4" t="s">
        <v>23</v>
      </c>
      <c r="D450" s="4" t="s">
        <v>34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44562</v>
      </c>
      <c r="J450" s="6">
        <v>0</v>
      </c>
      <c r="K450" s="6">
        <v>0</v>
      </c>
      <c r="L450" s="6">
        <v>360.74799999999999</v>
      </c>
      <c r="M450" s="6">
        <v>360.74799999999999</v>
      </c>
      <c r="N450" s="6">
        <v>360.74799999999999</v>
      </c>
      <c r="O450" s="6">
        <v>360.74799999999999</v>
      </c>
      <c r="P450" s="6">
        <v>218</v>
      </c>
      <c r="Q450" s="4" t="s">
        <v>26</v>
      </c>
      <c r="R450" s="4">
        <v>0</v>
      </c>
      <c r="S450" s="4" t="s">
        <v>266</v>
      </c>
      <c r="T450" s="4" t="s">
        <v>427</v>
      </c>
      <c r="U450" s="4">
        <v>0</v>
      </c>
      <c r="V450" s="4">
        <v>26</v>
      </c>
      <c r="W450" s="4">
        <v>75</v>
      </c>
    </row>
    <row r="451" spans="1:23" ht="11.25" customHeight="1" x14ac:dyDescent="0.25">
      <c r="A451" s="4" t="s">
        <v>28</v>
      </c>
      <c r="B451" s="4" t="s">
        <v>33</v>
      </c>
      <c r="C451" s="4" t="s">
        <v>23</v>
      </c>
      <c r="D451" s="4" t="s">
        <v>34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44562</v>
      </c>
      <c r="J451" s="6">
        <v>0</v>
      </c>
      <c r="K451" s="6">
        <v>0</v>
      </c>
      <c r="L451" s="6">
        <v>0.2</v>
      </c>
      <c r="M451" s="6">
        <v>0.2</v>
      </c>
      <c r="N451" s="6">
        <v>0.2</v>
      </c>
      <c r="O451" s="6">
        <v>0.2</v>
      </c>
      <c r="P451" s="6">
        <v>2</v>
      </c>
      <c r="Q451" s="4" t="s">
        <v>26</v>
      </c>
      <c r="R451" s="4">
        <v>0</v>
      </c>
      <c r="S451" s="4" t="s">
        <v>266</v>
      </c>
      <c r="T451" s="4" t="s">
        <v>427</v>
      </c>
      <c r="U451" s="4">
        <v>0</v>
      </c>
      <c r="V451" s="4">
        <v>26</v>
      </c>
      <c r="W451" s="4">
        <v>75</v>
      </c>
    </row>
    <row r="452" spans="1:23" ht="11.25" customHeight="1" x14ac:dyDescent="0.25">
      <c r="A452" s="4" t="s">
        <v>21</v>
      </c>
      <c r="B452" s="4" t="s">
        <v>33</v>
      </c>
      <c r="C452" s="4" t="s">
        <v>23</v>
      </c>
      <c r="D452" s="4" t="s">
        <v>34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44593</v>
      </c>
      <c r="J452" s="6">
        <v>0</v>
      </c>
      <c r="K452" s="6">
        <v>0</v>
      </c>
      <c r="L452" s="6">
        <v>452.41800000000001</v>
      </c>
      <c r="M452" s="6">
        <v>452.41800000000001</v>
      </c>
      <c r="N452" s="6">
        <v>452.41800000000001</v>
      </c>
      <c r="O452" s="6">
        <v>452.41800000000001</v>
      </c>
      <c r="P452" s="6">
        <v>225</v>
      </c>
      <c r="Q452" s="4" t="s">
        <v>26</v>
      </c>
      <c r="R452" s="4">
        <v>0</v>
      </c>
      <c r="S452" s="4" t="s">
        <v>267</v>
      </c>
      <c r="T452" s="4" t="s">
        <v>428</v>
      </c>
      <c r="U452" s="4">
        <v>0</v>
      </c>
      <c r="V452" s="4">
        <v>26</v>
      </c>
      <c r="W452" s="4">
        <v>75</v>
      </c>
    </row>
    <row r="453" spans="1:23" ht="11.25" customHeight="1" x14ac:dyDescent="0.25">
      <c r="A453" s="4" t="s">
        <v>28</v>
      </c>
      <c r="B453" s="4" t="s">
        <v>33</v>
      </c>
      <c r="C453" s="4" t="s">
        <v>23</v>
      </c>
      <c r="D453" s="4" t="s">
        <v>34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44593</v>
      </c>
      <c r="J453" s="6">
        <v>0</v>
      </c>
      <c r="K453" s="6">
        <v>0</v>
      </c>
      <c r="L453" s="6">
        <v>0.2</v>
      </c>
      <c r="M453" s="6">
        <v>0.2</v>
      </c>
      <c r="N453" s="6">
        <v>0.2</v>
      </c>
      <c r="O453" s="6">
        <v>0.2</v>
      </c>
      <c r="P453" s="6">
        <v>2</v>
      </c>
      <c r="Q453" s="4" t="s">
        <v>26</v>
      </c>
      <c r="R453" s="4">
        <v>0</v>
      </c>
      <c r="S453" s="4" t="s">
        <v>267</v>
      </c>
      <c r="T453" s="4" t="s">
        <v>428</v>
      </c>
      <c r="U453" s="4">
        <v>0</v>
      </c>
      <c r="V453" s="4">
        <v>26</v>
      </c>
      <c r="W453" s="4">
        <v>75</v>
      </c>
    </row>
    <row r="454" spans="1:23" ht="11.25" customHeight="1" x14ac:dyDescent="0.25">
      <c r="A454" s="4" t="s">
        <v>21</v>
      </c>
      <c r="B454" s="4" t="s">
        <v>33</v>
      </c>
      <c r="C454" s="4" t="s">
        <v>23</v>
      </c>
      <c r="D454" s="4" t="s">
        <v>34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44621</v>
      </c>
      <c r="J454" s="6">
        <v>0</v>
      </c>
      <c r="K454" s="6">
        <v>0</v>
      </c>
      <c r="L454" s="6">
        <v>456.41500000000002</v>
      </c>
      <c r="M454" s="6">
        <v>456.41500000000002</v>
      </c>
      <c r="N454" s="6">
        <v>456.41500000000002</v>
      </c>
      <c r="O454" s="6">
        <v>456.41500000000002</v>
      </c>
      <c r="P454" s="6">
        <v>227</v>
      </c>
      <c r="Q454" s="4" t="s">
        <v>26</v>
      </c>
      <c r="R454" s="4">
        <v>0</v>
      </c>
      <c r="S454" s="4" t="s">
        <v>268</v>
      </c>
      <c r="T454" s="4" t="s">
        <v>429</v>
      </c>
      <c r="U454" s="4">
        <v>0</v>
      </c>
      <c r="V454" s="4">
        <v>26</v>
      </c>
      <c r="W454" s="4">
        <v>75</v>
      </c>
    </row>
    <row r="455" spans="1:23" ht="11.25" customHeight="1" x14ac:dyDescent="0.25">
      <c r="A455" s="4" t="s">
        <v>28</v>
      </c>
      <c r="B455" s="4" t="s">
        <v>33</v>
      </c>
      <c r="C455" s="4" t="s">
        <v>23</v>
      </c>
      <c r="D455" s="4" t="s">
        <v>34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44621</v>
      </c>
      <c r="J455" s="6">
        <v>0</v>
      </c>
      <c r="K455" s="6">
        <v>0</v>
      </c>
      <c r="L455" s="6">
        <v>0.2</v>
      </c>
      <c r="M455" s="6">
        <v>0.2</v>
      </c>
      <c r="N455" s="6">
        <v>0.2</v>
      </c>
      <c r="O455" s="6">
        <v>0.2</v>
      </c>
      <c r="P455" s="6">
        <v>2</v>
      </c>
      <c r="Q455" s="4" t="s">
        <v>26</v>
      </c>
      <c r="R455" s="4">
        <v>0</v>
      </c>
      <c r="S455" s="4" t="s">
        <v>268</v>
      </c>
      <c r="T455" s="4" t="s">
        <v>429</v>
      </c>
      <c r="U455" s="4">
        <v>0</v>
      </c>
      <c r="V455" s="4">
        <v>26</v>
      </c>
      <c r="W455" s="4">
        <v>75</v>
      </c>
    </row>
    <row r="456" spans="1:23" ht="11.25" customHeight="1" x14ac:dyDescent="0.25">
      <c r="A456" s="4" t="s">
        <v>21</v>
      </c>
      <c r="B456" s="4" t="s">
        <v>33</v>
      </c>
      <c r="C456" s="4" t="s">
        <v>23</v>
      </c>
      <c r="D456" s="4" t="s">
        <v>34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44652</v>
      </c>
      <c r="J456" s="6">
        <v>0</v>
      </c>
      <c r="K456" s="6">
        <v>0</v>
      </c>
      <c r="L456" s="6">
        <v>439.601</v>
      </c>
      <c r="M456" s="6">
        <v>439.601</v>
      </c>
      <c r="N456" s="6">
        <v>439.601</v>
      </c>
      <c r="O456" s="6">
        <v>439.601</v>
      </c>
      <c r="P456" s="6">
        <v>229</v>
      </c>
      <c r="Q456" s="4" t="s">
        <v>26</v>
      </c>
      <c r="R456" s="4">
        <v>0</v>
      </c>
      <c r="S456" s="4" t="s">
        <v>269</v>
      </c>
      <c r="T456" s="4" t="s">
        <v>430</v>
      </c>
      <c r="U456" s="4">
        <v>0</v>
      </c>
      <c r="V456" s="4">
        <v>26</v>
      </c>
      <c r="W456" s="4">
        <v>75</v>
      </c>
    </row>
    <row r="457" spans="1:23" ht="11.25" customHeight="1" x14ac:dyDescent="0.25">
      <c r="A457" s="4" t="s">
        <v>28</v>
      </c>
      <c r="B457" s="4" t="s">
        <v>33</v>
      </c>
      <c r="C457" s="4" t="s">
        <v>23</v>
      </c>
      <c r="D457" s="4" t="s">
        <v>34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44652</v>
      </c>
      <c r="J457" s="6">
        <v>0</v>
      </c>
      <c r="K457" s="6">
        <v>0</v>
      </c>
      <c r="L457" s="6">
        <v>2.9140000000000001</v>
      </c>
      <c r="M457" s="6">
        <v>2.9140000000000001</v>
      </c>
      <c r="N457" s="6">
        <v>2.9140000000000001</v>
      </c>
      <c r="O457" s="6">
        <v>2.9140000000000001</v>
      </c>
      <c r="P457" s="6">
        <v>2</v>
      </c>
      <c r="Q457" s="4" t="s">
        <v>26</v>
      </c>
      <c r="R457" s="4">
        <v>0</v>
      </c>
      <c r="S457" s="4" t="s">
        <v>269</v>
      </c>
      <c r="T457" s="4" t="s">
        <v>430</v>
      </c>
      <c r="U457" s="4">
        <v>0</v>
      </c>
      <c r="V457" s="4">
        <v>26</v>
      </c>
      <c r="W457" s="4">
        <v>75</v>
      </c>
    </row>
    <row r="458" spans="1:23" ht="11.25" customHeight="1" x14ac:dyDescent="0.25">
      <c r="A458" s="4" t="s">
        <v>21</v>
      </c>
      <c r="B458" s="4" t="s">
        <v>33</v>
      </c>
      <c r="C458" s="4" t="s">
        <v>23</v>
      </c>
      <c r="D458" s="4" t="s">
        <v>34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44682</v>
      </c>
      <c r="J458" s="6">
        <v>0</v>
      </c>
      <c r="K458" s="6">
        <v>0</v>
      </c>
      <c r="L458" s="6">
        <v>401.34</v>
      </c>
      <c r="M458" s="6">
        <v>401.34</v>
      </c>
      <c r="N458" s="6">
        <v>401.34</v>
      </c>
      <c r="O458" s="6">
        <v>401.34</v>
      </c>
      <c r="P458" s="6">
        <v>228</v>
      </c>
      <c r="Q458" s="4" t="s">
        <v>26</v>
      </c>
      <c r="R458" s="4">
        <v>0</v>
      </c>
      <c r="S458" s="4" t="s">
        <v>270</v>
      </c>
      <c r="T458" s="4" t="s">
        <v>431</v>
      </c>
      <c r="U458" s="4">
        <v>0</v>
      </c>
      <c r="V458" s="4">
        <v>26</v>
      </c>
      <c r="W458" s="4">
        <v>75</v>
      </c>
    </row>
    <row r="459" spans="1:23" ht="11.25" customHeight="1" x14ac:dyDescent="0.25">
      <c r="A459" s="4" t="s">
        <v>28</v>
      </c>
      <c r="B459" s="4" t="s">
        <v>33</v>
      </c>
      <c r="C459" s="4" t="s">
        <v>23</v>
      </c>
      <c r="D459" s="4" t="s">
        <v>34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44682</v>
      </c>
      <c r="J459" s="6">
        <v>0</v>
      </c>
      <c r="K459" s="6">
        <v>0</v>
      </c>
      <c r="L459" s="6">
        <v>6.3070000000000004</v>
      </c>
      <c r="M459" s="6">
        <v>6.3070000000000004</v>
      </c>
      <c r="N459" s="6">
        <v>6.3070000000000004</v>
      </c>
      <c r="O459" s="6">
        <v>6.3070000000000004</v>
      </c>
      <c r="P459" s="6">
        <v>3</v>
      </c>
      <c r="Q459" s="4" t="s">
        <v>26</v>
      </c>
      <c r="R459" s="4">
        <v>0</v>
      </c>
      <c r="S459" s="4" t="s">
        <v>270</v>
      </c>
      <c r="T459" s="4" t="s">
        <v>431</v>
      </c>
      <c r="U459" s="4">
        <v>0</v>
      </c>
      <c r="V459" s="4">
        <v>26</v>
      </c>
      <c r="W459" s="4">
        <v>75</v>
      </c>
    </row>
    <row r="460" spans="1:23" ht="11.25" customHeight="1" x14ac:dyDescent="0.25">
      <c r="A460" s="4" t="s">
        <v>21</v>
      </c>
      <c r="B460" s="4" t="s">
        <v>33</v>
      </c>
      <c r="C460" s="4" t="s">
        <v>23</v>
      </c>
      <c r="D460" s="4" t="s">
        <v>34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44713</v>
      </c>
      <c r="J460" s="6">
        <v>0</v>
      </c>
      <c r="K460" s="6">
        <v>0</v>
      </c>
      <c r="L460" s="6">
        <v>391.52</v>
      </c>
      <c r="M460" s="6">
        <v>391.52</v>
      </c>
      <c r="N460" s="6">
        <v>391.52</v>
      </c>
      <c r="O460" s="6">
        <v>391.52</v>
      </c>
      <c r="P460" s="6">
        <v>226</v>
      </c>
      <c r="Q460" s="4" t="s">
        <v>26</v>
      </c>
      <c r="R460" s="4">
        <v>0</v>
      </c>
      <c r="S460" s="4" t="s">
        <v>271</v>
      </c>
      <c r="T460" s="4" t="s">
        <v>432</v>
      </c>
      <c r="U460" s="4">
        <v>0</v>
      </c>
      <c r="V460" s="4">
        <v>26</v>
      </c>
      <c r="W460" s="4">
        <v>75</v>
      </c>
    </row>
    <row r="461" spans="1:23" ht="11.25" customHeight="1" x14ac:dyDescent="0.25">
      <c r="A461" s="4" t="s">
        <v>28</v>
      </c>
      <c r="B461" s="4" t="s">
        <v>33</v>
      </c>
      <c r="C461" s="4" t="s">
        <v>23</v>
      </c>
      <c r="D461" s="4" t="s">
        <v>34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44713</v>
      </c>
      <c r="J461" s="6">
        <v>0</v>
      </c>
      <c r="K461" s="6">
        <v>0</v>
      </c>
      <c r="L461" s="6">
        <v>12.25</v>
      </c>
      <c r="M461" s="6">
        <v>12.25</v>
      </c>
      <c r="N461" s="6">
        <v>12.25</v>
      </c>
      <c r="O461" s="6">
        <v>12.25</v>
      </c>
      <c r="P461" s="6">
        <v>5</v>
      </c>
      <c r="Q461" s="4" t="s">
        <v>26</v>
      </c>
      <c r="R461" s="4">
        <v>0</v>
      </c>
      <c r="S461" s="4" t="s">
        <v>271</v>
      </c>
      <c r="T461" s="4" t="s">
        <v>432</v>
      </c>
      <c r="U461" s="4">
        <v>0</v>
      </c>
      <c r="V461" s="4">
        <v>26</v>
      </c>
      <c r="W461" s="4">
        <v>75</v>
      </c>
    </row>
    <row r="462" spans="1:23" ht="11.25" customHeight="1" x14ac:dyDescent="0.25">
      <c r="A462" s="4" t="s">
        <v>21</v>
      </c>
      <c r="B462" s="4" t="s">
        <v>33</v>
      </c>
      <c r="C462" s="4" t="s">
        <v>23</v>
      </c>
      <c r="D462" s="4" t="s">
        <v>34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44743</v>
      </c>
      <c r="J462" s="6">
        <v>0</v>
      </c>
      <c r="K462" s="6">
        <v>0</v>
      </c>
      <c r="L462" s="6">
        <v>377.15899999999999</v>
      </c>
      <c r="M462" s="6">
        <v>377.15899999999999</v>
      </c>
      <c r="N462" s="6">
        <v>377.15899999999999</v>
      </c>
      <c r="O462" s="6">
        <v>377.15899999999999</v>
      </c>
      <c r="P462" s="6">
        <v>224</v>
      </c>
      <c r="Q462" s="4" t="s">
        <v>26</v>
      </c>
      <c r="R462" s="4">
        <v>0</v>
      </c>
      <c r="S462" s="4" t="s">
        <v>272</v>
      </c>
      <c r="T462" s="4" t="s">
        <v>433</v>
      </c>
      <c r="U462" s="4">
        <v>0</v>
      </c>
      <c r="V462" s="4">
        <v>26</v>
      </c>
      <c r="W462" s="4">
        <v>75</v>
      </c>
    </row>
    <row r="463" spans="1:23" ht="11.25" customHeight="1" x14ac:dyDescent="0.25">
      <c r="A463" s="4" t="s">
        <v>28</v>
      </c>
      <c r="B463" s="4" t="s">
        <v>33</v>
      </c>
      <c r="C463" s="4" t="s">
        <v>23</v>
      </c>
      <c r="D463" s="4" t="s">
        <v>34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44743</v>
      </c>
      <c r="J463" s="6">
        <v>0</v>
      </c>
      <c r="K463" s="6">
        <v>0</v>
      </c>
      <c r="L463" s="6">
        <v>10.179</v>
      </c>
      <c r="M463" s="6">
        <v>10.179</v>
      </c>
      <c r="N463" s="6">
        <v>10.179</v>
      </c>
      <c r="O463" s="6">
        <v>10.179</v>
      </c>
      <c r="P463" s="6">
        <v>5</v>
      </c>
      <c r="Q463" s="4" t="s">
        <v>26</v>
      </c>
      <c r="R463" s="4">
        <v>0</v>
      </c>
      <c r="S463" s="4" t="s">
        <v>272</v>
      </c>
      <c r="T463" s="4" t="s">
        <v>433</v>
      </c>
      <c r="U463" s="4">
        <v>0</v>
      </c>
      <c r="V463" s="4">
        <v>26</v>
      </c>
      <c r="W463" s="4">
        <v>75</v>
      </c>
    </row>
    <row r="464" spans="1:23" ht="11.25" customHeight="1" x14ac:dyDescent="0.25">
      <c r="A464" s="4" t="s">
        <v>57</v>
      </c>
      <c r="B464" s="4" t="s">
        <v>33</v>
      </c>
      <c r="C464" s="4" t="s">
        <v>23</v>
      </c>
      <c r="D464" s="4" t="s">
        <v>34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44774</v>
      </c>
      <c r="J464" s="6">
        <v>0</v>
      </c>
      <c r="K464" s="6">
        <v>0</v>
      </c>
      <c r="L464" s="6">
        <v>377.15899999999999</v>
      </c>
      <c r="M464" s="6">
        <v>377.15899999999999</v>
      </c>
      <c r="N464" s="6">
        <v>377.15899999999999</v>
      </c>
      <c r="O464" s="6">
        <v>377.15899999999999</v>
      </c>
      <c r="P464" s="6">
        <v>224</v>
      </c>
      <c r="Q464" s="4" t="s">
        <v>26</v>
      </c>
      <c r="R464" s="4">
        <v>0</v>
      </c>
      <c r="S464" s="4" t="s">
        <v>273</v>
      </c>
      <c r="T464" s="4" t="s">
        <v>434</v>
      </c>
      <c r="U464" s="4">
        <v>0</v>
      </c>
      <c r="V464" s="4">
        <v>26</v>
      </c>
      <c r="W464" s="4">
        <v>75</v>
      </c>
    </row>
    <row r="465" spans="1:23" ht="11.25" customHeight="1" x14ac:dyDescent="0.25">
      <c r="A465" s="4" t="s">
        <v>57</v>
      </c>
      <c r="B465" s="4" t="s">
        <v>33</v>
      </c>
      <c r="C465" s="4" t="s">
        <v>23</v>
      </c>
      <c r="D465" s="4" t="s">
        <v>34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44774</v>
      </c>
      <c r="J465" s="6">
        <v>0</v>
      </c>
      <c r="K465" s="6">
        <v>0</v>
      </c>
      <c r="L465" s="6">
        <v>10.179</v>
      </c>
      <c r="M465" s="6">
        <v>10.179</v>
      </c>
      <c r="N465" s="6">
        <v>10.179</v>
      </c>
      <c r="O465" s="6">
        <v>10.179</v>
      </c>
      <c r="P465" s="6">
        <v>5</v>
      </c>
      <c r="Q465" s="4" t="s">
        <v>26</v>
      </c>
      <c r="R465" s="4">
        <v>0</v>
      </c>
      <c r="S465" s="4" t="s">
        <v>273</v>
      </c>
      <c r="T465" s="4" t="s">
        <v>434</v>
      </c>
      <c r="U465" s="4">
        <v>0</v>
      </c>
      <c r="V465" s="4">
        <v>26</v>
      </c>
      <c r="W465" s="4">
        <v>75</v>
      </c>
    </row>
    <row r="466" spans="1:23" ht="11.25" customHeight="1" x14ac:dyDescent="0.25">
      <c r="A466" s="4" t="s">
        <v>21</v>
      </c>
      <c r="B466" s="4" t="s">
        <v>33</v>
      </c>
      <c r="C466" s="4" t="s">
        <v>23</v>
      </c>
      <c r="D466" s="4" t="s">
        <v>44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44440</v>
      </c>
      <c r="J466" s="6">
        <v>0</v>
      </c>
      <c r="K466" s="6">
        <v>0</v>
      </c>
      <c r="L466" s="6">
        <v>164.27799999999999</v>
      </c>
      <c r="M466" s="6">
        <v>164.27799999999999</v>
      </c>
      <c r="N466" s="6">
        <v>164.27799999999999</v>
      </c>
      <c r="O466" s="6">
        <v>164.27799999999999</v>
      </c>
      <c r="P466" s="6">
        <v>208</v>
      </c>
      <c r="Q466" s="4" t="s">
        <v>26</v>
      </c>
      <c r="R466" s="4">
        <v>0</v>
      </c>
      <c r="S466" s="4" t="s">
        <v>262</v>
      </c>
      <c r="T466" s="4" t="s">
        <v>423</v>
      </c>
      <c r="U466" s="4">
        <v>0</v>
      </c>
      <c r="V466" s="4">
        <v>26</v>
      </c>
      <c r="W466" s="4">
        <v>75</v>
      </c>
    </row>
    <row r="467" spans="1:23" ht="11.25" customHeight="1" x14ac:dyDescent="0.25">
      <c r="A467" s="4" t="s">
        <v>21</v>
      </c>
      <c r="B467" s="4" t="s">
        <v>33</v>
      </c>
      <c r="C467" s="4" t="s">
        <v>23</v>
      </c>
      <c r="D467" s="4" t="s">
        <v>44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44470</v>
      </c>
      <c r="J467" s="6">
        <v>0</v>
      </c>
      <c r="K467" s="6">
        <v>0</v>
      </c>
      <c r="L467" s="6">
        <v>160.94</v>
      </c>
      <c r="M467" s="6">
        <v>160.94</v>
      </c>
      <c r="N467" s="6">
        <v>160.94</v>
      </c>
      <c r="O467" s="6">
        <v>160.94</v>
      </c>
      <c r="P467" s="6">
        <v>210</v>
      </c>
      <c r="Q467" s="4" t="s">
        <v>26</v>
      </c>
      <c r="R467" s="4">
        <v>0</v>
      </c>
      <c r="S467" s="4" t="s">
        <v>263</v>
      </c>
      <c r="T467" s="4" t="s">
        <v>424</v>
      </c>
      <c r="U467" s="4">
        <v>0</v>
      </c>
      <c r="V467" s="4">
        <v>26</v>
      </c>
      <c r="W467" s="4">
        <v>75</v>
      </c>
    </row>
    <row r="468" spans="1:23" ht="11.25" customHeight="1" x14ac:dyDescent="0.25">
      <c r="A468" s="4" t="s">
        <v>21</v>
      </c>
      <c r="B468" s="4" t="s">
        <v>33</v>
      </c>
      <c r="C468" s="4" t="s">
        <v>23</v>
      </c>
      <c r="D468" s="4" t="s">
        <v>44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183.25700000000001</v>
      </c>
      <c r="M468" s="6">
        <v>183.25700000000001</v>
      </c>
      <c r="N468" s="6">
        <v>183.25700000000001</v>
      </c>
      <c r="O468" s="6">
        <v>183.25700000000001</v>
      </c>
      <c r="P468" s="6">
        <v>210</v>
      </c>
      <c r="Q468" s="4" t="s">
        <v>26</v>
      </c>
      <c r="R468" s="4">
        <v>0</v>
      </c>
      <c r="S468" s="4" t="s">
        <v>264</v>
      </c>
      <c r="T468" s="4" t="s">
        <v>425</v>
      </c>
      <c r="U468" s="4">
        <v>0</v>
      </c>
      <c r="V468" s="4">
        <v>26</v>
      </c>
      <c r="W468" s="4">
        <v>75</v>
      </c>
    </row>
    <row r="469" spans="1:23" ht="11.25" customHeight="1" x14ac:dyDescent="0.25">
      <c r="A469" s="4" t="s">
        <v>21</v>
      </c>
      <c r="B469" s="4" t="s">
        <v>33</v>
      </c>
      <c r="C469" s="4" t="s">
        <v>23</v>
      </c>
      <c r="D469" s="4" t="s">
        <v>44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44531</v>
      </c>
      <c r="J469" s="6">
        <v>0</v>
      </c>
      <c r="K469" s="6">
        <v>0</v>
      </c>
      <c r="L469" s="6">
        <v>203.458</v>
      </c>
      <c r="M469" s="6">
        <v>203.458</v>
      </c>
      <c r="N469" s="6">
        <v>203.458</v>
      </c>
      <c r="O469" s="6">
        <v>203.458</v>
      </c>
      <c r="P469" s="6">
        <v>211</v>
      </c>
      <c r="Q469" s="4" t="s">
        <v>26</v>
      </c>
      <c r="R469" s="4">
        <v>0</v>
      </c>
      <c r="S469" s="4" t="s">
        <v>265</v>
      </c>
      <c r="T469" s="4" t="s">
        <v>426</v>
      </c>
      <c r="U469" s="4">
        <v>0</v>
      </c>
      <c r="V469" s="4">
        <v>26</v>
      </c>
      <c r="W469" s="4">
        <v>75</v>
      </c>
    </row>
    <row r="470" spans="1:23" ht="11.25" customHeight="1" x14ac:dyDescent="0.25">
      <c r="A470" s="4" t="s">
        <v>21</v>
      </c>
      <c r="B470" s="4" t="s">
        <v>33</v>
      </c>
      <c r="C470" s="4" t="s">
        <v>23</v>
      </c>
      <c r="D470" s="4" t="s">
        <v>44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44562</v>
      </c>
      <c r="J470" s="6">
        <v>0</v>
      </c>
      <c r="K470" s="6">
        <v>0</v>
      </c>
      <c r="L470" s="6">
        <v>168.26599999999999</v>
      </c>
      <c r="M470" s="6">
        <v>168.26599999999999</v>
      </c>
      <c r="N470" s="6">
        <v>168.26599999999999</v>
      </c>
      <c r="O470" s="6">
        <v>168.26599999999999</v>
      </c>
      <c r="P470" s="6">
        <v>211</v>
      </c>
      <c r="Q470" s="4" t="s">
        <v>26</v>
      </c>
      <c r="R470" s="4">
        <v>0</v>
      </c>
      <c r="S470" s="4" t="s">
        <v>266</v>
      </c>
      <c r="T470" s="4" t="s">
        <v>427</v>
      </c>
      <c r="U470" s="4">
        <v>0</v>
      </c>
      <c r="V470" s="4">
        <v>26</v>
      </c>
      <c r="W470" s="4">
        <v>75</v>
      </c>
    </row>
    <row r="471" spans="1:23" ht="11.25" customHeight="1" x14ac:dyDescent="0.25">
      <c r="A471" s="4" t="s">
        <v>21</v>
      </c>
      <c r="B471" s="4" t="s">
        <v>33</v>
      </c>
      <c r="C471" s="4" t="s">
        <v>23</v>
      </c>
      <c r="D471" s="4" t="s">
        <v>44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44593</v>
      </c>
      <c r="J471" s="6">
        <v>0</v>
      </c>
      <c r="K471" s="6">
        <v>0</v>
      </c>
      <c r="L471" s="6">
        <v>190.214</v>
      </c>
      <c r="M471" s="6">
        <v>190.214</v>
      </c>
      <c r="N471" s="6">
        <v>190.214</v>
      </c>
      <c r="O471" s="6">
        <v>190.214</v>
      </c>
      <c r="P471" s="6">
        <v>211</v>
      </c>
      <c r="Q471" s="4" t="s">
        <v>26</v>
      </c>
      <c r="R471" s="4">
        <v>0</v>
      </c>
      <c r="S471" s="4" t="s">
        <v>267</v>
      </c>
      <c r="T471" s="4" t="s">
        <v>428</v>
      </c>
      <c r="U471" s="4">
        <v>0</v>
      </c>
      <c r="V471" s="4">
        <v>26</v>
      </c>
      <c r="W471" s="4">
        <v>75</v>
      </c>
    </row>
    <row r="472" spans="1:23" ht="11.25" customHeight="1" x14ac:dyDescent="0.25">
      <c r="A472" s="4" t="s">
        <v>21</v>
      </c>
      <c r="B472" s="4" t="s">
        <v>33</v>
      </c>
      <c r="C472" s="4" t="s">
        <v>23</v>
      </c>
      <c r="D472" s="4" t="s">
        <v>44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44621</v>
      </c>
      <c r="J472" s="6">
        <v>0</v>
      </c>
      <c r="K472" s="6">
        <v>0</v>
      </c>
      <c r="L472" s="6">
        <v>271.21300000000002</v>
      </c>
      <c r="M472" s="6">
        <v>271.21300000000002</v>
      </c>
      <c r="N472" s="6">
        <v>271.21300000000002</v>
      </c>
      <c r="O472" s="6">
        <v>271.21300000000002</v>
      </c>
      <c r="P472" s="6">
        <v>210</v>
      </c>
      <c r="Q472" s="4" t="s">
        <v>26</v>
      </c>
      <c r="R472" s="4">
        <v>0</v>
      </c>
      <c r="S472" s="4" t="s">
        <v>268</v>
      </c>
      <c r="T472" s="4" t="s">
        <v>429</v>
      </c>
      <c r="U472" s="4">
        <v>0</v>
      </c>
      <c r="V472" s="4">
        <v>26</v>
      </c>
      <c r="W472" s="4">
        <v>75</v>
      </c>
    </row>
    <row r="473" spans="1:23" ht="11.25" customHeight="1" x14ac:dyDescent="0.25">
      <c r="A473" s="4" t="s">
        <v>21</v>
      </c>
      <c r="B473" s="4" t="s">
        <v>33</v>
      </c>
      <c r="C473" s="4" t="s">
        <v>23</v>
      </c>
      <c r="D473" s="4" t="s">
        <v>44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44652</v>
      </c>
      <c r="J473" s="6">
        <v>0</v>
      </c>
      <c r="K473" s="6">
        <v>0</v>
      </c>
      <c r="L473" s="6">
        <v>203.14</v>
      </c>
      <c r="M473" s="6">
        <v>203.14</v>
      </c>
      <c r="N473" s="6">
        <v>203.14</v>
      </c>
      <c r="O473" s="6">
        <v>203.14</v>
      </c>
      <c r="P473" s="6">
        <v>219</v>
      </c>
      <c r="Q473" s="4" t="s">
        <v>26</v>
      </c>
      <c r="R473" s="4">
        <v>0</v>
      </c>
      <c r="S473" s="4" t="s">
        <v>269</v>
      </c>
      <c r="T473" s="4" t="s">
        <v>430</v>
      </c>
      <c r="U473" s="4">
        <v>0</v>
      </c>
      <c r="V473" s="4">
        <v>26</v>
      </c>
      <c r="W473" s="4">
        <v>75</v>
      </c>
    </row>
    <row r="474" spans="1:23" ht="11.25" customHeight="1" x14ac:dyDescent="0.25">
      <c r="A474" s="4" t="s">
        <v>21</v>
      </c>
      <c r="B474" s="4" t="s">
        <v>33</v>
      </c>
      <c r="C474" s="4" t="s">
        <v>23</v>
      </c>
      <c r="D474" s="4" t="s">
        <v>44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44682</v>
      </c>
      <c r="J474" s="6">
        <v>0</v>
      </c>
      <c r="K474" s="6">
        <v>0</v>
      </c>
      <c r="L474" s="6">
        <v>152.38800000000001</v>
      </c>
      <c r="M474" s="6">
        <v>152.38800000000001</v>
      </c>
      <c r="N474" s="6">
        <v>152.38800000000001</v>
      </c>
      <c r="O474" s="6">
        <v>152.38800000000001</v>
      </c>
      <c r="P474" s="6">
        <v>218</v>
      </c>
      <c r="Q474" s="4" t="s">
        <v>26</v>
      </c>
      <c r="R474" s="4">
        <v>0</v>
      </c>
      <c r="S474" s="4" t="s">
        <v>270</v>
      </c>
      <c r="T474" s="4" t="s">
        <v>431</v>
      </c>
      <c r="U474" s="4">
        <v>0</v>
      </c>
      <c r="V474" s="4">
        <v>26</v>
      </c>
      <c r="W474" s="4">
        <v>75</v>
      </c>
    </row>
    <row r="475" spans="1:23" ht="11.25" customHeight="1" x14ac:dyDescent="0.25">
      <c r="A475" s="4" t="s">
        <v>28</v>
      </c>
      <c r="B475" s="4" t="s">
        <v>33</v>
      </c>
      <c r="C475" s="4" t="s">
        <v>23</v>
      </c>
      <c r="D475" s="4" t="s">
        <v>44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44682</v>
      </c>
      <c r="J475" s="6">
        <v>0</v>
      </c>
      <c r="K475" s="6">
        <v>0</v>
      </c>
      <c r="L475" s="6">
        <v>0.2</v>
      </c>
      <c r="M475" s="6">
        <v>0.2</v>
      </c>
      <c r="N475" s="6">
        <v>0.2</v>
      </c>
      <c r="O475" s="6">
        <v>0.2</v>
      </c>
      <c r="P475" s="6">
        <v>2</v>
      </c>
      <c r="Q475" s="4" t="s">
        <v>26</v>
      </c>
      <c r="R475" s="4">
        <v>0</v>
      </c>
      <c r="S475" s="4" t="s">
        <v>270</v>
      </c>
      <c r="T475" s="4" t="s">
        <v>431</v>
      </c>
      <c r="U475" s="4">
        <v>0</v>
      </c>
      <c r="V475" s="4">
        <v>26</v>
      </c>
      <c r="W475" s="4">
        <v>75</v>
      </c>
    </row>
    <row r="476" spans="1:23" ht="11.25" customHeight="1" x14ac:dyDescent="0.25">
      <c r="A476" s="4" t="s">
        <v>21</v>
      </c>
      <c r="B476" s="4" t="s">
        <v>33</v>
      </c>
      <c r="C476" s="4" t="s">
        <v>23</v>
      </c>
      <c r="D476" s="4" t="s">
        <v>44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44713</v>
      </c>
      <c r="J476" s="6">
        <v>0</v>
      </c>
      <c r="K476" s="6">
        <v>0</v>
      </c>
      <c r="L476" s="6">
        <v>151.66300000000001</v>
      </c>
      <c r="M476" s="6">
        <v>151.66300000000001</v>
      </c>
      <c r="N476" s="6">
        <v>151.66300000000001</v>
      </c>
      <c r="O476" s="6">
        <v>151.66300000000001</v>
      </c>
      <c r="P476" s="6">
        <v>217</v>
      </c>
      <c r="Q476" s="4" t="s">
        <v>26</v>
      </c>
      <c r="R476" s="4">
        <v>0</v>
      </c>
      <c r="S476" s="4" t="s">
        <v>271</v>
      </c>
      <c r="T476" s="4" t="s">
        <v>432</v>
      </c>
      <c r="U476" s="4">
        <v>0</v>
      </c>
      <c r="V476" s="4">
        <v>26</v>
      </c>
      <c r="W476" s="4">
        <v>75</v>
      </c>
    </row>
    <row r="477" spans="1:23" ht="11.25" customHeight="1" x14ac:dyDescent="0.25">
      <c r="A477" s="4" t="s">
        <v>28</v>
      </c>
      <c r="B477" s="4" t="s">
        <v>33</v>
      </c>
      <c r="C477" s="4" t="s">
        <v>23</v>
      </c>
      <c r="D477" s="4" t="s">
        <v>44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44713</v>
      </c>
      <c r="J477" s="6">
        <v>0</v>
      </c>
      <c r="K477" s="6">
        <v>0</v>
      </c>
      <c r="L477" s="6">
        <v>0.2</v>
      </c>
      <c r="M477" s="6">
        <v>0.2</v>
      </c>
      <c r="N477" s="6">
        <v>0.2</v>
      </c>
      <c r="O477" s="6">
        <v>0.2</v>
      </c>
      <c r="P477" s="6">
        <v>2</v>
      </c>
      <c r="Q477" s="4" t="s">
        <v>26</v>
      </c>
      <c r="R477" s="4">
        <v>0</v>
      </c>
      <c r="S477" s="4" t="s">
        <v>271</v>
      </c>
      <c r="T477" s="4" t="s">
        <v>432</v>
      </c>
      <c r="U477" s="4">
        <v>0</v>
      </c>
      <c r="V477" s="4">
        <v>26</v>
      </c>
      <c r="W477" s="4">
        <v>75</v>
      </c>
    </row>
    <row r="478" spans="1:23" ht="11.25" customHeight="1" x14ac:dyDescent="0.25">
      <c r="A478" s="4" t="s">
        <v>21</v>
      </c>
      <c r="B478" s="4" t="s">
        <v>33</v>
      </c>
      <c r="C478" s="4" t="s">
        <v>23</v>
      </c>
      <c r="D478" s="4" t="s">
        <v>44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44743</v>
      </c>
      <c r="J478" s="6">
        <v>0</v>
      </c>
      <c r="K478" s="6">
        <v>0</v>
      </c>
      <c r="L478" s="6">
        <v>155.661</v>
      </c>
      <c r="M478" s="6">
        <v>155.661</v>
      </c>
      <c r="N478" s="6">
        <v>155.661</v>
      </c>
      <c r="O478" s="6">
        <v>155.661</v>
      </c>
      <c r="P478" s="6">
        <v>217</v>
      </c>
      <c r="Q478" s="4" t="s">
        <v>26</v>
      </c>
      <c r="R478" s="4">
        <v>0</v>
      </c>
      <c r="S478" s="4" t="s">
        <v>272</v>
      </c>
      <c r="T478" s="4" t="s">
        <v>433</v>
      </c>
      <c r="U478" s="4">
        <v>0</v>
      </c>
      <c r="V478" s="4">
        <v>26</v>
      </c>
      <c r="W478" s="4">
        <v>75</v>
      </c>
    </row>
    <row r="479" spans="1:23" ht="11.25" customHeight="1" x14ac:dyDescent="0.25">
      <c r="A479" s="4" t="s">
        <v>28</v>
      </c>
      <c r="B479" s="4" t="s">
        <v>33</v>
      </c>
      <c r="C479" s="4" t="s">
        <v>23</v>
      </c>
      <c r="D479" s="4" t="s">
        <v>44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44743</v>
      </c>
      <c r="J479" s="6">
        <v>0</v>
      </c>
      <c r="K479" s="6">
        <v>0</v>
      </c>
      <c r="L479" s="6">
        <v>0.2</v>
      </c>
      <c r="M479" s="6">
        <v>0.2</v>
      </c>
      <c r="N479" s="6">
        <v>0.2</v>
      </c>
      <c r="O479" s="6">
        <v>0.2</v>
      </c>
      <c r="P479" s="6">
        <v>2</v>
      </c>
      <c r="Q479" s="4" t="s">
        <v>26</v>
      </c>
      <c r="R479" s="4">
        <v>0</v>
      </c>
      <c r="S479" s="4" t="s">
        <v>272</v>
      </c>
      <c r="T479" s="4" t="s">
        <v>433</v>
      </c>
      <c r="U479" s="4">
        <v>0</v>
      </c>
      <c r="V479" s="4">
        <v>26</v>
      </c>
      <c r="W479" s="4">
        <v>75</v>
      </c>
    </row>
    <row r="480" spans="1:23" ht="11.25" customHeight="1" x14ac:dyDescent="0.25">
      <c r="A480" s="4" t="s">
        <v>57</v>
      </c>
      <c r="B480" s="4" t="s">
        <v>33</v>
      </c>
      <c r="C480" s="4" t="s">
        <v>23</v>
      </c>
      <c r="D480" s="4" t="s">
        <v>44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44774</v>
      </c>
      <c r="J480" s="6">
        <v>0</v>
      </c>
      <c r="K480" s="6">
        <v>0</v>
      </c>
      <c r="L480" s="6">
        <v>155.661</v>
      </c>
      <c r="M480" s="6">
        <v>155.661</v>
      </c>
      <c r="N480" s="6">
        <v>155.661</v>
      </c>
      <c r="O480" s="6">
        <v>155.661</v>
      </c>
      <c r="P480" s="6">
        <v>217</v>
      </c>
      <c r="Q480" s="4" t="s">
        <v>26</v>
      </c>
      <c r="R480" s="4">
        <v>0</v>
      </c>
      <c r="S480" s="4" t="s">
        <v>273</v>
      </c>
      <c r="T480" s="4" t="s">
        <v>434</v>
      </c>
      <c r="U480" s="4">
        <v>0</v>
      </c>
      <c r="V480" s="4">
        <v>26</v>
      </c>
      <c r="W480" s="4">
        <v>75</v>
      </c>
    </row>
    <row r="481" spans="1:23" ht="11.25" customHeight="1" x14ac:dyDescent="0.25">
      <c r="A481" s="4" t="s">
        <v>57</v>
      </c>
      <c r="B481" s="4" t="s">
        <v>33</v>
      </c>
      <c r="C481" s="4" t="s">
        <v>23</v>
      </c>
      <c r="D481" s="4" t="s">
        <v>44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44774</v>
      </c>
      <c r="J481" s="6">
        <v>0</v>
      </c>
      <c r="K481" s="6">
        <v>0</v>
      </c>
      <c r="L481" s="6">
        <v>0.2</v>
      </c>
      <c r="M481" s="6">
        <v>0.2</v>
      </c>
      <c r="N481" s="6">
        <v>0.2</v>
      </c>
      <c r="O481" s="6">
        <v>0.2</v>
      </c>
      <c r="P481" s="6">
        <v>2</v>
      </c>
      <c r="Q481" s="4" t="s">
        <v>26</v>
      </c>
      <c r="R481" s="4">
        <v>0</v>
      </c>
      <c r="S481" s="4" t="s">
        <v>273</v>
      </c>
      <c r="T481" s="4" t="s">
        <v>434</v>
      </c>
      <c r="U481" s="4">
        <v>0</v>
      </c>
      <c r="V481" s="4">
        <v>26</v>
      </c>
      <c r="W481" s="4">
        <v>75</v>
      </c>
    </row>
    <row r="482" spans="1:23" ht="11.25" customHeight="1" x14ac:dyDescent="0.25">
      <c r="A482" s="4" t="s">
        <v>21</v>
      </c>
      <c r="B482" s="4" t="s">
        <v>33</v>
      </c>
      <c r="C482" s="4" t="s">
        <v>23</v>
      </c>
      <c r="D482" s="4" t="s">
        <v>48</v>
      </c>
      <c r="E482" s="4" t="s">
        <v>49</v>
      </c>
      <c r="F482" s="4" t="s">
        <v>25</v>
      </c>
      <c r="G482" s="4" t="s">
        <v>25</v>
      </c>
      <c r="H482" s="4" t="s">
        <v>25</v>
      </c>
      <c r="I482" s="5">
        <v>44440</v>
      </c>
      <c r="J482" s="6">
        <v>0</v>
      </c>
      <c r="K482" s="6">
        <v>0</v>
      </c>
      <c r="L482" s="6">
        <v>76.369</v>
      </c>
      <c r="M482" s="6">
        <v>71.78685999999999</v>
      </c>
      <c r="N482" s="6">
        <v>76.369</v>
      </c>
      <c r="O482" s="6">
        <v>71.78685999999999</v>
      </c>
      <c r="P482" s="6">
        <v>29</v>
      </c>
      <c r="Q482" s="4" t="s">
        <v>26</v>
      </c>
      <c r="R482" s="4">
        <v>0</v>
      </c>
      <c r="S482" s="4" t="s">
        <v>262</v>
      </c>
      <c r="T482" s="4" t="s">
        <v>423</v>
      </c>
      <c r="U482" s="4">
        <v>0</v>
      </c>
      <c r="V482" s="4">
        <v>26</v>
      </c>
      <c r="W482" s="4">
        <v>75</v>
      </c>
    </row>
    <row r="483" spans="1:23" ht="11.25" customHeight="1" x14ac:dyDescent="0.25">
      <c r="A483" s="4" t="s">
        <v>21</v>
      </c>
      <c r="B483" s="4" t="s">
        <v>33</v>
      </c>
      <c r="C483" s="4" t="s">
        <v>23</v>
      </c>
      <c r="D483" s="4" t="s">
        <v>48</v>
      </c>
      <c r="E483" s="4" t="s">
        <v>49</v>
      </c>
      <c r="F483" s="4" t="s">
        <v>25</v>
      </c>
      <c r="G483" s="4" t="s">
        <v>25</v>
      </c>
      <c r="H483" s="4" t="s">
        <v>25</v>
      </c>
      <c r="I483" s="5">
        <v>44470</v>
      </c>
      <c r="J483" s="6">
        <v>0</v>
      </c>
      <c r="K483" s="6">
        <v>0</v>
      </c>
      <c r="L483" s="6">
        <v>77.210999999999999</v>
      </c>
      <c r="M483" s="6">
        <v>72.578339999999997</v>
      </c>
      <c r="N483" s="6">
        <v>77.210999999999999</v>
      </c>
      <c r="O483" s="6">
        <v>72.578339999999997</v>
      </c>
      <c r="P483" s="6">
        <v>28</v>
      </c>
      <c r="Q483" s="4" t="s">
        <v>26</v>
      </c>
      <c r="R483" s="4">
        <v>0</v>
      </c>
      <c r="S483" s="4" t="s">
        <v>263</v>
      </c>
      <c r="T483" s="4" t="s">
        <v>424</v>
      </c>
      <c r="U483" s="4">
        <v>0</v>
      </c>
      <c r="V483" s="4">
        <v>26</v>
      </c>
      <c r="W483" s="4">
        <v>75</v>
      </c>
    </row>
    <row r="484" spans="1:23" ht="11.25" customHeight="1" x14ac:dyDescent="0.25">
      <c r="A484" s="4" t="s">
        <v>21</v>
      </c>
      <c r="B484" s="4" t="s">
        <v>33</v>
      </c>
      <c r="C484" s="4" t="s">
        <v>23</v>
      </c>
      <c r="D484" s="4" t="s">
        <v>48</v>
      </c>
      <c r="E484" s="4" t="s">
        <v>49</v>
      </c>
      <c r="F484" s="4" t="s">
        <v>25</v>
      </c>
      <c r="G484" s="4" t="s">
        <v>25</v>
      </c>
      <c r="H484" s="4" t="s">
        <v>25</v>
      </c>
      <c r="I484" s="5">
        <v>44501</v>
      </c>
      <c r="J484" s="6">
        <v>0</v>
      </c>
      <c r="K484" s="6">
        <v>0</v>
      </c>
      <c r="L484" s="6">
        <v>74.158000000000001</v>
      </c>
      <c r="M484" s="6">
        <v>69.708519999999993</v>
      </c>
      <c r="N484" s="6">
        <v>74.158000000000001</v>
      </c>
      <c r="O484" s="6">
        <v>69.708519999999993</v>
      </c>
      <c r="P484" s="6">
        <v>28</v>
      </c>
      <c r="Q484" s="4" t="s">
        <v>26</v>
      </c>
      <c r="R484" s="4">
        <v>0</v>
      </c>
      <c r="S484" s="4" t="s">
        <v>264</v>
      </c>
      <c r="T484" s="4" t="s">
        <v>425</v>
      </c>
      <c r="U484" s="4">
        <v>0</v>
      </c>
      <c r="V484" s="4">
        <v>26</v>
      </c>
      <c r="W484" s="4">
        <v>75</v>
      </c>
    </row>
    <row r="485" spans="1:23" ht="11.25" customHeight="1" x14ac:dyDescent="0.25">
      <c r="A485" s="4" t="s">
        <v>21</v>
      </c>
      <c r="B485" s="4" t="s">
        <v>33</v>
      </c>
      <c r="C485" s="4" t="s">
        <v>23</v>
      </c>
      <c r="D485" s="4" t="s">
        <v>48</v>
      </c>
      <c r="E485" s="4" t="s">
        <v>49</v>
      </c>
      <c r="F485" s="4" t="s">
        <v>25</v>
      </c>
      <c r="G485" s="4" t="s">
        <v>25</v>
      </c>
      <c r="H485" s="4" t="s">
        <v>25</v>
      </c>
      <c r="I485" s="5">
        <v>44531</v>
      </c>
      <c r="J485" s="6">
        <v>0</v>
      </c>
      <c r="K485" s="6">
        <v>0</v>
      </c>
      <c r="L485" s="6">
        <v>73.266000000000005</v>
      </c>
      <c r="M485" s="6">
        <v>68.870040000000003</v>
      </c>
      <c r="N485" s="6">
        <v>73.266000000000005</v>
      </c>
      <c r="O485" s="6">
        <v>68.870040000000003</v>
      </c>
      <c r="P485" s="6">
        <v>28</v>
      </c>
      <c r="Q485" s="4" t="s">
        <v>26</v>
      </c>
      <c r="R485" s="4">
        <v>0</v>
      </c>
      <c r="S485" s="4" t="s">
        <v>265</v>
      </c>
      <c r="T485" s="4" t="s">
        <v>426</v>
      </c>
      <c r="U485" s="4">
        <v>0</v>
      </c>
      <c r="V485" s="4">
        <v>26</v>
      </c>
      <c r="W485" s="4">
        <v>75</v>
      </c>
    </row>
    <row r="486" spans="1:23" ht="11.25" customHeight="1" x14ac:dyDescent="0.25">
      <c r="A486" s="4" t="s">
        <v>21</v>
      </c>
      <c r="B486" s="4" t="s">
        <v>33</v>
      </c>
      <c r="C486" s="4" t="s">
        <v>23</v>
      </c>
      <c r="D486" s="4" t="s">
        <v>48</v>
      </c>
      <c r="E486" s="4" t="s">
        <v>49</v>
      </c>
      <c r="F486" s="4" t="s">
        <v>25</v>
      </c>
      <c r="G486" s="4" t="s">
        <v>25</v>
      </c>
      <c r="H486" s="4" t="s">
        <v>25</v>
      </c>
      <c r="I486" s="5">
        <v>44562</v>
      </c>
      <c r="J486" s="6">
        <v>0</v>
      </c>
      <c r="K486" s="6">
        <v>0</v>
      </c>
      <c r="L486" s="6">
        <v>77.051000000000002</v>
      </c>
      <c r="M486" s="6">
        <v>72.427940000000007</v>
      </c>
      <c r="N486" s="6">
        <v>77.051000000000002</v>
      </c>
      <c r="O486" s="6">
        <v>72.427940000000007</v>
      </c>
      <c r="P486" s="6">
        <v>28</v>
      </c>
      <c r="Q486" s="4" t="s">
        <v>26</v>
      </c>
      <c r="R486" s="4">
        <v>0</v>
      </c>
      <c r="S486" s="4" t="s">
        <v>266</v>
      </c>
      <c r="T486" s="4" t="s">
        <v>427</v>
      </c>
      <c r="U486" s="4">
        <v>0</v>
      </c>
      <c r="V486" s="4">
        <v>26</v>
      </c>
      <c r="W486" s="4">
        <v>75</v>
      </c>
    </row>
    <row r="487" spans="1:23" ht="11.25" customHeight="1" x14ac:dyDescent="0.25">
      <c r="A487" s="4" t="s">
        <v>21</v>
      </c>
      <c r="B487" s="4" t="s">
        <v>33</v>
      </c>
      <c r="C487" s="4" t="s">
        <v>23</v>
      </c>
      <c r="D487" s="4" t="s">
        <v>48</v>
      </c>
      <c r="E487" s="4" t="s">
        <v>49</v>
      </c>
      <c r="F487" s="4" t="s">
        <v>25</v>
      </c>
      <c r="G487" s="4" t="s">
        <v>25</v>
      </c>
      <c r="H487" s="4" t="s">
        <v>25</v>
      </c>
      <c r="I487" s="5">
        <v>44593</v>
      </c>
      <c r="J487" s="6">
        <v>0</v>
      </c>
      <c r="K487" s="6">
        <v>0</v>
      </c>
      <c r="L487" s="6">
        <v>70.441000000000003</v>
      </c>
      <c r="M487" s="6">
        <v>66.21454</v>
      </c>
      <c r="N487" s="6">
        <v>70.441000000000003</v>
      </c>
      <c r="O487" s="6">
        <v>66.21454</v>
      </c>
      <c r="P487" s="6">
        <v>28</v>
      </c>
      <c r="Q487" s="4" t="s">
        <v>26</v>
      </c>
      <c r="R487" s="4">
        <v>0</v>
      </c>
      <c r="S487" s="4" t="s">
        <v>267</v>
      </c>
      <c r="T487" s="4" t="s">
        <v>428</v>
      </c>
      <c r="U487" s="4">
        <v>0</v>
      </c>
      <c r="V487" s="4">
        <v>26</v>
      </c>
      <c r="W487" s="4">
        <v>75</v>
      </c>
    </row>
    <row r="488" spans="1:23" ht="11.25" customHeight="1" x14ac:dyDescent="0.25">
      <c r="A488" s="4" t="s">
        <v>21</v>
      </c>
      <c r="B488" s="4" t="s">
        <v>33</v>
      </c>
      <c r="C488" s="4" t="s">
        <v>23</v>
      </c>
      <c r="D488" s="4" t="s">
        <v>48</v>
      </c>
      <c r="E488" s="4" t="s">
        <v>49</v>
      </c>
      <c r="F488" s="4" t="s">
        <v>25</v>
      </c>
      <c r="G488" s="4" t="s">
        <v>25</v>
      </c>
      <c r="H488" s="4" t="s">
        <v>25</v>
      </c>
      <c r="I488" s="5">
        <v>44621</v>
      </c>
      <c r="J488" s="6">
        <v>0</v>
      </c>
      <c r="K488" s="6">
        <v>0</v>
      </c>
      <c r="L488" s="6">
        <v>73.941999999999993</v>
      </c>
      <c r="M488" s="6">
        <v>69.505480000000006</v>
      </c>
      <c r="N488" s="6">
        <v>73.941999999999993</v>
      </c>
      <c r="O488" s="6">
        <v>69.505480000000006</v>
      </c>
      <c r="P488" s="6">
        <v>28</v>
      </c>
      <c r="Q488" s="4" t="s">
        <v>26</v>
      </c>
      <c r="R488" s="4">
        <v>0</v>
      </c>
      <c r="S488" s="4" t="s">
        <v>268</v>
      </c>
      <c r="T488" s="4" t="s">
        <v>429</v>
      </c>
      <c r="U488" s="4">
        <v>0</v>
      </c>
      <c r="V488" s="4">
        <v>26</v>
      </c>
      <c r="W488" s="4">
        <v>75</v>
      </c>
    </row>
    <row r="489" spans="1:23" ht="11.25" customHeight="1" x14ac:dyDescent="0.25">
      <c r="A489" s="4" t="s">
        <v>21</v>
      </c>
      <c r="B489" s="4" t="s">
        <v>33</v>
      </c>
      <c r="C489" s="4" t="s">
        <v>23</v>
      </c>
      <c r="D489" s="4" t="s">
        <v>48</v>
      </c>
      <c r="E489" s="4" t="s">
        <v>49</v>
      </c>
      <c r="F489" s="4" t="s">
        <v>25</v>
      </c>
      <c r="G489" s="4" t="s">
        <v>25</v>
      </c>
      <c r="H489" s="4" t="s">
        <v>25</v>
      </c>
      <c r="I489" s="5">
        <v>44652</v>
      </c>
      <c r="J489" s="6">
        <v>0</v>
      </c>
      <c r="K489" s="6">
        <v>0</v>
      </c>
      <c r="L489" s="6">
        <v>75.911000000000001</v>
      </c>
      <c r="M489" s="6">
        <v>71.356340000000003</v>
      </c>
      <c r="N489" s="6">
        <v>75.911000000000001</v>
      </c>
      <c r="O489" s="6">
        <v>71.356340000000003</v>
      </c>
      <c r="P489" s="6">
        <v>27</v>
      </c>
      <c r="Q489" s="4" t="s">
        <v>26</v>
      </c>
      <c r="R489" s="4">
        <v>0</v>
      </c>
      <c r="S489" s="4" t="s">
        <v>269</v>
      </c>
      <c r="T489" s="4" t="s">
        <v>430</v>
      </c>
      <c r="U489" s="4">
        <v>0</v>
      </c>
      <c r="V489" s="4">
        <v>26</v>
      </c>
      <c r="W489" s="4">
        <v>75</v>
      </c>
    </row>
    <row r="490" spans="1:23" ht="11.25" customHeight="1" x14ac:dyDescent="0.25">
      <c r="A490" s="4" t="s">
        <v>21</v>
      </c>
      <c r="B490" s="4" t="s">
        <v>33</v>
      </c>
      <c r="C490" s="4" t="s">
        <v>23</v>
      </c>
      <c r="D490" s="4" t="s">
        <v>48</v>
      </c>
      <c r="E490" s="4" t="s">
        <v>49</v>
      </c>
      <c r="F490" s="4" t="s">
        <v>25</v>
      </c>
      <c r="G490" s="4" t="s">
        <v>25</v>
      </c>
      <c r="H490" s="4" t="s">
        <v>25</v>
      </c>
      <c r="I490" s="5">
        <v>44682</v>
      </c>
      <c r="J490" s="6">
        <v>0</v>
      </c>
      <c r="K490" s="6">
        <v>0</v>
      </c>
      <c r="L490" s="6">
        <v>72.224999999999994</v>
      </c>
      <c r="M490" s="6">
        <v>67.891499999999994</v>
      </c>
      <c r="N490" s="6">
        <v>72.224999999999994</v>
      </c>
      <c r="O490" s="6">
        <v>67.891499999999994</v>
      </c>
      <c r="P490" s="6">
        <v>27</v>
      </c>
      <c r="Q490" s="4" t="s">
        <v>26</v>
      </c>
      <c r="R490" s="4">
        <v>0</v>
      </c>
      <c r="S490" s="4" t="s">
        <v>270</v>
      </c>
      <c r="T490" s="4" t="s">
        <v>431</v>
      </c>
      <c r="U490" s="4">
        <v>0</v>
      </c>
      <c r="V490" s="4">
        <v>26</v>
      </c>
      <c r="W490" s="4">
        <v>75</v>
      </c>
    </row>
    <row r="491" spans="1:23" ht="11.25" customHeight="1" x14ac:dyDescent="0.25">
      <c r="A491" s="4" t="s">
        <v>21</v>
      </c>
      <c r="B491" s="4" t="s">
        <v>33</v>
      </c>
      <c r="C491" s="4" t="s">
        <v>23</v>
      </c>
      <c r="D491" s="4" t="s">
        <v>48</v>
      </c>
      <c r="E491" s="4" t="s">
        <v>49</v>
      </c>
      <c r="F491" s="4" t="s">
        <v>25</v>
      </c>
      <c r="G491" s="4" t="s">
        <v>25</v>
      </c>
      <c r="H491" s="4" t="s">
        <v>25</v>
      </c>
      <c r="I491" s="5">
        <v>44713</v>
      </c>
      <c r="J491" s="6">
        <v>0</v>
      </c>
      <c r="K491" s="6">
        <v>0</v>
      </c>
      <c r="L491" s="6">
        <v>75.765000000000001</v>
      </c>
      <c r="M491" s="6">
        <v>71.219099999999997</v>
      </c>
      <c r="N491" s="6">
        <v>75.765000000000001</v>
      </c>
      <c r="O491" s="6">
        <v>71.219099999999997</v>
      </c>
      <c r="P491" s="6">
        <v>27</v>
      </c>
      <c r="Q491" s="4" t="s">
        <v>26</v>
      </c>
      <c r="R491" s="4">
        <v>0</v>
      </c>
      <c r="S491" s="4" t="s">
        <v>271</v>
      </c>
      <c r="T491" s="4" t="s">
        <v>432</v>
      </c>
      <c r="U491" s="4">
        <v>0</v>
      </c>
      <c r="V491" s="4">
        <v>26</v>
      </c>
      <c r="W491" s="4">
        <v>75</v>
      </c>
    </row>
    <row r="492" spans="1:23" ht="11.25" customHeight="1" x14ac:dyDescent="0.25">
      <c r="A492" s="4" t="s">
        <v>21</v>
      </c>
      <c r="B492" s="4" t="s">
        <v>33</v>
      </c>
      <c r="C492" s="4" t="s">
        <v>23</v>
      </c>
      <c r="D492" s="4" t="s">
        <v>48</v>
      </c>
      <c r="E492" s="4" t="s">
        <v>49</v>
      </c>
      <c r="F492" s="4" t="s">
        <v>25</v>
      </c>
      <c r="G492" s="4" t="s">
        <v>25</v>
      </c>
      <c r="H492" s="4" t="s">
        <v>25</v>
      </c>
      <c r="I492" s="5">
        <v>44743</v>
      </c>
      <c r="J492" s="6">
        <v>0</v>
      </c>
      <c r="K492" s="6">
        <v>0</v>
      </c>
      <c r="L492" s="6">
        <v>71.58</v>
      </c>
      <c r="M492" s="6">
        <v>67.285200000000003</v>
      </c>
      <c r="N492" s="6">
        <v>71.58</v>
      </c>
      <c r="O492" s="6">
        <v>67.285200000000003</v>
      </c>
      <c r="P492" s="6">
        <v>27</v>
      </c>
      <c r="Q492" s="4" t="s">
        <v>26</v>
      </c>
      <c r="R492" s="4">
        <v>0</v>
      </c>
      <c r="S492" s="4" t="s">
        <v>272</v>
      </c>
      <c r="T492" s="4" t="s">
        <v>433</v>
      </c>
      <c r="U492" s="4">
        <v>0</v>
      </c>
      <c r="V492" s="4">
        <v>26</v>
      </c>
      <c r="W492" s="4">
        <v>75</v>
      </c>
    </row>
    <row r="493" spans="1:23" ht="11.25" customHeight="1" x14ac:dyDescent="0.25">
      <c r="A493" s="4" t="s">
        <v>57</v>
      </c>
      <c r="B493" s="4" t="s">
        <v>33</v>
      </c>
      <c r="C493" s="4" t="s">
        <v>23</v>
      </c>
      <c r="D493" s="4" t="s">
        <v>48</v>
      </c>
      <c r="E493" s="4" t="s">
        <v>49</v>
      </c>
      <c r="F493" s="4" t="s">
        <v>25</v>
      </c>
      <c r="G493" s="4" t="s">
        <v>25</v>
      </c>
      <c r="H493" s="4" t="s">
        <v>25</v>
      </c>
      <c r="I493" s="5">
        <v>44774</v>
      </c>
      <c r="J493" s="6">
        <v>0</v>
      </c>
      <c r="K493" s="6">
        <v>0</v>
      </c>
      <c r="L493" s="6">
        <v>71.58</v>
      </c>
      <c r="M493" s="6">
        <v>67.285200000000003</v>
      </c>
      <c r="N493" s="6">
        <v>71.58</v>
      </c>
      <c r="O493" s="6">
        <v>67.285200000000003</v>
      </c>
      <c r="P493" s="6">
        <v>27</v>
      </c>
      <c r="Q493" s="4" t="s">
        <v>26</v>
      </c>
      <c r="R493" s="4">
        <v>0</v>
      </c>
      <c r="S493" s="4" t="s">
        <v>273</v>
      </c>
      <c r="T493" s="4" t="s">
        <v>434</v>
      </c>
      <c r="U493" s="4">
        <v>0</v>
      </c>
      <c r="V493" s="4">
        <v>26</v>
      </c>
      <c r="W493" s="4">
        <v>75</v>
      </c>
    </row>
    <row r="494" spans="1:23" ht="11.25" customHeight="1" x14ac:dyDescent="0.25">
      <c r="A494" s="4" t="s">
        <v>21</v>
      </c>
      <c r="B494" s="4" t="s">
        <v>45</v>
      </c>
      <c r="C494" s="4" t="s">
        <v>23</v>
      </c>
      <c r="D494" s="4" t="s">
        <v>46</v>
      </c>
      <c r="E494" s="4" t="s">
        <v>47</v>
      </c>
      <c r="F494" s="4" t="s">
        <v>25</v>
      </c>
      <c r="G494" s="4" t="s">
        <v>25</v>
      </c>
      <c r="H494" s="4" t="s">
        <v>25</v>
      </c>
      <c r="I494" s="5">
        <v>44440</v>
      </c>
      <c r="J494" s="6">
        <v>0</v>
      </c>
      <c r="K494" s="6">
        <v>0</v>
      </c>
      <c r="L494" s="6">
        <v>859.23299999999995</v>
      </c>
      <c r="M494" s="6">
        <v>859.23299999999995</v>
      </c>
      <c r="N494" s="6">
        <v>859.23299999999995</v>
      </c>
      <c r="O494" s="6">
        <v>859.23299999999995</v>
      </c>
      <c r="P494" s="6">
        <v>13</v>
      </c>
      <c r="Q494" s="4" t="s">
        <v>26</v>
      </c>
      <c r="R494" s="4">
        <v>0</v>
      </c>
      <c r="S494" s="4" t="s">
        <v>274</v>
      </c>
      <c r="T494" s="4" t="s">
        <v>435</v>
      </c>
      <c r="U494" s="4">
        <v>0</v>
      </c>
      <c r="V494" s="4">
        <v>59</v>
      </c>
      <c r="W494" s="4">
        <v>66</v>
      </c>
    </row>
    <row r="495" spans="1:23" ht="11.25" customHeight="1" x14ac:dyDescent="0.25">
      <c r="A495" s="4" t="s">
        <v>21</v>
      </c>
      <c r="B495" s="4" t="s">
        <v>45</v>
      </c>
      <c r="C495" s="4" t="s">
        <v>23</v>
      </c>
      <c r="D495" s="4" t="s">
        <v>46</v>
      </c>
      <c r="E495" s="4" t="s">
        <v>47</v>
      </c>
      <c r="F495" s="4" t="s">
        <v>25</v>
      </c>
      <c r="G495" s="4" t="s">
        <v>25</v>
      </c>
      <c r="H495" s="4" t="s">
        <v>25</v>
      </c>
      <c r="I495" s="5">
        <v>44470</v>
      </c>
      <c r="J495" s="6">
        <v>0</v>
      </c>
      <c r="K495" s="6">
        <v>0</v>
      </c>
      <c r="L495" s="6">
        <v>817.678</v>
      </c>
      <c r="M495" s="6">
        <v>817.678</v>
      </c>
      <c r="N495" s="6">
        <v>817.678</v>
      </c>
      <c r="O495" s="6">
        <v>817.678</v>
      </c>
      <c r="P495" s="6">
        <v>13</v>
      </c>
      <c r="Q495" s="4" t="s">
        <v>26</v>
      </c>
      <c r="R495" s="4">
        <v>0</v>
      </c>
      <c r="S495" s="4" t="s">
        <v>275</v>
      </c>
      <c r="T495" s="4" t="s">
        <v>436</v>
      </c>
      <c r="U495" s="4">
        <v>0</v>
      </c>
      <c r="V495" s="4">
        <v>59</v>
      </c>
      <c r="W495" s="4">
        <v>66</v>
      </c>
    </row>
    <row r="496" spans="1:23" ht="11.25" customHeight="1" x14ac:dyDescent="0.25">
      <c r="A496" s="4" t="s">
        <v>21</v>
      </c>
      <c r="B496" s="4" t="s">
        <v>45</v>
      </c>
      <c r="C496" s="4" t="s">
        <v>23</v>
      </c>
      <c r="D496" s="4" t="s">
        <v>46</v>
      </c>
      <c r="E496" s="4" t="s">
        <v>47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736.83299999999997</v>
      </c>
      <c r="M496" s="6">
        <v>736.83299999999997</v>
      </c>
      <c r="N496" s="6">
        <v>736.83299999999997</v>
      </c>
      <c r="O496" s="6">
        <v>736.83299999999997</v>
      </c>
      <c r="P496" s="6">
        <v>13</v>
      </c>
      <c r="Q496" s="4" t="s">
        <v>26</v>
      </c>
      <c r="R496" s="4">
        <v>0</v>
      </c>
      <c r="S496" s="4" t="s">
        <v>276</v>
      </c>
      <c r="T496" s="4" t="s">
        <v>437</v>
      </c>
      <c r="U496" s="4">
        <v>0</v>
      </c>
      <c r="V496" s="4">
        <v>59</v>
      </c>
      <c r="W496" s="4">
        <v>66</v>
      </c>
    </row>
    <row r="497" spans="1:23" ht="11.25" customHeight="1" x14ac:dyDescent="0.25">
      <c r="A497" s="4" t="s">
        <v>21</v>
      </c>
      <c r="B497" s="4" t="s">
        <v>45</v>
      </c>
      <c r="C497" s="4" t="s">
        <v>23</v>
      </c>
      <c r="D497" s="4" t="s">
        <v>46</v>
      </c>
      <c r="E497" s="4" t="s">
        <v>47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747.09400000000005</v>
      </c>
      <c r="M497" s="6">
        <v>747.09400000000005</v>
      </c>
      <c r="N497" s="6">
        <v>747.09400000000005</v>
      </c>
      <c r="O497" s="6">
        <v>747.09400000000005</v>
      </c>
      <c r="P497" s="6">
        <v>13</v>
      </c>
      <c r="Q497" s="4" t="s">
        <v>26</v>
      </c>
      <c r="R497" s="4">
        <v>0</v>
      </c>
      <c r="S497" s="4" t="s">
        <v>277</v>
      </c>
      <c r="T497" s="4" t="s">
        <v>438</v>
      </c>
      <c r="U497" s="4">
        <v>0</v>
      </c>
      <c r="V497" s="4">
        <v>59</v>
      </c>
      <c r="W497" s="4">
        <v>66</v>
      </c>
    </row>
    <row r="498" spans="1:23" ht="11.25" customHeight="1" x14ac:dyDescent="0.25">
      <c r="A498" s="4" t="s">
        <v>21</v>
      </c>
      <c r="B498" s="4" t="s">
        <v>45</v>
      </c>
      <c r="C498" s="4" t="s">
        <v>23</v>
      </c>
      <c r="D498" s="4" t="s">
        <v>46</v>
      </c>
      <c r="E498" s="4" t="s">
        <v>47</v>
      </c>
      <c r="F498" s="4" t="s">
        <v>25</v>
      </c>
      <c r="G498" s="4" t="s">
        <v>25</v>
      </c>
      <c r="H498" s="4" t="s">
        <v>25</v>
      </c>
      <c r="I498" s="5">
        <v>44562</v>
      </c>
      <c r="J498" s="6">
        <v>0</v>
      </c>
      <c r="K498" s="6">
        <v>0</v>
      </c>
      <c r="L498" s="6">
        <v>766.45399999999995</v>
      </c>
      <c r="M498" s="6">
        <v>766.45399999999995</v>
      </c>
      <c r="N498" s="6">
        <v>766.45399999999995</v>
      </c>
      <c r="O498" s="6">
        <v>766.45399999999995</v>
      </c>
      <c r="P498" s="6">
        <v>13</v>
      </c>
      <c r="Q498" s="4" t="s">
        <v>26</v>
      </c>
      <c r="R498" s="4">
        <v>0</v>
      </c>
      <c r="S498" s="4" t="s">
        <v>278</v>
      </c>
      <c r="T498" s="4" t="s">
        <v>439</v>
      </c>
      <c r="U498" s="4">
        <v>0</v>
      </c>
      <c r="V498" s="4">
        <v>59</v>
      </c>
      <c r="W498" s="4">
        <v>66</v>
      </c>
    </row>
    <row r="499" spans="1:23" ht="11.25" customHeight="1" x14ac:dyDescent="0.25">
      <c r="A499" s="4" t="s">
        <v>21</v>
      </c>
      <c r="B499" s="4" t="s">
        <v>45</v>
      </c>
      <c r="C499" s="4" t="s">
        <v>23</v>
      </c>
      <c r="D499" s="4" t="s">
        <v>46</v>
      </c>
      <c r="E499" s="4" t="s">
        <v>47</v>
      </c>
      <c r="F499" s="4" t="s">
        <v>25</v>
      </c>
      <c r="G499" s="4" t="s">
        <v>25</v>
      </c>
      <c r="H499" s="4" t="s">
        <v>25</v>
      </c>
      <c r="I499" s="5">
        <v>44593</v>
      </c>
      <c r="J499" s="6">
        <v>0</v>
      </c>
      <c r="K499" s="6">
        <v>0</v>
      </c>
      <c r="L499" s="6">
        <v>738.93299999999999</v>
      </c>
      <c r="M499" s="6">
        <v>738.93299999999999</v>
      </c>
      <c r="N499" s="6">
        <v>738.93299999999999</v>
      </c>
      <c r="O499" s="6">
        <v>738.93299999999999</v>
      </c>
      <c r="P499" s="6">
        <v>13</v>
      </c>
      <c r="Q499" s="4" t="s">
        <v>26</v>
      </c>
      <c r="R499" s="4">
        <v>0</v>
      </c>
      <c r="S499" s="4" t="s">
        <v>279</v>
      </c>
      <c r="T499" s="4" t="s">
        <v>440</v>
      </c>
      <c r="U499" s="4">
        <v>0</v>
      </c>
      <c r="V499" s="4">
        <v>59</v>
      </c>
      <c r="W499" s="4">
        <v>66</v>
      </c>
    </row>
    <row r="500" spans="1:23" ht="11.25" customHeight="1" x14ac:dyDescent="0.25">
      <c r="A500" s="4" t="s">
        <v>21</v>
      </c>
      <c r="B500" s="4" t="s">
        <v>45</v>
      </c>
      <c r="C500" s="4" t="s">
        <v>23</v>
      </c>
      <c r="D500" s="4" t="s">
        <v>46</v>
      </c>
      <c r="E500" s="4" t="s">
        <v>47</v>
      </c>
      <c r="F500" s="4" t="s">
        <v>25</v>
      </c>
      <c r="G500" s="4" t="s">
        <v>25</v>
      </c>
      <c r="H500" s="4" t="s">
        <v>25</v>
      </c>
      <c r="I500" s="5">
        <v>44621</v>
      </c>
      <c r="J500" s="6">
        <v>0</v>
      </c>
      <c r="K500" s="6">
        <v>0</v>
      </c>
      <c r="L500" s="6">
        <v>880.73500000000001</v>
      </c>
      <c r="M500" s="6">
        <v>880.73500000000001</v>
      </c>
      <c r="N500" s="6">
        <v>880.73500000000001</v>
      </c>
      <c r="O500" s="6">
        <v>880.73500000000001</v>
      </c>
      <c r="P500" s="6">
        <v>13</v>
      </c>
      <c r="Q500" s="4" t="s">
        <v>26</v>
      </c>
      <c r="R500" s="4">
        <v>0</v>
      </c>
      <c r="S500" s="4" t="s">
        <v>280</v>
      </c>
      <c r="T500" s="4" t="s">
        <v>441</v>
      </c>
      <c r="U500" s="4">
        <v>0</v>
      </c>
      <c r="V500" s="4">
        <v>59</v>
      </c>
      <c r="W500" s="4">
        <v>66</v>
      </c>
    </row>
    <row r="501" spans="1:23" ht="11.25" customHeight="1" x14ac:dyDescent="0.25">
      <c r="A501" s="4" t="s">
        <v>21</v>
      </c>
      <c r="B501" s="4" t="s">
        <v>45</v>
      </c>
      <c r="C501" s="4" t="s">
        <v>23</v>
      </c>
      <c r="D501" s="4" t="s">
        <v>46</v>
      </c>
      <c r="E501" s="4" t="s">
        <v>47</v>
      </c>
      <c r="F501" s="4" t="s">
        <v>25</v>
      </c>
      <c r="G501" s="4" t="s">
        <v>25</v>
      </c>
      <c r="H501" s="4" t="s">
        <v>25</v>
      </c>
      <c r="I501" s="5">
        <v>44652</v>
      </c>
      <c r="J501" s="6">
        <v>0</v>
      </c>
      <c r="K501" s="6">
        <v>0</v>
      </c>
      <c r="L501" s="6">
        <v>916.23199999999997</v>
      </c>
      <c r="M501" s="6">
        <v>916.23199999999997</v>
      </c>
      <c r="N501" s="6">
        <v>916.23199999999997</v>
      </c>
      <c r="O501" s="6">
        <v>916.23199999999997</v>
      </c>
      <c r="P501" s="6">
        <v>5</v>
      </c>
      <c r="Q501" s="4" t="s">
        <v>26</v>
      </c>
      <c r="R501" s="4">
        <v>0</v>
      </c>
      <c r="S501" s="4" t="s">
        <v>281</v>
      </c>
      <c r="T501" s="4" t="s">
        <v>442</v>
      </c>
      <c r="U501" s="4">
        <v>0</v>
      </c>
      <c r="V501" s="4">
        <v>59</v>
      </c>
      <c r="W501" s="4">
        <v>66</v>
      </c>
    </row>
    <row r="502" spans="1:23" ht="11.25" customHeight="1" x14ac:dyDescent="0.25">
      <c r="A502" s="4" t="s">
        <v>21</v>
      </c>
      <c r="B502" s="4" t="s">
        <v>45</v>
      </c>
      <c r="C502" s="4" t="s">
        <v>23</v>
      </c>
      <c r="D502" s="4" t="s">
        <v>46</v>
      </c>
      <c r="E502" s="4" t="s">
        <v>47</v>
      </c>
      <c r="F502" s="4" t="s">
        <v>25</v>
      </c>
      <c r="G502" s="4" t="s">
        <v>25</v>
      </c>
      <c r="H502" s="4" t="s">
        <v>25</v>
      </c>
      <c r="I502" s="5">
        <v>44682</v>
      </c>
      <c r="J502" s="6">
        <v>0</v>
      </c>
      <c r="K502" s="6">
        <v>0</v>
      </c>
      <c r="L502" s="6">
        <v>1000.045</v>
      </c>
      <c r="M502" s="6">
        <v>1000.045</v>
      </c>
      <c r="N502" s="6">
        <v>1000.045</v>
      </c>
      <c r="O502" s="6">
        <v>1000.045</v>
      </c>
      <c r="P502" s="6">
        <v>5</v>
      </c>
      <c r="Q502" s="4" t="s">
        <v>26</v>
      </c>
      <c r="R502" s="4">
        <v>0</v>
      </c>
      <c r="S502" s="4" t="s">
        <v>282</v>
      </c>
      <c r="T502" s="4" t="s">
        <v>443</v>
      </c>
      <c r="U502" s="4">
        <v>0</v>
      </c>
      <c r="V502" s="4">
        <v>59</v>
      </c>
      <c r="W502" s="4">
        <v>66</v>
      </c>
    </row>
    <row r="503" spans="1:23" ht="11.25" customHeight="1" x14ac:dyDescent="0.25">
      <c r="A503" s="4" t="s">
        <v>21</v>
      </c>
      <c r="B503" s="4" t="s">
        <v>45</v>
      </c>
      <c r="C503" s="4" t="s">
        <v>23</v>
      </c>
      <c r="D503" s="4" t="s">
        <v>46</v>
      </c>
      <c r="E503" s="4" t="s">
        <v>47</v>
      </c>
      <c r="F503" s="4" t="s">
        <v>25</v>
      </c>
      <c r="G503" s="4" t="s">
        <v>25</v>
      </c>
      <c r="H503" s="4" t="s">
        <v>25</v>
      </c>
      <c r="I503" s="5">
        <v>44713</v>
      </c>
      <c r="J503" s="6">
        <v>0</v>
      </c>
      <c r="K503" s="6">
        <v>0</v>
      </c>
      <c r="L503" s="6">
        <v>993.78499999999997</v>
      </c>
      <c r="M503" s="6">
        <v>993.78499999999997</v>
      </c>
      <c r="N503" s="6">
        <v>993.78499999999997</v>
      </c>
      <c r="O503" s="6">
        <v>993.78499999999997</v>
      </c>
      <c r="P503" s="6">
        <v>5</v>
      </c>
      <c r="Q503" s="4" t="s">
        <v>26</v>
      </c>
      <c r="R503" s="4">
        <v>0</v>
      </c>
      <c r="S503" s="4" t="s">
        <v>283</v>
      </c>
      <c r="T503" s="4" t="s">
        <v>444</v>
      </c>
      <c r="U503" s="4">
        <v>0</v>
      </c>
      <c r="V503" s="4">
        <v>59</v>
      </c>
      <c r="W503" s="4">
        <v>66</v>
      </c>
    </row>
    <row r="504" spans="1:23" ht="11.25" customHeight="1" x14ac:dyDescent="0.25">
      <c r="A504" s="4" t="s">
        <v>21</v>
      </c>
      <c r="B504" s="4" t="s">
        <v>45</v>
      </c>
      <c r="C504" s="4" t="s">
        <v>23</v>
      </c>
      <c r="D504" s="4" t="s">
        <v>46</v>
      </c>
      <c r="E504" s="4" t="s">
        <v>47</v>
      </c>
      <c r="F504" s="4" t="s">
        <v>25</v>
      </c>
      <c r="G504" s="4" t="s">
        <v>25</v>
      </c>
      <c r="H504" s="4" t="s">
        <v>25</v>
      </c>
      <c r="I504" s="5">
        <v>44743</v>
      </c>
      <c r="J504" s="6">
        <v>0</v>
      </c>
      <c r="K504" s="6">
        <v>0</v>
      </c>
      <c r="L504" s="6">
        <v>1011.848</v>
      </c>
      <c r="M504" s="6">
        <v>1011.848</v>
      </c>
      <c r="N504" s="6">
        <v>1011.848</v>
      </c>
      <c r="O504" s="6">
        <v>1011.848</v>
      </c>
      <c r="P504" s="6">
        <v>5</v>
      </c>
      <c r="Q504" s="4" t="s">
        <v>26</v>
      </c>
      <c r="R504" s="4">
        <v>0</v>
      </c>
      <c r="S504" s="4" t="s">
        <v>284</v>
      </c>
      <c r="T504" s="4" t="s">
        <v>445</v>
      </c>
      <c r="U504" s="4">
        <v>0</v>
      </c>
      <c r="V504" s="4">
        <v>59</v>
      </c>
      <c r="W504" s="4">
        <v>66</v>
      </c>
    </row>
    <row r="505" spans="1:23" ht="11.25" customHeight="1" x14ac:dyDescent="0.25">
      <c r="A505" s="4" t="s">
        <v>57</v>
      </c>
      <c r="B505" s="4" t="s">
        <v>45</v>
      </c>
      <c r="C505" s="4" t="s">
        <v>23</v>
      </c>
      <c r="D505" s="4" t="s">
        <v>46</v>
      </c>
      <c r="E505" s="4" t="s">
        <v>47</v>
      </c>
      <c r="F505" s="4" t="s">
        <v>25</v>
      </c>
      <c r="G505" s="4" t="s">
        <v>25</v>
      </c>
      <c r="H505" s="4" t="s">
        <v>25</v>
      </c>
      <c r="I505" s="5">
        <v>44774</v>
      </c>
      <c r="J505" s="6">
        <v>0</v>
      </c>
      <c r="K505" s="6">
        <v>0</v>
      </c>
      <c r="L505" s="6">
        <v>1011.848</v>
      </c>
      <c r="M505" s="6">
        <v>1011.848</v>
      </c>
      <c r="N505" s="6">
        <v>1011.848</v>
      </c>
      <c r="O505" s="6">
        <v>1011.848</v>
      </c>
      <c r="P505" s="6">
        <v>5</v>
      </c>
      <c r="Q505" s="4" t="s">
        <v>26</v>
      </c>
      <c r="R505" s="4">
        <v>0</v>
      </c>
      <c r="S505" s="4" t="s">
        <v>285</v>
      </c>
      <c r="T505" s="4" t="s">
        <v>446</v>
      </c>
      <c r="U505" s="4">
        <v>0</v>
      </c>
      <c r="V505" s="4">
        <v>59</v>
      </c>
      <c r="W505" s="4">
        <v>66</v>
      </c>
    </row>
  </sheetData>
  <sortState xmlns:xlrd2="http://schemas.microsoft.com/office/spreadsheetml/2017/richdata2" ref="A2:W505">
    <sortCondition ref="B2:B505"/>
    <sortCondition ref="C2:C505"/>
    <sortCondition ref="D2:D505"/>
    <sortCondition ref="E2:E505"/>
    <sortCondition ref="F2:F505"/>
    <sortCondition ref="H2:H50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01D-6EC5-410A-97D8-04E5817679FE}">
  <dimension ref="A1:H50"/>
  <sheetViews>
    <sheetView showGridLines="0" tabSelected="1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G1" s="7" t="s">
        <v>63</v>
      </c>
      <c r="H1" s="7">
        <f>COUNTA(A:A)</f>
        <v>50</v>
      </c>
    </row>
    <row r="2" spans="1:8" ht="11.25" customHeight="1" x14ac:dyDescent="0.25">
      <c r="A2" s="8" t="s">
        <v>335</v>
      </c>
      <c r="B2" s="8" t="s">
        <v>336</v>
      </c>
      <c r="C2" s="8" t="s">
        <v>337</v>
      </c>
      <c r="D2" s="8">
        <v>86</v>
      </c>
      <c r="E2" s="8" t="s">
        <v>338</v>
      </c>
    </row>
    <row r="3" spans="1:8" ht="11.25" customHeight="1" x14ac:dyDescent="0.25">
      <c r="A3" s="8" t="s">
        <v>335</v>
      </c>
      <c r="B3" s="8" t="s">
        <v>336</v>
      </c>
      <c r="C3" s="8" t="s">
        <v>337</v>
      </c>
      <c r="D3" s="8">
        <v>87</v>
      </c>
      <c r="E3" s="8" t="s">
        <v>338</v>
      </c>
    </row>
    <row r="4" spans="1:8" ht="11.25" customHeight="1" x14ac:dyDescent="0.25">
      <c r="A4" s="8" t="s">
        <v>335</v>
      </c>
      <c r="B4" s="8" t="s">
        <v>336</v>
      </c>
      <c r="C4" s="8" t="s">
        <v>337</v>
      </c>
      <c r="D4" s="8">
        <v>88</v>
      </c>
      <c r="E4" s="8" t="s">
        <v>338</v>
      </c>
    </row>
    <row r="5" spans="1:8" ht="11.25" customHeight="1" x14ac:dyDescent="0.25">
      <c r="A5" s="8" t="s">
        <v>335</v>
      </c>
      <c r="B5" s="8" t="s">
        <v>336</v>
      </c>
      <c r="C5" s="8" t="s">
        <v>337</v>
      </c>
      <c r="D5" s="8">
        <v>89</v>
      </c>
      <c r="E5" s="8" t="s">
        <v>338</v>
      </c>
    </row>
    <row r="6" spans="1:8" ht="11.25" customHeight="1" x14ac:dyDescent="0.25">
      <c r="A6" s="8" t="s">
        <v>335</v>
      </c>
      <c r="B6" s="8" t="s">
        <v>336</v>
      </c>
      <c r="C6" s="8" t="s">
        <v>337</v>
      </c>
      <c r="D6" s="8">
        <v>90</v>
      </c>
      <c r="E6" s="8" t="s">
        <v>338</v>
      </c>
    </row>
    <row r="7" spans="1:8" ht="11.25" customHeight="1" x14ac:dyDescent="0.25">
      <c r="A7" s="8" t="s">
        <v>335</v>
      </c>
      <c r="B7" s="8" t="s">
        <v>336</v>
      </c>
      <c r="C7" s="8" t="s">
        <v>337</v>
      </c>
      <c r="D7" s="8">
        <v>91</v>
      </c>
      <c r="E7" s="8" t="s">
        <v>338</v>
      </c>
    </row>
    <row r="8" spans="1:8" ht="11.25" customHeight="1" x14ac:dyDescent="0.25">
      <c r="A8" s="8" t="s">
        <v>335</v>
      </c>
      <c r="B8" s="8" t="s">
        <v>336</v>
      </c>
      <c r="C8" s="8" t="s">
        <v>337</v>
      </c>
      <c r="D8" s="8">
        <v>92</v>
      </c>
      <c r="E8" s="8" t="s">
        <v>338</v>
      </c>
    </row>
    <row r="9" spans="1:8" ht="11.25" customHeight="1" x14ac:dyDescent="0.25">
      <c r="A9" s="8" t="s">
        <v>335</v>
      </c>
      <c r="B9" s="8" t="s">
        <v>336</v>
      </c>
      <c r="C9" s="8" t="s">
        <v>337</v>
      </c>
      <c r="D9" s="8">
        <v>93</v>
      </c>
      <c r="E9" s="8" t="s">
        <v>338</v>
      </c>
    </row>
    <row r="10" spans="1:8" ht="11.25" customHeight="1" x14ac:dyDescent="0.25">
      <c r="A10" s="8" t="s">
        <v>335</v>
      </c>
      <c r="B10" s="8" t="s">
        <v>336</v>
      </c>
      <c r="C10" s="8" t="s">
        <v>337</v>
      </c>
      <c r="D10" s="8">
        <v>94</v>
      </c>
      <c r="E10" s="8" t="s">
        <v>338</v>
      </c>
    </row>
    <row r="11" spans="1:8" ht="11.25" customHeight="1" x14ac:dyDescent="0.25">
      <c r="A11" s="8" t="s">
        <v>335</v>
      </c>
      <c r="B11" s="8" t="s">
        <v>336</v>
      </c>
      <c r="C11" s="8" t="s">
        <v>337</v>
      </c>
      <c r="D11" s="8">
        <v>95</v>
      </c>
      <c r="E11" s="8" t="s">
        <v>338</v>
      </c>
    </row>
    <row r="12" spans="1:8" ht="11.25" customHeight="1" x14ac:dyDescent="0.25">
      <c r="A12" s="8" t="s">
        <v>335</v>
      </c>
      <c r="B12" s="8" t="s">
        <v>336</v>
      </c>
      <c r="C12" s="8" t="s">
        <v>337</v>
      </c>
      <c r="D12" s="8">
        <v>96</v>
      </c>
      <c r="E12" s="8" t="s">
        <v>338</v>
      </c>
    </row>
    <row r="13" spans="1:8" ht="11.25" customHeight="1" x14ac:dyDescent="0.25">
      <c r="A13" s="8" t="s">
        <v>335</v>
      </c>
      <c r="B13" s="8" t="s">
        <v>336</v>
      </c>
      <c r="C13" s="8" t="s">
        <v>337</v>
      </c>
      <c r="D13" s="8">
        <v>97</v>
      </c>
      <c r="E13" s="8" t="s">
        <v>338</v>
      </c>
    </row>
    <row r="14" spans="1:8" ht="11.25" customHeight="1" x14ac:dyDescent="0.25">
      <c r="A14" s="8" t="s">
        <v>335</v>
      </c>
      <c r="B14" s="8" t="s">
        <v>336</v>
      </c>
      <c r="C14" s="8" t="s">
        <v>337</v>
      </c>
      <c r="D14" s="8">
        <v>122</v>
      </c>
      <c r="E14" s="8" t="s">
        <v>338</v>
      </c>
    </row>
    <row r="15" spans="1:8" ht="11.25" customHeight="1" x14ac:dyDescent="0.25">
      <c r="A15" s="8" t="s">
        <v>335</v>
      </c>
      <c r="B15" s="8" t="s">
        <v>336</v>
      </c>
      <c r="C15" s="8" t="s">
        <v>337</v>
      </c>
      <c r="D15" s="8">
        <v>123</v>
      </c>
      <c r="E15" s="8" t="s">
        <v>338</v>
      </c>
    </row>
    <row r="16" spans="1:8" ht="11.25" customHeight="1" x14ac:dyDescent="0.25">
      <c r="A16" s="8" t="s">
        <v>335</v>
      </c>
      <c r="B16" s="8" t="s">
        <v>336</v>
      </c>
      <c r="C16" s="8" t="s">
        <v>337</v>
      </c>
      <c r="D16" s="8">
        <v>124</v>
      </c>
      <c r="E16" s="8" t="s">
        <v>338</v>
      </c>
    </row>
    <row r="17" spans="1:5" ht="11.25" customHeight="1" x14ac:dyDescent="0.25">
      <c r="A17" s="8" t="s">
        <v>335</v>
      </c>
      <c r="B17" s="8" t="s">
        <v>336</v>
      </c>
      <c r="C17" s="8" t="s">
        <v>337</v>
      </c>
      <c r="D17" s="8">
        <v>125</v>
      </c>
      <c r="E17" s="8" t="s">
        <v>338</v>
      </c>
    </row>
    <row r="18" spans="1:5" ht="11.25" customHeight="1" x14ac:dyDescent="0.25">
      <c r="A18" s="8" t="s">
        <v>335</v>
      </c>
      <c r="B18" s="8" t="s">
        <v>336</v>
      </c>
      <c r="C18" s="8" t="s">
        <v>337</v>
      </c>
      <c r="D18" s="8">
        <v>126</v>
      </c>
      <c r="E18" s="8" t="s">
        <v>338</v>
      </c>
    </row>
    <row r="19" spans="1:5" ht="11.25" customHeight="1" x14ac:dyDescent="0.25">
      <c r="A19" s="8" t="s">
        <v>335</v>
      </c>
      <c r="B19" s="8" t="s">
        <v>336</v>
      </c>
      <c r="C19" s="8" t="s">
        <v>337</v>
      </c>
      <c r="D19" s="8">
        <v>127</v>
      </c>
      <c r="E19" s="8" t="s">
        <v>338</v>
      </c>
    </row>
    <row r="20" spans="1:5" ht="11.25" customHeight="1" x14ac:dyDescent="0.25">
      <c r="A20" s="8" t="s">
        <v>335</v>
      </c>
      <c r="B20" s="8" t="s">
        <v>336</v>
      </c>
      <c r="C20" s="8" t="s">
        <v>337</v>
      </c>
      <c r="D20" s="8">
        <v>128</v>
      </c>
      <c r="E20" s="8" t="s">
        <v>338</v>
      </c>
    </row>
    <row r="21" spans="1:5" ht="11.25" customHeight="1" x14ac:dyDescent="0.25">
      <c r="A21" s="8" t="s">
        <v>335</v>
      </c>
      <c r="B21" s="8" t="s">
        <v>336</v>
      </c>
      <c r="C21" s="8" t="s">
        <v>337</v>
      </c>
      <c r="D21" s="8">
        <v>129</v>
      </c>
      <c r="E21" s="8" t="s">
        <v>338</v>
      </c>
    </row>
    <row r="22" spans="1:5" ht="11.25" customHeight="1" x14ac:dyDescent="0.25">
      <c r="A22" s="8" t="s">
        <v>335</v>
      </c>
      <c r="B22" s="8" t="s">
        <v>336</v>
      </c>
      <c r="C22" s="8" t="s">
        <v>337</v>
      </c>
      <c r="D22" s="8">
        <v>130</v>
      </c>
      <c r="E22" s="8" t="s">
        <v>338</v>
      </c>
    </row>
    <row r="23" spans="1:5" ht="11.25" customHeight="1" x14ac:dyDescent="0.25">
      <c r="A23" s="8" t="s">
        <v>335</v>
      </c>
      <c r="B23" s="8" t="s">
        <v>336</v>
      </c>
      <c r="C23" s="8" t="s">
        <v>337</v>
      </c>
      <c r="D23" s="8">
        <v>131</v>
      </c>
      <c r="E23" s="8" t="s">
        <v>338</v>
      </c>
    </row>
    <row r="24" spans="1:5" ht="11.25" customHeight="1" x14ac:dyDescent="0.25">
      <c r="A24" s="8" t="s">
        <v>335</v>
      </c>
      <c r="B24" s="8" t="s">
        <v>336</v>
      </c>
      <c r="C24" s="8" t="s">
        <v>337</v>
      </c>
      <c r="D24" s="8">
        <v>132</v>
      </c>
      <c r="E24" s="8" t="s">
        <v>338</v>
      </c>
    </row>
    <row r="25" spans="1:5" ht="11.25" customHeight="1" x14ac:dyDescent="0.25">
      <c r="A25" s="8" t="s">
        <v>335</v>
      </c>
      <c r="B25" s="8" t="s">
        <v>336</v>
      </c>
      <c r="C25" s="8" t="s">
        <v>337</v>
      </c>
      <c r="D25" s="8">
        <v>133</v>
      </c>
      <c r="E25" s="8" t="s">
        <v>338</v>
      </c>
    </row>
    <row r="26" spans="1:5" ht="11.25" customHeight="1" x14ac:dyDescent="0.25">
      <c r="A26" s="8" t="s">
        <v>335</v>
      </c>
      <c r="B26" s="8" t="s">
        <v>336</v>
      </c>
      <c r="C26" s="8" t="s">
        <v>337</v>
      </c>
      <c r="D26" s="8">
        <v>158</v>
      </c>
      <c r="E26" s="8" t="s">
        <v>338</v>
      </c>
    </row>
    <row r="27" spans="1:5" ht="11.25" customHeight="1" x14ac:dyDescent="0.25">
      <c r="A27" s="8" t="s">
        <v>335</v>
      </c>
      <c r="B27" s="8" t="s">
        <v>336</v>
      </c>
      <c r="C27" s="8" t="s">
        <v>337</v>
      </c>
      <c r="D27" s="8">
        <v>159</v>
      </c>
      <c r="E27" s="8" t="s">
        <v>338</v>
      </c>
    </row>
    <row r="28" spans="1:5" ht="11.25" customHeight="1" x14ac:dyDescent="0.25">
      <c r="A28" s="8" t="s">
        <v>335</v>
      </c>
      <c r="B28" s="8" t="s">
        <v>336</v>
      </c>
      <c r="C28" s="8" t="s">
        <v>337</v>
      </c>
      <c r="D28" s="8">
        <v>160</v>
      </c>
      <c r="E28" s="8" t="s">
        <v>338</v>
      </c>
    </row>
    <row r="29" spans="1:5" ht="11.25" customHeight="1" x14ac:dyDescent="0.25">
      <c r="A29" s="8" t="s">
        <v>335</v>
      </c>
      <c r="B29" s="8" t="s">
        <v>336</v>
      </c>
      <c r="C29" s="8" t="s">
        <v>337</v>
      </c>
      <c r="D29" s="8">
        <v>161</v>
      </c>
      <c r="E29" s="8" t="s">
        <v>338</v>
      </c>
    </row>
    <row r="30" spans="1:5" ht="11.25" customHeight="1" x14ac:dyDescent="0.25">
      <c r="A30" s="8" t="s">
        <v>335</v>
      </c>
      <c r="B30" s="8" t="s">
        <v>336</v>
      </c>
      <c r="C30" s="8" t="s">
        <v>337</v>
      </c>
      <c r="D30" s="8">
        <v>162</v>
      </c>
      <c r="E30" s="8" t="s">
        <v>338</v>
      </c>
    </row>
    <row r="31" spans="1:5" ht="11.25" customHeight="1" x14ac:dyDescent="0.25">
      <c r="A31" s="8" t="s">
        <v>335</v>
      </c>
      <c r="B31" s="8" t="s">
        <v>336</v>
      </c>
      <c r="C31" s="8" t="s">
        <v>337</v>
      </c>
      <c r="D31" s="8">
        <v>163</v>
      </c>
      <c r="E31" s="8" t="s">
        <v>338</v>
      </c>
    </row>
    <row r="32" spans="1:5" ht="11.25" customHeight="1" x14ac:dyDescent="0.25">
      <c r="A32" s="8" t="s">
        <v>335</v>
      </c>
      <c r="B32" s="8" t="s">
        <v>336</v>
      </c>
      <c r="C32" s="8" t="s">
        <v>337</v>
      </c>
      <c r="D32" s="8">
        <v>164</v>
      </c>
      <c r="E32" s="8" t="s">
        <v>338</v>
      </c>
    </row>
    <row r="33" spans="1:5" ht="11.25" customHeight="1" x14ac:dyDescent="0.25">
      <c r="A33" s="8" t="s">
        <v>335</v>
      </c>
      <c r="B33" s="8" t="s">
        <v>336</v>
      </c>
      <c r="C33" s="8" t="s">
        <v>337</v>
      </c>
      <c r="D33" s="8">
        <v>165</v>
      </c>
      <c r="E33" s="8" t="s">
        <v>338</v>
      </c>
    </row>
    <row r="34" spans="1:5" ht="11.25" customHeight="1" x14ac:dyDescent="0.25">
      <c r="A34" s="8" t="s">
        <v>335</v>
      </c>
      <c r="B34" s="8" t="s">
        <v>336</v>
      </c>
      <c r="C34" s="8" t="s">
        <v>337</v>
      </c>
      <c r="D34" s="8">
        <v>166</v>
      </c>
      <c r="E34" s="8" t="s">
        <v>338</v>
      </c>
    </row>
    <row r="35" spans="1:5" ht="11.25" customHeight="1" x14ac:dyDescent="0.25">
      <c r="A35" s="8" t="s">
        <v>335</v>
      </c>
      <c r="B35" s="8" t="s">
        <v>336</v>
      </c>
      <c r="C35" s="8" t="s">
        <v>337</v>
      </c>
      <c r="D35" s="8">
        <v>167</v>
      </c>
      <c r="E35" s="8" t="s">
        <v>338</v>
      </c>
    </row>
    <row r="36" spans="1:5" ht="11.25" customHeight="1" x14ac:dyDescent="0.25">
      <c r="A36" s="8" t="s">
        <v>335</v>
      </c>
      <c r="B36" s="8" t="s">
        <v>336</v>
      </c>
      <c r="C36" s="8" t="s">
        <v>337</v>
      </c>
      <c r="D36" s="8">
        <v>168</v>
      </c>
      <c r="E36" s="8" t="s">
        <v>338</v>
      </c>
    </row>
    <row r="37" spans="1:5" ht="11.25" customHeight="1" x14ac:dyDescent="0.25">
      <c r="A37" s="8" t="s">
        <v>335</v>
      </c>
      <c r="B37" s="8" t="s">
        <v>336</v>
      </c>
      <c r="C37" s="8" t="s">
        <v>337</v>
      </c>
      <c r="D37" s="8">
        <v>169</v>
      </c>
      <c r="E37" s="8" t="s">
        <v>338</v>
      </c>
    </row>
    <row r="38" spans="1:5" ht="11.25" customHeight="1" x14ac:dyDescent="0.25">
      <c r="A38" s="8" t="s">
        <v>335</v>
      </c>
      <c r="B38" s="8" t="s">
        <v>336</v>
      </c>
      <c r="C38" s="8" t="s">
        <v>337</v>
      </c>
      <c r="D38" s="8">
        <v>194</v>
      </c>
      <c r="E38" s="8" t="s">
        <v>338</v>
      </c>
    </row>
    <row r="39" spans="1:5" ht="11.25" customHeight="1" x14ac:dyDescent="0.25">
      <c r="A39" s="8" t="s">
        <v>335</v>
      </c>
      <c r="B39" s="8" t="s">
        <v>336</v>
      </c>
      <c r="C39" s="8" t="s">
        <v>337</v>
      </c>
      <c r="D39" s="8">
        <v>195</v>
      </c>
      <c r="E39" s="8" t="s">
        <v>338</v>
      </c>
    </row>
    <row r="40" spans="1:5" ht="11.25" customHeight="1" x14ac:dyDescent="0.25">
      <c r="A40" s="8" t="s">
        <v>335</v>
      </c>
      <c r="B40" s="8" t="s">
        <v>336</v>
      </c>
      <c r="C40" s="8" t="s">
        <v>337</v>
      </c>
      <c r="D40" s="8">
        <v>196</v>
      </c>
      <c r="E40" s="8" t="s">
        <v>338</v>
      </c>
    </row>
    <row r="41" spans="1:5" ht="11.25" customHeight="1" x14ac:dyDescent="0.25">
      <c r="A41" s="8" t="s">
        <v>335</v>
      </c>
      <c r="B41" s="8" t="s">
        <v>336</v>
      </c>
      <c r="C41" s="8" t="s">
        <v>337</v>
      </c>
      <c r="D41" s="8">
        <v>197</v>
      </c>
      <c r="E41" s="8" t="s">
        <v>338</v>
      </c>
    </row>
    <row r="42" spans="1:5" ht="11.25" customHeight="1" x14ac:dyDescent="0.25">
      <c r="A42" s="8" t="s">
        <v>335</v>
      </c>
      <c r="B42" s="8" t="s">
        <v>336</v>
      </c>
      <c r="C42" s="8" t="s">
        <v>337</v>
      </c>
      <c r="D42" s="8">
        <v>198</v>
      </c>
      <c r="E42" s="8" t="s">
        <v>338</v>
      </c>
    </row>
    <row r="43" spans="1:5" ht="11.25" customHeight="1" x14ac:dyDescent="0.25">
      <c r="A43" s="8" t="s">
        <v>335</v>
      </c>
      <c r="B43" s="8" t="s">
        <v>336</v>
      </c>
      <c r="C43" s="8" t="s">
        <v>337</v>
      </c>
      <c r="D43" s="8">
        <v>199</v>
      </c>
      <c r="E43" s="8" t="s">
        <v>338</v>
      </c>
    </row>
    <row r="44" spans="1:5" ht="11.25" customHeight="1" x14ac:dyDescent="0.25">
      <c r="A44" s="8" t="s">
        <v>335</v>
      </c>
      <c r="B44" s="8" t="s">
        <v>336</v>
      </c>
      <c r="C44" s="8" t="s">
        <v>337</v>
      </c>
      <c r="D44" s="8">
        <v>200</v>
      </c>
      <c r="E44" s="8" t="s">
        <v>338</v>
      </c>
    </row>
    <row r="45" spans="1:5" ht="11.25" customHeight="1" x14ac:dyDescent="0.25">
      <c r="A45" s="8" t="s">
        <v>335</v>
      </c>
      <c r="B45" s="8" t="s">
        <v>336</v>
      </c>
      <c r="C45" s="8" t="s">
        <v>337</v>
      </c>
      <c r="D45" s="8">
        <v>201</v>
      </c>
      <c r="E45" s="8" t="s">
        <v>338</v>
      </c>
    </row>
    <row r="46" spans="1:5" ht="11.25" customHeight="1" x14ac:dyDescent="0.25">
      <c r="A46" s="8" t="s">
        <v>335</v>
      </c>
      <c r="B46" s="8" t="s">
        <v>336</v>
      </c>
      <c r="C46" s="8" t="s">
        <v>337</v>
      </c>
      <c r="D46" s="8">
        <v>202</v>
      </c>
      <c r="E46" s="8" t="s">
        <v>338</v>
      </c>
    </row>
    <row r="47" spans="1:5" ht="11.25" customHeight="1" x14ac:dyDescent="0.25">
      <c r="A47" s="8" t="s">
        <v>335</v>
      </c>
      <c r="B47" s="8" t="s">
        <v>336</v>
      </c>
      <c r="C47" s="8" t="s">
        <v>337</v>
      </c>
      <c r="D47" s="8">
        <v>203</v>
      </c>
      <c r="E47" s="8" t="s">
        <v>338</v>
      </c>
    </row>
    <row r="48" spans="1:5" ht="11.25" customHeight="1" x14ac:dyDescent="0.25">
      <c r="A48" s="8" t="s">
        <v>335</v>
      </c>
      <c r="B48" s="8" t="s">
        <v>336</v>
      </c>
      <c r="C48" s="8" t="s">
        <v>337</v>
      </c>
      <c r="D48" s="8">
        <v>204</v>
      </c>
      <c r="E48" s="8" t="s">
        <v>338</v>
      </c>
    </row>
    <row r="49" spans="1:5" ht="11.25" customHeight="1" x14ac:dyDescent="0.25">
      <c r="A49" s="8" t="s">
        <v>335</v>
      </c>
      <c r="B49" s="8" t="s">
        <v>336</v>
      </c>
      <c r="C49" s="8" t="s">
        <v>337</v>
      </c>
      <c r="D49" s="8">
        <v>205</v>
      </c>
      <c r="E49" s="8" t="s">
        <v>338</v>
      </c>
    </row>
    <row r="50" spans="1:5" ht="11.25" customHeight="1" x14ac:dyDescent="0.25">
      <c r="A50" s="8" t="s">
        <v>335</v>
      </c>
      <c r="C50" s="8" t="s">
        <v>536</v>
      </c>
      <c r="D50" s="8">
        <v>40</v>
      </c>
      <c r="E50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A57A-967D-47B6-9840-FA0FC9EAFA91}">
  <dimension ref="A1:AX91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595</v>
      </c>
      <c r="B1" s="36" t="s">
        <v>586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587</v>
      </c>
      <c r="K1" s="36" t="s">
        <v>588</v>
      </c>
      <c r="L1" s="36" t="s">
        <v>589</v>
      </c>
      <c r="M1" s="36" t="s">
        <v>590</v>
      </c>
      <c r="N1" s="36" t="s">
        <v>591</v>
      </c>
      <c r="O1" s="36" t="s">
        <v>468</v>
      </c>
      <c r="P1" s="36" t="s">
        <v>454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448</v>
      </c>
      <c r="C2" s="37" t="s">
        <v>35</v>
      </c>
      <c r="D2" s="37" t="s">
        <v>36</v>
      </c>
      <c r="E2" s="37" t="s">
        <v>25</v>
      </c>
      <c r="F2" s="37" t="s">
        <v>25</v>
      </c>
      <c r="G2" s="37" t="s">
        <v>81</v>
      </c>
      <c r="H2" s="37" t="s">
        <v>25</v>
      </c>
      <c r="I2" s="37" t="s">
        <v>25</v>
      </c>
      <c r="J2" s="37" t="s">
        <v>592</v>
      </c>
      <c r="K2" s="37" t="s">
        <v>593</v>
      </c>
      <c r="L2" s="37" t="s">
        <v>74</v>
      </c>
      <c r="M2" s="37">
        <v>2021</v>
      </c>
      <c r="N2" s="37">
        <v>0</v>
      </c>
      <c r="O2" s="37">
        <v>3.32</v>
      </c>
      <c r="P2" s="37">
        <v>0</v>
      </c>
    </row>
    <row r="3" spans="1:50" ht="11.25" customHeight="1" x14ac:dyDescent="0.25">
      <c r="A3" s="37">
        <v>2</v>
      </c>
      <c r="B3" s="37" t="s">
        <v>448</v>
      </c>
      <c r="C3" s="37" t="s">
        <v>22</v>
      </c>
      <c r="D3" s="37" t="s">
        <v>55</v>
      </c>
      <c r="E3" s="37" t="s">
        <v>24</v>
      </c>
      <c r="F3" s="37" t="s">
        <v>24</v>
      </c>
      <c r="G3" s="37" t="s">
        <v>25</v>
      </c>
      <c r="H3" s="37" t="s">
        <v>25</v>
      </c>
      <c r="I3" s="37" t="s">
        <v>37</v>
      </c>
      <c r="J3" s="37" t="s">
        <v>592</v>
      </c>
      <c r="K3" s="37" t="s">
        <v>593</v>
      </c>
      <c r="L3" s="37" t="s">
        <v>74</v>
      </c>
      <c r="M3" s="37">
        <v>2021</v>
      </c>
      <c r="N3" s="37">
        <v>0</v>
      </c>
      <c r="O3" s="37">
        <v>537.63</v>
      </c>
      <c r="P3" s="37">
        <v>55.425551846011899</v>
      </c>
    </row>
    <row r="4" spans="1:50" ht="11.25" customHeight="1" x14ac:dyDescent="0.25">
      <c r="A4" s="37">
        <v>3</v>
      </c>
      <c r="B4" s="37" t="s">
        <v>448</v>
      </c>
      <c r="C4" s="37" t="s">
        <v>39</v>
      </c>
      <c r="D4" s="37" t="s">
        <v>40</v>
      </c>
      <c r="E4" s="37" t="s">
        <v>25</v>
      </c>
      <c r="F4" s="37" t="s">
        <v>25</v>
      </c>
      <c r="G4" s="37" t="s">
        <v>25</v>
      </c>
      <c r="H4" s="37" t="s">
        <v>25</v>
      </c>
      <c r="I4" s="37" t="s">
        <v>38</v>
      </c>
      <c r="J4" s="37" t="s">
        <v>592</v>
      </c>
      <c r="K4" s="37" t="s">
        <v>593</v>
      </c>
      <c r="L4" s="37" t="s">
        <v>74</v>
      </c>
      <c r="M4" s="37">
        <v>2021</v>
      </c>
      <c r="N4" s="37">
        <v>0</v>
      </c>
      <c r="O4" s="37">
        <v>90.67</v>
      </c>
      <c r="P4" s="37">
        <v>48.2202301060303</v>
      </c>
    </row>
    <row r="5" spans="1:50" ht="11.25" customHeight="1" x14ac:dyDescent="0.25">
      <c r="A5" s="37">
        <v>4</v>
      </c>
      <c r="B5" s="37" t="s">
        <v>448</v>
      </c>
      <c r="C5" s="37" t="s">
        <v>22</v>
      </c>
      <c r="D5" s="37" t="s">
        <v>89</v>
      </c>
      <c r="E5" s="37" t="s">
        <v>24</v>
      </c>
      <c r="F5" s="37" t="s">
        <v>24</v>
      </c>
      <c r="G5" s="37" t="s">
        <v>25</v>
      </c>
      <c r="H5" s="37" t="s">
        <v>25</v>
      </c>
      <c r="I5" s="37" t="s">
        <v>25</v>
      </c>
      <c r="J5" s="37" t="s">
        <v>592</v>
      </c>
      <c r="K5" s="37" t="s">
        <v>593</v>
      </c>
      <c r="L5" s="37" t="s">
        <v>74</v>
      </c>
      <c r="M5" s="37">
        <v>2021</v>
      </c>
      <c r="N5" s="37">
        <v>0</v>
      </c>
      <c r="O5" s="37">
        <v>269.06</v>
      </c>
      <c r="P5" s="37">
        <v>55.425551846011899</v>
      </c>
    </row>
    <row r="6" spans="1:50" ht="11.25" customHeight="1" x14ac:dyDescent="0.25">
      <c r="A6" s="37">
        <v>5</v>
      </c>
      <c r="B6" s="37" t="s">
        <v>448</v>
      </c>
      <c r="C6" s="37" t="s">
        <v>39</v>
      </c>
      <c r="D6" s="37" t="s">
        <v>36</v>
      </c>
      <c r="E6" s="37" t="s">
        <v>25</v>
      </c>
      <c r="F6" s="37" t="s">
        <v>25</v>
      </c>
      <c r="G6" s="37" t="s">
        <v>81</v>
      </c>
      <c r="H6" s="37" t="s">
        <v>25</v>
      </c>
      <c r="I6" s="37" t="s">
        <v>25</v>
      </c>
      <c r="J6" s="37" t="s">
        <v>592</v>
      </c>
      <c r="K6" s="37" t="s">
        <v>593</v>
      </c>
      <c r="L6" s="37" t="s">
        <v>74</v>
      </c>
      <c r="M6" s="37">
        <v>2021</v>
      </c>
      <c r="N6" s="37">
        <v>0</v>
      </c>
      <c r="O6" s="37">
        <v>5.91</v>
      </c>
      <c r="P6" s="37">
        <v>0</v>
      </c>
    </row>
    <row r="7" spans="1:50" ht="11.25" customHeight="1" x14ac:dyDescent="0.25">
      <c r="A7" s="37">
        <v>6</v>
      </c>
      <c r="B7" s="37" t="s">
        <v>448</v>
      </c>
      <c r="C7" s="37" t="s">
        <v>22</v>
      </c>
      <c r="D7" s="37" t="s">
        <v>23</v>
      </c>
      <c r="E7" s="37" t="s">
        <v>24</v>
      </c>
      <c r="F7" s="37" t="s">
        <v>29</v>
      </c>
      <c r="G7" s="37" t="s">
        <v>25</v>
      </c>
      <c r="H7" s="37" t="s">
        <v>25</v>
      </c>
      <c r="I7" s="37" t="s">
        <v>25</v>
      </c>
      <c r="J7" s="37" t="s">
        <v>592</v>
      </c>
      <c r="K7" s="37" t="s">
        <v>593</v>
      </c>
      <c r="L7" s="37" t="s">
        <v>74</v>
      </c>
      <c r="M7" s="37">
        <v>2021</v>
      </c>
      <c r="N7" s="37">
        <v>0</v>
      </c>
      <c r="O7" s="37">
        <v>60.53</v>
      </c>
      <c r="P7" s="37">
        <v>0</v>
      </c>
    </row>
    <row r="8" spans="1:50" ht="11.25" customHeight="1" x14ac:dyDescent="0.25">
      <c r="A8" s="37">
        <v>7</v>
      </c>
      <c r="B8" s="37" t="s">
        <v>448</v>
      </c>
      <c r="C8" s="37" t="s">
        <v>35</v>
      </c>
      <c r="D8" s="37" t="s">
        <v>36</v>
      </c>
      <c r="E8" s="37" t="s">
        <v>25</v>
      </c>
      <c r="F8" s="37" t="s">
        <v>25</v>
      </c>
      <c r="G8" s="37" t="s">
        <v>25</v>
      </c>
      <c r="H8" s="37" t="s">
        <v>25</v>
      </c>
      <c r="I8" s="37" t="s">
        <v>25</v>
      </c>
      <c r="J8" s="37" t="s">
        <v>592</v>
      </c>
      <c r="K8" s="37" t="s">
        <v>593</v>
      </c>
      <c r="L8" s="37" t="s">
        <v>74</v>
      </c>
      <c r="M8" s="37">
        <v>2021</v>
      </c>
      <c r="N8" s="37">
        <v>0</v>
      </c>
      <c r="O8" s="37">
        <v>70.59</v>
      </c>
      <c r="P8" s="37">
        <v>37.135119736827903</v>
      </c>
    </row>
    <row r="9" spans="1:50" ht="11.25" customHeight="1" x14ac:dyDescent="0.25">
      <c r="A9" s="37">
        <v>8</v>
      </c>
      <c r="B9" s="37" t="s">
        <v>448</v>
      </c>
      <c r="C9" s="37" t="s">
        <v>39</v>
      </c>
      <c r="D9" s="37" t="s">
        <v>40</v>
      </c>
      <c r="E9" s="37" t="s">
        <v>25</v>
      </c>
      <c r="F9" s="37" t="s">
        <v>25</v>
      </c>
      <c r="G9" s="37" t="s">
        <v>81</v>
      </c>
      <c r="H9" s="37" t="s">
        <v>25</v>
      </c>
      <c r="I9" s="37" t="s">
        <v>38</v>
      </c>
      <c r="J9" s="37" t="s">
        <v>592</v>
      </c>
      <c r="K9" s="37" t="s">
        <v>593</v>
      </c>
      <c r="L9" s="37" t="s">
        <v>74</v>
      </c>
      <c r="M9" s="37">
        <v>2021</v>
      </c>
      <c r="N9" s="37">
        <v>0</v>
      </c>
      <c r="O9" s="37">
        <v>5.91</v>
      </c>
      <c r="P9" s="37">
        <v>0</v>
      </c>
    </row>
    <row r="10" spans="1:50" ht="11.25" customHeight="1" x14ac:dyDescent="0.25">
      <c r="A10" s="37">
        <v>9</v>
      </c>
      <c r="B10" s="37" t="s">
        <v>448</v>
      </c>
      <c r="C10" s="37" t="s">
        <v>22</v>
      </c>
      <c r="D10" s="37" t="s">
        <v>89</v>
      </c>
      <c r="E10" s="37" t="s">
        <v>24</v>
      </c>
      <c r="F10" s="37" t="s">
        <v>30</v>
      </c>
      <c r="G10" s="37" t="s">
        <v>25</v>
      </c>
      <c r="H10" s="37" t="s">
        <v>25</v>
      </c>
      <c r="I10" s="37" t="s">
        <v>25</v>
      </c>
      <c r="J10" s="37" t="s">
        <v>592</v>
      </c>
      <c r="K10" s="37" t="s">
        <v>593</v>
      </c>
      <c r="L10" s="37" t="s">
        <v>74</v>
      </c>
      <c r="M10" s="37">
        <v>2021</v>
      </c>
      <c r="N10" s="37">
        <v>0</v>
      </c>
      <c r="O10" s="37">
        <v>103.76</v>
      </c>
      <c r="P10" s="37">
        <v>0</v>
      </c>
    </row>
    <row r="11" spans="1:50" ht="11.25" customHeight="1" x14ac:dyDescent="0.25">
      <c r="A11" s="37">
        <v>10</v>
      </c>
      <c r="B11" s="37" t="s">
        <v>448</v>
      </c>
      <c r="C11" s="37" t="s">
        <v>39</v>
      </c>
      <c r="D11" s="37" t="s">
        <v>36</v>
      </c>
      <c r="E11" s="37" t="s">
        <v>25</v>
      </c>
      <c r="F11" s="37" t="s">
        <v>25</v>
      </c>
      <c r="G11" s="37" t="s">
        <v>25</v>
      </c>
      <c r="H11" s="37" t="s">
        <v>25</v>
      </c>
      <c r="I11" s="37" t="s">
        <v>25</v>
      </c>
      <c r="J11" s="37" t="s">
        <v>592</v>
      </c>
      <c r="K11" s="37" t="s">
        <v>593</v>
      </c>
      <c r="L11" s="37" t="s">
        <v>74</v>
      </c>
      <c r="M11" s="37">
        <v>2021</v>
      </c>
      <c r="N11" s="37">
        <v>0</v>
      </c>
      <c r="O11" s="37">
        <v>90.67</v>
      </c>
      <c r="P11" s="37">
        <v>48.2202301060303</v>
      </c>
    </row>
    <row r="12" spans="1:50" ht="11.25" customHeight="1" x14ac:dyDescent="0.25">
      <c r="A12" s="37">
        <v>11</v>
      </c>
      <c r="B12" s="37" t="s">
        <v>448</v>
      </c>
      <c r="C12" s="37" t="s">
        <v>22</v>
      </c>
      <c r="D12" s="37" t="s">
        <v>23</v>
      </c>
      <c r="E12" s="37" t="s">
        <v>24</v>
      </c>
      <c r="F12" s="37" t="s">
        <v>24</v>
      </c>
      <c r="G12" s="37" t="s">
        <v>25</v>
      </c>
      <c r="H12" s="37" t="s">
        <v>25</v>
      </c>
      <c r="I12" s="37" t="s">
        <v>25</v>
      </c>
      <c r="J12" s="37" t="s">
        <v>592</v>
      </c>
      <c r="K12" s="37" t="s">
        <v>593</v>
      </c>
      <c r="L12" s="37" t="s">
        <v>74</v>
      </c>
      <c r="M12" s="37">
        <v>2021</v>
      </c>
      <c r="N12" s="37">
        <v>0</v>
      </c>
      <c r="O12" s="37">
        <v>269.06</v>
      </c>
      <c r="P12" s="37">
        <v>55.425551846011899</v>
      </c>
    </row>
    <row r="13" spans="1:50" ht="11.25" customHeight="1" x14ac:dyDescent="0.25">
      <c r="A13" s="37">
        <v>12</v>
      </c>
      <c r="B13" s="37" t="s">
        <v>448</v>
      </c>
      <c r="C13" s="37" t="s">
        <v>39</v>
      </c>
      <c r="D13" s="37" t="s">
        <v>36</v>
      </c>
      <c r="E13" s="37" t="s">
        <v>25</v>
      </c>
      <c r="F13" s="37" t="s">
        <v>25</v>
      </c>
      <c r="G13" s="37" t="s">
        <v>25</v>
      </c>
      <c r="H13" s="37" t="s">
        <v>25</v>
      </c>
      <c r="I13" s="37" t="s">
        <v>38</v>
      </c>
      <c r="J13" s="37" t="s">
        <v>594</v>
      </c>
      <c r="K13" s="37" t="s">
        <v>593</v>
      </c>
      <c r="L13" s="37" t="s">
        <v>77</v>
      </c>
      <c r="M13" s="37">
        <v>2021</v>
      </c>
      <c r="N13" s="37">
        <v>0</v>
      </c>
      <c r="O13" s="37">
        <v>14.45</v>
      </c>
      <c r="P13" s="37">
        <v>0</v>
      </c>
    </row>
    <row r="14" spans="1:50" ht="11.25" customHeight="1" x14ac:dyDescent="0.25">
      <c r="A14" s="37">
        <v>13</v>
      </c>
      <c r="B14" s="37" t="s">
        <v>448</v>
      </c>
      <c r="C14" s="37" t="s">
        <v>22</v>
      </c>
      <c r="D14" s="37" t="s">
        <v>55</v>
      </c>
      <c r="E14" s="37" t="s">
        <v>24</v>
      </c>
      <c r="F14" s="37" t="s">
        <v>24</v>
      </c>
      <c r="G14" s="37" t="s">
        <v>25</v>
      </c>
      <c r="H14" s="37" t="s">
        <v>25</v>
      </c>
      <c r="I14" s="37" t="s">
        <v>38</v>
      </c>
      <c r="J14" s="37" t="s">
        <v>592</v>
      </c>
      <c r="K14" s="37" t="s">
        <v>593</v>
      </c>
      <c r="L14" s="37" t="s">
        <v>74</v>
      </c>
      <c r="M14" s="37">
        <v>2021</v>
      </c>
      <c r="N14" s="37">
        <v>0</v>
      </c>
      <c r="O14" s="37">
        <v>196.38</v>
      </c>
      <c r="P14" s="37">
        <v>55.425551846011899</v>
      </c>
    </row>
    <row r="15" spans="1:50" ht="11.25" customHeight="1" x14ac:dyDescent="0.25">
      <c r="A15" s="37">
        <v>14</v>
      </c>
      <c r="B15" s="37" t="s">
        <v>448</v>
      </c>
      <c r="C15" s="37" t="s">
        <v>83</v>
      </c>
      <c r="D15" s="37" t="s">
        <v>82</v>
      </c>
      <c r="E15" s="37" t="s">
        <v>25</v>
      </c>
      <c r="F15" s="37" t="s">
        <v>25</v>
      </c>
      <c r="G15" s="37" t="s">
        <v>85</v>
      </c>
      <c r="H15" s="37" t="s">
        <v>25</v>
      </c>
      <c r="I15" s="37" t="s">
        <v>25</v>
      </c>
      <c r="J15" s="37" t="s">
        <v>594</v>
      </c>
      <c r="K15" s="37" t="s">
        <v>593</v>
      </c>
      <c r="L15" s="37" t="s">
        <v>77</v>
      </c>
      <c r="M15" s="37">
        <v>2021</v>
      </c>
      <c r="N15" s="37">
        <v>0</v>
      </c>
      <c r="O15" s="37">
        <v>8.57</v>
      </c>
      <c r="P15" s="37">
        <v>0</v>
      </c>
    </row>
    <row r="16" spans="1:50" ht="11.25" customHeight="1" x14ac:dyDescent="0.25">
      <c r="A16" s="37">
        <v>15</v>
      </c>
      <c r="B16" s="37" t="s">
        <v>448</v>
      </c>
      <c r="C16" s="37" t="s">
        <v>35</v>
      </c>
      <c r="D16" s="37" t="s">
        <v>36</v>
      </c>
      <c r="E16" s="37" t="s">
        <v>25</v>
      </c>
      <c r="F16" s="37" t="s">
        <v>25</v>
      </c>
      <c r="G16" s="37" t="s">
        <v>25</v>
      </c>
      <c r="H16" s="37" t="s">
        <v>25</v>
      </c>
      <c r="I16" s="37" t="s">
        <v>37</v>
      </c>
      <c r="J16" s="37" t="s">
        <v>594</v>
      </c>
      <c r="K16" s="37" t="s">
        <v>593</v>
      </c>
      <c r="L16" s="37" t="s">
        <v>77</v>
      </c>
      <c r="M16" s="37">
        <v>2021</v>
      </c>
      <c r="N16" s="37">
        <v>0</v>
      </c>
      <c r="O16" s="37">
        <v>21.75</v>
      </c>
      <c r="P16" s="37">
        <v>0</v>
      </c>
    </row>
    <row r="17" spans="1:16" ht="11.25" customHeight="1" x14ac:dyDescent="0.25">
      <c r="A17" s="37">
        <v>16</v>
      </c>
      <c r="B17" s="37" t="s">
        <v>448</v>
      </c>
      <c r="C17" s="37" t="s">
        <v>83</v>
      </c>
      <c r="D17" s="37" t="s">
        <v>82</v>
      </c>
      <c r="E17" s="37" t="s">
        <v>25</v>
      </c>
      <c r="F17" s="37" t="s">
        <v>25</v>
      </c>
      <c r="G17" s="37" t="s">
        <v>84</v>
      </c>
      <c r="H17" s="37" t="s">
        <v>25</v>
      </c>
      <c r="I17" s="37" t="s">
        <v>25</v>
      </c>
      <c r="J17" s="37" t="s">
        <v>594</v>
      </c>
      <c r="K17" s="37" t="s">
        <v>593</v>
      </c>
      <c r="L17" s="37" t="s">
        <v>77</v>
      </c>
      <c r="M17" s="37">
        <v>2021</v>
      </c>
      <c r="N17" s="37">
        <v>0</v>
      </c>
      <c r="O17" s="37">
        <v>4.22</v>
      </c>
      <c r="P17" s="37">
        <v>0</v>
      </c>
    </row>
    <row r="18" spans="1:16" ht="11.25" customHeight="1" x14ac:dyDescent="0.25">
      <c r="A18" s="37">
        <v>17</v>
      </c>
      <c r="B18" s="37" t="s">
        <v>448</v>
      </c>
      <c r="C18" s="37" t="s">
        <v>39</v>
      </c>
      <c r="D18" s="37" t="s">
        <v>36</v>
      </c>
      <c r="E18" s="37" t="s">
        <v>25</v>
      </c>
      <c r="F18" s="37" t="s">
        <v>25</v>
      </c>
      <c r="G18" s="37" t="s">
        <v>25</v>
      </c>
      <c r="H18" s="37" t="s">
        <v>25</v>
      </c>
      <c r="I18" s="37" t="s">
        <v>37</v>
      </c>
      <c r="J18" s="37" t="s">
        <v>594</v>
      </c>
      <c r="K18" s="37" t="s">
        <v>593</v>
      </c>
      <c r="L18" s="37" t="s">
        <v>77</v>
      </c>
      <c r="M18" s="37">
        <v>2021</v>
      </c>
      <c r="N18" s="37">
        <v>0</v>
      </c>
      <c r="O18" s="37">
        <v>38.14</v>
      </c>
      <c r="P18" s="37">
        <v>0</v>
      </c>
    </row>
    <row r="19" spans="1:16" ht="11.25" customHeight="1" x14ac:dyDescent="0.25">
      <c r="A19" s="37">
        <v>18</v>
      </c>
      <c r="B19" s="37" t="s">
        <v>448</v>
      </c>
      <c r="C19" s="37" t="s">
        <v>39</v>
      </c>
      <c r="D19" s="37" t="s">
        <v>40</v>
      </c>
      <c r="E19" s="37" t="s">
        <v>25</v>
      </c>
      <c r="F19" s="37" t="s">
        <v>25</v>
      </c>
      <c r="G19" s="37" t="s">
        <v>25</v>
      </c>
      <c r="H19" s="37" t="s">
        <v>25</v>
      </c>
      <c r="I19" s="37" t="s">
        <v>37</v>
      </c>
      <c r="J19" s="37" t="s">
        <v>592</v>
      </c>
      <c r="K19" s="37" t="s">
        <v>593</v>
      </c>
      <c r="L19" s="37" t="s">
        <v>74</v>
      </c>
      <c r="M19" s="37">
        <v>2021</v>
      </c>
      <c r="N19" s="37">
        <v>0</v>
      </c>
      <c r="O19" s="37">
        <v>1007.94</v>
      </c>
      <c r="P19" s="37">
        <v>48.2202301060303</v>
      </c>
    </row>
    <row r="20" spans="1:16" ht="11.25" customHeight="1" x14ac:dyDescent="0.25">
      <c r="A20" s="37">
        <v>19</v>
      </c>
      <c r="B20" s="37" t="s">
        <v>448</v>
      </c>
      <c r="C20" s="37" t="s">
        <v>22</v>
      </c>
      <c r="D20" s="37" t="s">
        <v>23</v>
      </c>
      <c r="E20" s="37" t="s">
        <v>24</v>
      </c>
      <c r="F20" s="37" t="s">
        <v>32</v>
      </c>
      <c r="G20" s="37" t="s">
        <v>25</v>
      </c>
      <c r="H20" s="37" t="s">
        <v>25</v>
      </c>
      <c r="I20" s="37" t="s">
        <v>25</v>
      </c>
      <c r="J20" s="37" t="s">
        <v>592</v>
      </c>
      <c r="K20" s="37" t="s">
        <v>593</v>
      </c>
      <c r="L20" s="37" t="s">
        <v>74</v>
      </c>
      <c r="M20" s="37">
        <v>2021</v>
      </c>
      <c r="N20" s="37">
        <v>0</v>
      </c>
      <c r="O20" s="37">
        <v>172.93</v>
      </c>
      <c r="P20" s="37">
        <v>0</v>
      </c>
    </row>
    <row r="21" spans="1:16" ht="11.25" customHeight="1" x14ac:dyDescent="0.25">
      <c r="A21" s="37">
        <v>20</v>
      </c>
      <c r="B21" s="37" t="s">
        <v>448</v>
      </c>
      <c r="C21" s="37" t="s">
        <v>35</v>
      </c>
      <c r="D21" s="37" t="s">
        <v>36</v>
      </c>
      <c r="E21" s="37" t="s">
        <v>25</v>
      </c>
      <c r="F21" s="37" t="s">
        <v>25</v>
      </c>
      <c r="G21" s="37" t="s">
        <v>25</v>
      </c>
      <c r="H21" s="37" t="s">
        <v>25</v>
      </c>
      <c r="I21" s="37" t="s">
        <v>38</v>
      </c>
      <c r="J21" s="37" t="s">
        <v>594</v>
      </c>
      <c r="K21" s="37" t="s">
        <v>593</v>
      </c>
      <c r="L21" s="37" t="s">
        <v>77</v>
      </c>
      <c r="M21" s="37">
        <v>2021</v>
      </c>
      <c r="N21" s="37">
        <v>0</v>
      </c>
      <c r="O21" s="37">
        <v>8.76</v>
      </c>
      <c r="P21" s="37">
        <v>0</v>
      </c>
    </row>
    <row r="22" spans="1:16" ht="11.25" customHeight="1" x14ac:dyDescent="0.25">
      <c r="A22" s="37">
        <v>21</v>
      </c>
      <c r="B22" s="37" t="s">
        <v>448</v>
      </c>
      <c r="C22" s="37" t="s">
        <v>39</v>
      </c>
      <c r="D22" s="37" t="s">
        <v>40</v>
      </c>
      <c r="E22" s="37" t="s">
        <v>25</v>
      </c>
      <c r="F22" s="37" t="s">
        <v>25</v>
      </c>
      <c r="G22" s="37" t="s">
        <v>81</v>
      </c>
      <c r="H22" s="37" t="s">
        <v>25</v>
      </c>
      <c r="I22" s="37" t="s">
        <v>37</v>
      </c>
      <c r="J22" s="37" t="s">
        <v>592</v>
      </c>
      <c r="K22" s="37" t="s">
        <v>593</v>
      </c>
      <c r="L22" s="37" t="s">
        <v>74</v>
      </c>
      <c r="M22" s="37">
        <v>2021</v>
      </c>
      <c r="N22" s="37">
        <v>0</v>
      </c>
      <c r="O22" s="37">
        <v>923.18</v>
      </c>
      <c r="P22" s="37">
        <v>0</v>
      </c>
    </row>
    <row r="23" spans="1:16" ht="11.25" customHeight="1" x14ac:dyDescent="0.25">
      <c r="A23" s="37">
        <v>22</v>
      </c>
      <c r="B23" s="37" t="s">
        <v>448</v>
      </c>
      <c r="C23" s="37" t="s">
        <v>22</v>
      </c>
      <c r="D23" s="37" t="s">
        <v>89</v>
      </c>
      <c r="E23" s="37" t="s">
        <v>24</v>
      </c>
      <c r="F23" s="37" t="s">
        <v>29</v>
      </c>
      <c r="G23" s="37" t="s">
        <v>25</v>
      </c>
      <c r="H23" s="37" t="s">
        <v>25</v>
      </c>
      <c r="I23" s="37" t="s">
        <v>25</v>
      </c>
      <c r="J23" s="37" t="s">
        <v>592</v>
      </c>
      <c r="K23" s="37" t="s">
        <v>593</v>
      </c>
      <c r="L23" s="37" t="s">
        <v>74</v>
      </c>
      <c r="M23" s="37">
        <v>2021</v>
      </c>
      <c r="N23" s="37">
        <v>0</v>
      </c>
      <c r="O23" s="37">
        <v>60.53</v>
      </c>
      <c r="P23" s="37">
        <v>0</v>
      </c>
    </row>
    <row r="24" spans="1:16" ht="11.25" customHeight="1" x14ac:dyDescent="0.25">
      <c r="A24" s="37">
        <v>23</v>
      </c>
      <c r="B24" s="37" t="s">
        <v>448</v>
      </c>
      <c r="C24" s="37" t="s">
        <v>22</v>
      </c>
      <c r="D24" s="37" t="s">
        <v>55</v>
      </c>
      <c r="E24" s="37" t="s">
        <v>24</v>
      </c>
      <c r="F24" s="37" t="s">
        <v>24</v>
      </c>
      <c r="G24" s="37" t="s">
        <v>25</v>
      </c>
      <c r="H24" s="37" t="s">
        <v>25</v>
      </c>
      <c r="I24" s="37" t="s">
        <v>56</v>
      </c>
      <c r="J24" s="37" t="s">
        <v>592</v>
      </c>
      <c r="K24" s="37" t="s">
        <v>593</v>
      </c>
      <c r="L24" s="37" t="s">
        <v>74</v>
      </c>
      <c r="M24" s="37">
        <v>2021</v>
      </c>
      <c r="N24" s="37">
        <v>0</v>
      </c>
      <c r="O24" s="37">
        <v>367.01</v>
      </c>
      <c r="P24" s="37">
        <v>55.425551846011899</v>
      </c>
    </row>
    <row r="25" spans="1:16" ht="11.25" customHeight="1" x14ac:dyDescent="0.25">
      <c r="A25" s="37">
        <v>24</v>
      </c>
      <c r="B25" s="37" t="s">
        <v>448</v>
      </c>
      <c r="C25" s="37" t="s">
        <v>22</v>
      </c>
      <c r="D25" s="37" t="s">
        <v>23</v>
      </c>
      <c r="E25" s="37" t="s">
        <v>24</v>
      </c>
      <c r="F25" s="37" t="s">
        <v>30</v>
      </c>
      <c r="G25" s="37" t="s">
        <v>25</v>
      </c>
      <c r="H25" s="37" t="s">
        <v>25</v>
      </c>
      <c r="I25" s="37" t="s">
        <v>25</v>
      </c>
      <c r="J25" s="37" t="s">
        <v>592</v>
      </c>
      <c r="K25" s="37" t="s">
        <v>593</v>
      </c>
      <c r="L25" s="37" t="s">
        <v>74</v>
      </c>
      <c r="M25" s="37">
        <v>2021</v>
      </c>
      <c r="N25" s="37">
        <v>0</v>
      </c>
      <c r="O25" s="37">
        <v>103.76</v>
      </c>
      <c r="P25" s="37">
        <v>0</v>
      </c>
    </row>
    <row r="26" spans="1:16" ht="11.25" customHeight="1" x14ac:dyDescent="0.25">
      <c r="A26" s="37">
        <v>25</v>
      </c>
      <c r="B26" s="37" t="s">
        <v>448</v>
      </c>
      <c r="C26" s="37" t="s">
        <v>42</v>
      </c>
      <c r="D26" s="37" t="s">
        <v>55</v>
      </c>
      <c r="E26" s="37" t="s">
        <v>43</v>
      </c>
      <c r="F26" s="37" t="s">
        <v>90</v>
      </c>
      <c r="G26" s="37" t="s">
        <v>25</v>
      </c>
      <c r="H26" s="37" t="s">
        <v>25</v>
      </c>
      <c r="I26" s="37" t="s">
        <v>56</v>
      </c>
      <c r="J26" s="37" t="s">
        <v>592</v>
      </c>
      <c r="K26" s="37" t="s">
        <v>593</v>
      </c>
      <c r="L26" s="37" t="s">
        <v>74</v>
      </c>
      <c r="M26" s="37">
        <v>2021</v>
      </c>
      <c r="N26" s="37">
        <v>0</v>
      </c>
      <c r="O26" s="37">
        <v>343.82</v>
      </c>
      <c r="P26" s="37">
        <v>48.774485624490403</v>
      </c>
    </row>
    <row r="27" spans="1:16" ht="11.25" customHeight="1" x14ac:dyDescent="0.25">
      <c r="A27" s="37">
        <v>26</v>
      </c>
      <c r="B27" s="37" t="s">
        <v>448</v>
      </c>
      <c r="C27" s="37" t="s">
        <v>33</v>
      </c>
      <c r="D27" s="37" t="s">
        <v>23</v>
      </c>
      <c r="E27" s="37" t="s">
        <v>25</v>
      </c>
      <c r="F27" s="37" t="s">
        <v>25</v>
      </c>
      <c r="G27" s="37" t="s">
        <v>25</v>
      </c>
      <c r="H27" s="37" t="s">
        <v>25</v>
      </c>
      <c r="I27" s="37" t="s">
        <v>25</v>
      </c>
      <c r="J27" s="37" t="s">
        <v>592</v>
      </c>
      <c r="K27" s="37" t="s">
        <v>593</v>
      </c>
      <c r="L27" s="37" t="s">
        <v>74</v>
      </c>
      <c r="M27" s="37">
        <v>2021</v>
      </c>
      <c r="N27" s="37">
        <v>0</v>
      </c>
      <c r="O27" s="37">
        <v>269.06</v>
      </c>
      <c r="P27" s="37">
        <v>55.425551846011899</v>
      </c>
    </row>
    <row r="28" spans="1:16" ht="11.25" customHeight="1" x14ac:dyDescent="0.25">
      <c r="A28" s="37">
        <v>27</v>
      </c>
      <c r="B28" s="37" t="s">
        <v>448</v>
      </c>
      <c r="C28" s="37" t="s">
        <v>39</v>
      </c>
      <c r="D28" s="37" t="s">
        <v>82</v>
      </c>
      <c r="E28" s="37" t="s">
        <v>25</v>
      </c>
      <c r="F28" s="37" t="s">
        <v>25</v>
      </c>
      <c r="G28" s="37" t="s">
        <v>25</v>
      </c>
      <c r="H28" s="37" t="s">
        <v>25</v>
      </c>
      <c r="I28" s="37" t="s">
        <v>25</v>
      </c>
      <c r="J28" s="37" t="s">
        <v>594</v>
      </c>
      <c r="K28" s="37" t="s">
        <v>593</v>
      </c>
      <c r="L28" s="37" t="s">
        <v>77</v>
      </c>
      <c r="M28" s="37">
        <v>2021</v>
      </c>
      <c r="N28" s="37">
        <v>0</v>
      </c>
      <c r="O28" s="37">
        <v>4.09</v>
      </c>
      <c r="P28" s="37">
        <v>0</v>
      </c>
    </row>
    <row r="29" spans="1:16" ht="11.25" customHeight="1" x14ac:dyDescent="0.25">
      <c r="A29" s="37">
        <v>28</v>
      </c>
      <c r="B29" s="37" t="s">
        <v>448</v>
      </c>
      <c r="C29" s="37" t="s">
        <v>39</v>
      </c>
      <c r="D29" s="37" t="s">
        <v>40</v>
      </c>
      <c r="E29" s="37" t="s">
        <v>25</v>
      </c>
      <c r="F29" s="37" t="s">
        <v>25</v>
      </c>
      <c r="G29" s="37" t="s">
        <v>25</v>
      </c>
      <c r="H29" s="37" t="s">
        <v>25</v>
      </c>
      <c r="I29" s="37" t="s">
        <v>25</v>
      </c>
      <c r="J29" s="37" t="s">
        <v>594</v>
      </c>
      <c r="K29" s="37" t="s">
        <v>593</v>
      </c>
      <c r="L29" s="37" t="s">
        <v>77</v>
      </c>
      <c r="M29" s="37">
        <v>2021</v>
      </c>
      <c r="N29" s="37">
        <v>0</v>
      </c>
      <c r="O29" s="37">
        <v>14.45</v>
      </c>
      <c r="P29" s="37">
        <v>0</v>
      </c>
    </row>
    <row r="30" spans="1:16" ht="11.25" customHeight="1" x14ac:dyDescent="0.25">
      <c r="A30" s="37">
        <v>29</v>
      </c>
      <c r="B30" s="37" t="s">
        <v>448</v>
      </c>
      <c r="C30" s="37" t="s">
        <v>22</v>
      </c>
      <c r="D30" s="37" t="s">
        <v>23</v>
      </c>
      <c r="E30" s="37" t="s">
        <v>24</v>
      </c>
      <c r="F30" s="37" t="s">
        <v>31</v>
      </c>
      <c r="G30" s="37" t="s">
        <v>25</v>
      </c>
      <c r="H30" s="37" t="s">
        <v>25</v>
      </c>
      <c r="I30" s="37" t="s">
        <v>25</v>
      </c>
      <c r="J30" s="37" t="s">
        <v>592</v>
      </c>
      <c r="K30" s="37" t="s">
        <v>593</v>
      </c>
      <c r="L30" s="37" t="s">
        <v>74</v>
      </c>
      <c r="M30" s="37">
        <v>2021</v>
      </c>
      <c r="N30" s="37">
        <v>0</v>
      </c>
      <c r="O30" s="37">
        <v>155.63999999999999</v>
      </c>
      <c r="P30" s="37">
        <v>0</v>
      </c>
    </row>
    <row r="31" spans="1:16" ht="11.25" customHeight="1" x14ac:dyDescent="0.25">
      <c r="A31" s="37">
        <v>30</v>
      </c>
      <c r="B31" s="37" t="s">
        <v>448</v>
      </c>
      <c r="C31" s="37" t="s">
        <v>42</v>
      </c>
      <c r="D31" s="37" t="s">
        <v>23</v>
      </c>
      <c r="E31" s="37" t="s">
        <v>43</v>
      </c>
      <c r="F31" s="37" t="s">
        <v>25</v>
      </c>
      <c r="G31" s="37" t="s">
        <v>25</v>
      </c>
      <c r="H31" s="37" t="s">
        <v>25</v>
      </c>
      <c r="I31" s="37" t="s">
        <v>25</v>
      </c>
      <c r="J31" s="37" t="s">
        <v>592</v>
      </c>
      <c r="K31" s="37" t="s">
        <v>593</v>
      </c>
      <c r="L31" s="37" t="s">
        <v>74</v>
      </c>
      <c r="M31" s="37">
        <v>2021</v>
      </c>
      <c r="N31" s="37">
        <v>0</v>
      </c>
      <c r="O31" s="37">
        <v>236.77</v>
      </c>
      <c r="P31" s="37">
        <v>48.774485624490403</v>
      </c>
    </row>
    <row r="32" spans="1:16" ht="11.25" customHeight="1" x14ac:dyDescent="0.25">
      <c r="A32" s="37">
        <v>31</v>
      </c>
      <c r="B32" s="37" t="s">
        <v>448</v>
      </c>
      <c r="C32" s="37" t="s">
        <v>33</v>
      </c>
      <c r="D32" s="37" t="s">
        <v>55</v>
      </c>
      <c r="E32" s="37" t="s">
        <v>25</v>
      </c>
      <c r="F32" s="37" t="s">
        <v>25</v>
      </c>
      <c r="G32" s="37" t="s">
        <v>25</v>
      </c>
      <c r="H32" s="37" t="s">
        <v>25</v>
      </c>
      <c r="I32" s="37" t="s">
        <v>38</v>
      </c>
      <c r="J32" s="37" t="s">
        <v>592</v>
      </c>
      <c r="K32" s="37" t="s">
        <v>593</v>
      </c>
      <c r="L32" s="37" t="s">
        <v>74</v>
      </c>
      <c r="M32" s="37">
        <v>2021</v>
      </c>
      <c r="N32" s="37">
        <v>0</v>
      </c>
      <c r="O32" s="37">
        <v>220.08</v>
      </c>
      <c r="P32" s="37">
        <v>55.425551846011899</v>
      </c>
    </row>
    <row r="33" spans="1:16" ht="11.25" customHeight="1" x14ac:dyDescent="0.25">
      <c r="A33" s="37">
        <v>32</v>
      </c>
      <c r="B33" s="37" t="s">
        <v>448</v>
      </c>
      <c r="C33" s="37" t="s">
        <v>42</v>
      </c>
      <c r="D33" s="37" t="s">
        <v>55</v>
      </c>
      <c r="E33" s="37" t="s">
        <v>43</v>
      </c>
      <c r="F33" s="37" t="s">
        <v>25</v>
      </c>
      <c r="G33" s="37" t="s">
        <v>25</v>
      </c>
      <c r="H33" s="37" t="s">
        <v>25</v>
      </c>
      <c r="I33" s="37" t="s">
        <v>38</v>
      </c>
      <c r="J33" s="37" t="s">
        <v>592</v>
      </c>
      <c r="K33" s="37" t="s">
        <v>593</v>
      </c>
      <c r="L33" s="37" t="s">
        <v>74</v>
      </c>
      <c r="M33" s="37">
        <v>2021</v>
      </c>
      <c r="N33" s="37">
        <v>0</v>
      </c>
      <c r="O33" s="37">
        <v>179.77</v>
      </c>
      <c r="P33" s="37">
        <v>48.774485624490403</v>
      </c>
    </row>
    <row r="34" spans="1:16" ht="11.25" customHeight="1" x14ac:dyDescent="0.25">
      <c r="A34" s="37">
        <v>33</v>
      </c>
      <c r="B34" s="37" t="s">
        <v>448</v>
      </c>
      <c r="C34" s="37" t="s">
        <v>33</v>
      </c>
      <c r="D34" s="37" t="s">
        <v>55</v>
      </c>
      <c r="E34" s="37" t="s">
        <v>25</v>
      </c>
      <c r="F34" s="37" t="s">
        <v>25</v>
      </c>
      <c r="G34" s="37" t="s">
        <v>25</v>
      </c>
      <c r="H34" s="37" t="s">
        <v>25</v>
      </c>
      <c r="I34" s="37" t="s">
        <v>37</v>
      </c>
      <c r="J34" s="37" t="s">
        <v>592</v>
      </c>
      <c r="K34" s="37" t="s">
        <v>593</v>
      </c>
      <c r="L34" s="37" t="s">
        <v>74</v>
      </c>
      <c r="M34" s="37">
        <v>2021</v>
      </c>
      <c r="N34" s="37">
        <v>0</v>
      </c>
      <c r="O34" s="37">
        <v>656.12</v>
      </c>
      <c r="P34" s="37">
        <v>55.425551846011899</v>
      </c>
    </row>
    <row r="35" spans="1:16" ht="11.25" customHeight="1" x14ac:dyDescent="0.25">
      <c r="A35" s="37">
        <v>34</v>
      </c>
      <c r="B35" s="37" t="s">
        <v>448</v>
      </c>
      <c r="C35" s="37" t="s">
        <v>42</v>
      </c>
      <c r="D35" s="37" t="s">
        <v>55</v>
      </c>
      <c r="E35" s="37" t="s">
        <v>43</v>
      </c>
      <c r="F35" s="37" t="s">
        <v>25</v>
      </c>
      <c r="G35" s="37" t="s">
        <v>25</v>
      </c>
      <c r="H35" s="37" t="s">
        <v>25</v>
      </c>
      <c r="I35" s="37" t="s">
        <v>37</v>
      </c>
      <c r="J35" s="37" t="s">
        <v>592</v>
      </c>
      <c r="K35" s="37" t="s">
        <v>593</v>
      </c>
      <c r="L35" s="37" t="s">
        <v>74</v>
      </c>
      <c r="M35" s="37">
        <v>2021</v>
      </c>
      <c r="N35" s="37">
        <v>0</v>
      </c>
      <c r="O35" s="37">
        <v>507.87</v>
      </c>
      <c r="P35" s="37">
        <v>48.774485624490403</v>
      </c>
    </row>
    <row r="36" spans="1:16" ht="11.25" customHeight="1" x14ac:dyDescent="0.25">
      <c r="A36" s="37">
        <v>35</v>
      </c>
      <c r="B36" s="37" t="s">
        <v>448</v>
      </c>
      <c r="C36" s="37" t="s">
        <v>42</v>
      </c>
      <c r="D36" s="37" t="s">
        <v>89</v>
      </c>
      <c r="E36" s="37" t="s">
        <v>43</v>
      </c>
      <c r="F36" s="37" t="s">
        <v>90</v>
      </c>
      <c r="G36" s="37" t="s">
        <v>25</v>
      </c>
      <c r="H36" s="37" t="s">
        <v>25</v>
      </c>
      <c r="I36" s="37" t="s">
        <v>25</v>
      </c>
      <c r="J36" s="37" t="s">
        <v>592</v>
      </c>
      <c r="K36" s="37" t="s">
        <v>593</v>
      </c>
      <c r="L36" s="37" t="s">
        <v>74</v>
      </c>
      <c r="M36" s="37">
        <v>2021</v>
      </c>
      <c r="N36" s="37">
        <v>0</v>
      </c>
      <c r="O36" s="37">
        <v>236.77</v>
      </c>
      <c r="P36" s="37">
        <v>48.774485624490403</v>
      </c>
    </row>
    <row r="37" spans="1:16" ht="11.25" customHeight="1" x14ac:dyDescent="0.25">
      <c r="A37" s="37">
        <v>36</v>
      </c>
      <c r="B37" s="37" t="s">
        <v>448</v>
      </c>
      <c r="C37" s="37" t="s">
        <v>42</v>
      </c>
      <c r="D37" s="37" t="s">
        <v>55</v>
      </c>
      <c r="E37" s="37" t="s">
        <v>43</v>
      </c>
      <c r="F37" s="37" t="s">
        <v>91</v>
      </c>
      <c r="G37" s="37" t="s">
        <v>25</v>
      </c>
      <c r="H37" s="37" t="s">
        <v>25</v>
      </c>
      <c r="I37" s="37" t="s">
        <v>56</v>
      </c>
      <c r="J37" s="37" t="s">
        <v>592</v>
      </c>
      <c r="K37" s="37" t="s">
        <v>593</v>
      </c>
      <c r="L37" s="37" t="s">
        <v>74</v>
      </c>
      <c r="M37" s="37">
        <v>2021</v>
      </c>
      <c r="N37" s="37">
        <v>0</v>
      </c>
      <c r="O37" s="37">
        <v>328.19</v>
      </c>
      <c r="P37" s="37">
        <v>46.557463550649999</v>
      </c>
    </row>
    <row r="38" spans="1:16" ht="11.25" customHeight="1" x14ac:dyDescent="0.25">
      <c r="A38" s="37">
        <v>37</v>
      </c>
      <c r="B38" s="37" t="s">
        <v>476</v>
      </c>
      <c r="C38" s="37" t="s">
        <v>35</v>
      </c>
      <c r="D38" s="37" t="s">
        <v>73</v>
      </c>
      <c r="E38" s="37" t="s">
        <v>25</v>
      </c>
      <c r="F38" s="37" t="s">
        <v>25</v>
      </c>
      <c r="G38" s="37" t="s">
        <v>25</v>
      </c>
      <c r="H38" s="37" t="s">
        <v>25</v>
      </c>
      <c r="I38" s="37" t="s">
        <v>37</v>
      </c>
      <c r="J38" s="37" t="s">
        <v>592</v>
      </c>
      <c r="K38" s="37" t="s">
        <v>593</v>
      </c>
      <c r="L38" s="37" t="s">
        <v>74</v>
      </c>
      <c r="M38" s="37">
        <v>2021</v>
      </c>
      <c r="N38" s="37">
        <v>0</v>
      </c>
      <c r="O38" s="37">
        <v>133.97</v>
      </c>
      <c r="P38" s="37"/>
    </row>
    <row r="39" spans="1:16" ht="11.25" customHeight="1" x14ac:dyDescent="0.25">
      <c r="A39" s="37">
        <v>38</v>
      </c>
      <c r="B39" s="37" t="s">
        <v>448</v>
      </c>
      <c r="C39" s="37" t="s">
        <v>42</v>
      </c>
      <c r="D39" s="37" t="s">
        <v>55</v>
      </c>
      <c r="E39" s="37" t="s">
        <v>43</v>
      </c>
      <c r="F39" s="37" t="s">
        <v>91</v>
      </c>
      <c r="G39" s="37" t="s">
        <v>25</v>
      </c>
      <c r="H39" s="37" t="s">
        <v>25</v>
      </c>
      <c r="I39" s="37" t="s">
        <v>37</v>
      </c>
      <c r="J39" s="37" t="s">
        <v>592</v>
      </c>
      <c r="K39" s="37" t="s">
        <v>593</v>
      </c>
      <c r="L39" s="37" t="s">
        <v>74</v>
      </c>
      <c r="M39" s="37">
        <v>2021</v>
      </c>
      <c r="N39" s="37">
        <v>0</v>
      </c>
      <c r="O39" s="37">
        <v>484.78</v>
      </c>
      <c r="P39" s="37">
        <v>46.557463550649999</v>
      </c>
    </row>
    <row r="40" spans="1:16" ht="11.25" customHeight="1" x14ac:dyDescent="0.25">
      <c r="A40" s="37">
        <v>39</v>
      </c>
      <c r="B40" s="37" t="s">
        <v>448</v>
      </c>
      <c r="C40" s="37" t="s">
        <v>45</v>
      </c>
      <c r="D40" s="37" t="s">
        <v>23</v>
      </c>
      <c r="E40" s="37" t="s">
        <v>46</v>
      </c>
      <c r="F40" s="37" t="s">
        <v>92</v>
      </c>
      <c r="G40" s="37" t="s">
        <v>25</v>
      </c>
      <c r="H40" s="37" t="s">
        <v>25</v>
      </c>
      <c r="I40" s="37" t="s">
        <v>25</v>
      </c>
      <c r="J40" s="37" t="s">
        <v>592</v>
      </c>
      <c r="K40" s="37" t="s">
        <v>593</v>
      </c>
      <c r="L40" s="37" t="s">
        <v>74</v>
      </c>
      <c r="M40" s="37">
        <v>2021</v>
      </c>
      <c r="N40" s="37">
        <v>0</v>
      </c>
      <c r="O40" s="37">
        <v>161.43</v>
      </c>
      <c r="P40" s="37">
        <v>33.255331107607098</v>
      </c>
    </row>
    <row r="41" spans="1:16" ht="11.25" customHeight="1" x14ac:dyDescent="0.25">
      <c r="A41" s="37">
        <v>40</v>
      </c>
      <c r="B41" s="37" t="s">
        <v>448</v>
      </c>
      <c r="C41" s="37" t="s">
        <v>42</v>
      </c>
      <c r="D41" s="37" t="s">
        <v>55</v>
      </c>
      <c r="E41" s="37" t="s">
        <v>43</v>
      </c>
      <c r="F41" s="37" t="s">
        <v>25</v>
      </c>
      <c r="G41" s="37" t="s">
        <v>25</v>
      </c>
      <c r="H41" s="37" t="s">
        <v>25</v>
      </c>
      <c r="I41" s="37" t="s">
        <v>56</v>
      </c>
      <c r="J41" s="37" t="s">
        <v>592</v>
      </c>
      <c r="K41" s="37" t="s">
        <v>593</v>
      </c>
      <c r="L41" s="37" t="s">
        <v>74</v>
      </c>
      <c r="M41" s="37">
        <v>2021</v>
      </c>
      <c r="N41" s="37">
        <v>0</v>
      </c>
      <c r="O41" s="37">
        <v>343.82</v>
      </c>
      <c r="P41" s="37">
        <v>48.774485624490403</v>
      </c>
    </row>
    <row r="42" spans="1:16" ht="11.25" customHeight="1" x14ac:dyDescent="0.25">
      <c r="A42" s="37">
        <v>41</v>
      </c>
      <c r="B42" s="37" t="s">
        <v>448</v>
      </c>
      <c r="C42" s="37" t="s">
        <v>42</v>
      </c>
      <c r="D42" s="37" t="s">
        <v>89</v>
      </c>
      <c r="E42" s="37" t="s">
        <v>43</v>
      </c>
      <c r="F42" s="37" t="s">
        <v>91</v>
      </c>
      <c r="G42" s="37" t="s">
        <v>25</v>
      </c>
      <c r="H42" s="37" t="s">
        <v>25</v>
      </c>
      <c r="I42" s="37" t="s">
        <v>25</v>
      </c>
      <c r="J42" s="37" t="s">
        <v>592</v>
      </c>
      <c r="K42" s="37" t="s">
        <v>593</v>
      </c>
      <c r="L42" s="37" t="s">
        <v>74</v>
      </c>
      <c r="M42" s="37">
        <v>2021</v>
      </c>
      <c r="N42" s="37">
        <v>0</v>
      </c>
      <c r="O42" s="37">
        <v>226.01</v>
      </c>
      <c r="P42" s="37">
        <v>46.557463550649999</v>
      </c>
    </row>
    <row r="43" spans="1:16" ht="11.25" customHeight="1" x14ac:dyDescent="0.25">
      <c r="A43" s="37">
        <v>42</v>
      </c>
      <c r="B43" s="37" t="s">
        <v>448</v>
      </c>
      <c r="C43" s="37" t="s">
        <v>22</v>
      </c>
      <c r="D43" s="37" t="s">
        <v>89</v>
      </c>
      <c r="E43" s="37" t="s">
        <v>24</v>
      </c>
      <c r="F43" s="37" t="s">
        <v>31</v>
      </c>
      <c r="G43" s="37" t="s">
        <v>25</v>
      </c>
      <c r="H43" s="37" t="s">
        <v>25</v>
      </c>
      <c r="I43" s="37" t="s">
        <v>25</v>
      </c>
      <c r="J43" s="37" t="s">
        <v>592</v>
      </c>
      <c r="K43" s="37" t="s">
        <v>593</v>
      </c>
      <c r="L43" s="37" t="s">
        <v>74</v>
      </c>
      <c r="M43" s="37">
        <v>2021</v>
      </c>
      <c r="N43" s="37">
        <v>0</v>
      </c>
      <c r="O43" s="37">
        <v>155.63999999999999</v>
      </c>
      <c r="P43" s="37">
        <v>0</v>
      </c>
    </row>
    <row r="44" spans="1:16" ht="11.25" customHeight="1" x14ac:dyDescent="0.25">
      <c r="A44" s="37">
        <v>43</v>
      </c>
      <c r="B44" s="37" t="s">
        <v>448</v>
      </c>
      <c r="C44" s="37" t="s">
        <v>42</v>
      </c>
      <c r="D44" s="37" t="s">
        <v>23</v>
      </c>
      <c r="E44" s="37" t="s">
        <v>43</v>
      </c>
      <c r="F44" s="37" t="s">
        <v>91</v>
      </c>
      <c r="G44" s="37" t="s">
        <v>25</v>
      </c>
      <c r="H44" s="37" t="s">
        <v>25</v>
      </c>
      <c r="I44" s="37" t="s">
        <v>25</v>
      </c>
      <c r="J44" s="37" t="s">
        <v>592</v>
      </c>
      <c r="K44" s="37" t="s">
        <v>593</v>
      </c>
      <c r="L44" s="37" t="s">
        <v>74</v>
      </c>
      <c r="M44" s="37">
        <v>2021</v>
      </c>
      <c r="N44" s="37">
        <v>0</v>
      </c>
      <c r="O44" s="37">
        <v>226.01</v>
      </c>
      <c r="P44" s="37">
        <v>46.557463550649999</v>
      </c>
    </row>
    <row r="45" spans="1:16" ht="11.25" customHeight="1" x14ac:dyDescent="0.25">
      <c r="A45" s="37">
        <v>44</v>
      </c>
      <c r="B45" s="37" t="s">
        <v>448</v>
      </c>
      <c r="C45" s="37" t="s">
        <v>33</v>
      </c>
      <c r="D45" s="37" t="s">
        <v>55</v>
      </c>
      <c r="E45" s="37" t="s">
        <v>25</v>
      </c>
      <c r="F45" s="37" t="s">
        <v>25</v>
      </c>
      <c r="G45" s="37" t="s">
        <v>25</v>
      </c>
      <c r="H45" s="37" t="s">
        <v>25</v>
      </c>
      <c r="I45" s="37" t="s">
        <v>56</v>
      </c>
      <c r="J45" s="37" t="s">
        <v>592</v>
      </c>
      <c r="K45" s="37" t="s">
        <v>593</v>
      </c>
      <c r="L45" s="37" t="s">
        <v>74</v>
      </c>
      <c r="M45" s="37">
        <v>2021</v>
      </c>
      <c r="N45" s="37">
        <v>0</v>
      </c>
      <c r="O45" s="37">
        <v>438.1</v>
      </c>
      <c r="P45" s="37">
        <v>55.425551846011899</v>
      </c>
    </row>
    <row r="46" spans="1:16" ht="11.25" customHeight="1" x14ac:dyDescent="0.25">
      <c r="A46" s="37">
        <v>45</v>
      </c>
      <c r="B46" s="37" t="s">
        <v>448</v>
      </c>
      <c r="C46" s="37" t="s">
        <v>22</v>
      </c>
      <c r="D46" s="37" t="s">
        <v>89</v>
      </c>
      <c r="E46" s="37" t="s">
        <v>24</v>
      </c>
      <c r="F46" s="37" t="s">
        <v>32</v>
      </c>
      <c r="G46" s="37" t="s">
        <v>25</v>
      </c>
      <c r="H46" s="37" t="s">
        <v>25</v>
      </c>
      <c r="I46" s="37" t="s">
        <v>25</v>
      </c>
      <c r="J46" s="37" t="s">
        <v>592</v>
      </c>
      <c r="K46" s="37" t="s">
        <v>593</v>
      </c>
      <c r="L46" s="37" t="s">
        <v>74</v>
      </c>
      <c r="M46" s="37">
        <v>2021</v>
      </c>
      <c r="N46" s="37">
        <v>0</v>
      </c>
      <c r="O46" s="37">
        <v>172.93</v>
      </c>
      <c r="P46" s="37">
        <v>0</v>
      </c>
    </row>
    <row r="47" spans="1:16" ht="11.25" customHeight="1" x14ac:dyDescent="0.25">
      <c r="A47" s="37">
        <v>46</v>
      </c>
      <c r="B47" s="37" t="s">
        <v>476</v>
      </c>
      <c r="C47" s="37" t="s">
        <v>22</v>
      </c>
      <c r="D47" s="37" t="s">
        <v>87</v>
      </c>
      <c r="E47" s="37" t="s">
        <v>24</v>
      </c>
      <c r="F47" s="37" t="s">
        <v>31</v>
      </c>
      <c r="G47" s="37" t="s">
        <v>25</v>
      </c>
      <c r="H47" s="37" t="s">
        <v>25</v>
      </c>
      <c r="I47" s="37" t="s">
        <v>25</v>
      </c>
      <c r="J47" s="37" t="s">
        <v>592</v>
      </c>
      <c r="K47" s="37" t="s">
        <v>593</v>
      </c>
      <c r="L47" s="37" t="s">
        <v>74</v>
      </c>
      <c r="M47" s="37">
        <v>2021</v>
      </c>
      <c r="N47" s="37">
        <v>0</v>
      </c>
      <c r="O47" s="37">
        <v>120.57</v>
      </c>
      <c r="P47" s="37"/>
    </row>
    <row r="48" spans="1:16" ht="11.25" customHeight="1" x14ac:dyDescent="0.25">
      <c r="A48" s="37">
        <v>47</v>
      </c>
      <c r="B48" s="37" t="s">
        <v>476</v>
      </c>
      <c r="C48" s="37" t="s">
        <v>42</v>
      </c>
      <c r="D48" s="37" t="s">
        <v>87</v>
      </c>
      <c r="E48" s="37" t="s">
        <v>43</v>
      </c>
      <c r="F48" s="37" t="s">
        <v>90</v>
      </c>
      <c r="G48" s="37" t="s">
        <v>25</v>
      </c>
      <c r="H48" s="37" t="s">
        <v>25</v>
      </c>
      <c r="I48" s="37" t="s">
        <v>25</v>
      </c>
      <c r="J48" s="37" t="s">
        <v>592</v>
      </c>
      <c r="K48" s="37" t="s">
        <v>593</v>
      </c>
      <c r="L48" s="37" t="s">
        <v>74</v>
      </c>
      <c r="M48" s="37">
        <v>2021</v>
      </c>
      <c r="N48" s="37">
        <v>0</v>
      </c>
      <c r="O48" s="37">
        <v>117.89</v>
      </c>
      <c r="P48" s="37"/>
    </row>
    <row r="49" spans="1:16" ht="11.25" customHeight="1" x14ac:dyDescent="0.25">
      <c r="A49" s="37">
        <v>48</v>
      </c>
      <c r="B49" s="37" t="s">
        <v>476</v>
      </c>
      <c r="C49" s="37" t="s">
        <v>35</v>
      </c>
      <c r="D49" s="37" t="s">
        <v>73</v>
      </c>
      <c r="E49" s="37" t="s">
        <v>25</v>
      </c>
      <c r="F49" s="37" t="s">
        <v>25</v>
      </c>
      <c r="G49" s="37" t="s">
        <v>25</v>
      </c>
      <c r="H49" s="37" t="s">
        <v>25</v>
      </c>
      <c r="I49" s="37" t="s">
        <v>38</v>
      </c>
      <c r="J49" s="37" t="s">
        <v>592</v>
      </c>
      <c r="K49" s="37" t="s">
        <v>593</v>
      </c>
      <c r="L49" s="37" t="s">
        <v>74</v>
      </c>
      <c r="M49" s="37">
        <v>2021</v>
      </c>
      <c r="N49" s="37">
        <v>0</v>
      </c>
      <c r="O49" s="37">
        <v>133.97</v>
      </c>
      <c r="P49" s="37"/>
    </row>
    <row r="50" spans="1:16" ht="11.25" customHeight="1" x14ac:dyDescent="0.25">
      <c r="A50" s="37">
        <v>49</v>
      </c>
      <c r="B50" s="37" t="s">
        <v>448</v>
      </c>
      <c r="C50" s="37" t="s">
        <v>42</v>
      </c>
      <c r="D50" s="37" t="s">
        <v>55</v>
      </c>
      <c r="E50" s="37" t="s">
        <v>43</v>
      </c>
      <c r="F50" s="37" t="s">
        <v>90</v>
      </c>
      <c r="G50" s="37" t="s">
        <v>25</v>
      </c>
      <c r="H50" s="37" t="s">
        <v>25</v>
      </c>
      <c r="I50" s="37" t="s">
        <v>37</v>
      </c>
      <c r="J50" s="37" t="s">
        <v>592</v>
      </c>
      <c r="K50" s="37" t="s">
        <v>593</v>
      </c>
      <c r="L50" s="37" t="s">
        <v>74</v>
      </c>
      <c r="M50" s="37">
        <v>2021</v>
      </c>
      <c r="N50" s="37">
        <v>0</v>
      </c>
      <c r="O50" s="37">
        <v>507.87</v>
      </c>
      <c r="P50" s="37">
        <v>48.774485624490403</v>
      </c>
    </row>
    <row r="51" spans="1:16" ht="11.25" customHeight="1" x14ac:dyDescent="0.25">
      <c r="A51" s="37">
        <v>50</v>
      </c>
      <c r="B51" s="37" t="s">
        <v>476</v>
      </c>
      <c r="C51" s="37" t="s">
        <v>22</v>
      </c>
      <c r="D51" s="37" t="s">
        <v>87</v>
      </c>
      <c r="E51" s="37" t="s">
        <v>24</v>
      </c>
      <c r="F51" s="37" t="s">
        <v>30</v>
      </c>
      <c r="G51" s="37" t="s">
        <v>25</v>
      </c>
      <c r="H51" s="37" t="s">
        <v>25</v>
      </c>
      <c r="I51" s="37" t="s">
        <v>25</v>
      </c>
      <c r="J51" s="37" t="s">
        <v>592</v>
      </c>
      <c r="K51" s="37" t="s">
        <v>593</v>
      </c>
      <c r="L51" s="37" t="s">
        <v>74</v>
      </c>
      <c r="M51" s="37">
        <v>2021</v>
      </c>
      <c r="N51" s="37">
        <v>0</v>
      </c>
      <c r="O51" s="37">
        <v>80.38</v>
      </c>
      <c r="P51" s="37"/>
    </row>
    <row r="52" spans="1:16" ht="11.25" customHeight="1" x14ac:dyDescent="0.25">
      <c r="A52" s="37">
        <v>51</v>
      </c>
      <c r="B52" s="37" t="s">
        <v>476</v>
      </c>
      <c r="C52" s="37" t="s">
        <v>42</v>
      </c>
      <c r="D52" s="37" t="s">
        <v>73</v>
      </c>
      <c r="E52" s="37" t="s">
        <v>43</v>
      </c>
      <c r="F52" s="37" t="s">
        <v>90</v>
      </c>
      <c r="G52" s="37" t="s">
        <v>25</v>
      </c>
      <c r="H52" s="37" t="s">
        <v>25</v>
      </c>
      <c r="I52" s="37" t="s">
        <v>56</v>
      </c>
      <c r="J52" s="37" t="s">
        <v>592</v>
      </c>
      <c r="K52" s="37" t="s">
        <v>593</v>
      </c>
      <c r="L52" s="37" t="s">
        <v>74</v>
      </c>
      <c r="M52" s="37">
        <v>2021</v>
      </c>
      <c r="N52" s="37">
        <v>0</v>
      </c>
      <c r="O52" s="37">
        <v>117.89</v>
      </c>
      <c r="P52" s="37"/>
    </row>
    <row r="53" spans="1:16" ht="11.25" customHeight="1" x14ac:dyDescent="0.25">
      <c r="A53" s="37">
        <v>52</v>
      </c>
      <c r="B53" s="37" t="s">
        <v>448</v>
      </c>
      <c r="C53" s="37" t="s">
        <v>42</v>
      </c>
      <c r="D53" s="37" t="s">
        <v>55</v>
      </c>
      <c r="E53" s="37" t="s">
        <v>43</v>
      </c>
      <c r="F53" s="37" t="s">
        <v>90</v>
      </c>
      <c r="G53" s="37" t="s">
        <v>25</v>
      </c>
      <c r="H53" s="37" t="s">
        <v>25</v>
      </c>
      <c r="I53" s="37" t="s">
        <v>38</v>
      </c>
      <c r="J53" s="37" t="s">
        <v>592</v>
      </c>
      <c r="K53" s="37" t="s">
        <v>593</v>
      </c>
      <c r="L53" s="37" t="s">
        <v>74</v>
      </c>
      <c r="M53" s="37">
        <v>2021</v>
      </c>
      <c r="N53" s="37">
        <v>0</v>
      </c>
      <c r="O53" s="37">
        <v>179.77</v>
      </c>
      <c r="P53" s="37">
        <v>48.774485624490403</v>
      </c>
    </row>
    <row r="54" spans="1:16" ht="11.25" customHeight="1" x14ac:dyDescent="0.25">
      <c r="A54" s="37">
        <v>53</v>
      </c>
      <c r="B54" s="37" t="s">
        <v>448</v>
      </c>
      <c r="C54" s="37" t="s">
        <v>33</v>
      </c>
      <c r="D54" s="37" t="s">
        <v>89</v>
      </c>
      <c r="E54" s="37" t="s">
        <v>25</v>
      </c>
      <c r="F54" s="37" t="s">
        <v>25</v>
      </c>
      <c r="G54" s="37" t="s">
        <v>25</v>
      </c>
      <c r="H54" s="37" t="s">
        <v>25</v>
      </c>
      <c r="I54" s="37" t="s">
        <v>25</v>
      </c>
      <c r="J54" s="37" t="s">
        <v>592</v>
      </c>
      <c r="K54" s="37" t="s">
        <v>593</v>
      </c>
      <c r="L54" s="37" t="s">
        <v>74</v>
      </c>
      <c r="M54" s="37">
        <v>2021</v>
      </c>
      <c r="N54" s="37">
        <v>0</v>
      </c>
      <c r="O54" s="37">
        <v>269.06</v>
      </c>
      <c r="P54" s="37">
        <v>55.425551846011899</v>
      </c>
    </row>
    <row r="55" spans="1:16" ht="11.25" customHeight="1" x14ac:dyDescent="0.25">
      <c r="A55" s="37">
        <v>54</v>
      </c>
      <c r="B55" s="37" t="s">
        <v>448</v>
      </c>
      <c r="C55" s="37" t="s">
        <v>42</v>
      </c>
      <c r="D55" s="37" t="s">
        <v>89</v>
      </c>
      <c r="E55" s="37" t="s">
        <v>43</v>
      </c>
      <c r="F55" s="37" t="s">
        <v>25</v>
      </c>
      <c r="G55" s="37" t="s">
        <v>25</v>
      </c>
      <c r="H55" s="37" t="s">
        <v>25</v>
      </c>
      <c r="I55" s="37" t="s">
        <v>25</v>
      </c>
      <c r="J55" s="37" t="s">
        <v>592</v>
      </c>
      <c r="K55" s="37" t="s">
        <v>593</v>
      </c>
      <c r="L55" s="37" t="s">
        <v>74</v>
      </c>
      <c r="M55" s="37">
        <v>2021</v>
      </c>
      <c r="N55" s="37">
        <v>0</v>
      </c>
      <c r="O55" s="37">
        <v>236.77</v>
      </c>
      <c r="P55" s="37">
        <v>48.774485624490403</v>
      </c>
    </row>
    <row r="56" spans="1:16" ht="11.25" customHeight="1" x14ac:dyDescent="0.25">
      <c r="A56" s="37">
        <v>55</v>
      </c>
      <c r="B56" s="37" t="s">
        <v>476</v>
      </c>
      <c r="C56" s="37" t="s">
        <v>22</v>
      </c>
      <c r="D56" s="37" t="s">
        <v>88</v>
      </c>
      <c r="E56" s="37" t="s">
        <v>24</v>
      </c>
      <c r="F56" s="37" t="s">
        <v>30</v>
      </c>
      <c r="G56" s="37" t="s">
        <v>25</v>
      </c>
      <c r="H56" s="37" t="s">
        <v>25</v>
      </c>
      <c r="I56" s="37" t="s">
        <v>25</v>
      </c>
      <c r="J56" s="37" t="s">
        <v>592</v>
      </c>
      <c r="K56" s="37" t="s">
        <v>593</v>
      </c>
      <c r="L56" s="37" t="s">
        <v>74</v>
      </c>
      <c r="M56" s="37">
        <v>2021</v>
      </c>
      <c r="N56" s="37">
        <v>0</v>
      </c>
      <c r="O56" s="37">
        <v>80.38</v>
      </c>
      <c r="P56" s="37"/>
    </row>
    <row r="57" spans="1:16" ht="11.25" customHeight="1" x14ac:dyDescent="0.25">
      <c r="A57" s="37">
        <v>56</v>
      </c>
      <c r="B57" s="37" t="s">
        <v>476</v>
      </c>
      <c r="C57" s="37" t="s">
        <v>42</v>
      </c>
      <c r="D57" s="37" t="s">
        <v>87</v>
      </c>
      <c r="E57" s="37" t="s">
        <v>43</v>
      </c>
      <c r="F57" s="37" t="s">
        <v>91</v>
      </c>
      <c r="G57" s="37" t="s">
        <v>25</v>
      </c>
      <c r="H57" s="37" t="s">
        <v>25</v>
      </c>
      <c r="I57" s="37" t="s">
        <v>25</v>
      </c>
      <c r="J57" s="37" t="s">
        <v>592</v>
      </c>
      <c r="K57" s="37" t="s">
        <v>593</v>
      </c>
      <c r="L57" s="37" t="s">
        <v>74</v>
      </c>
      <c r="M57" s="37">
        <v>2021</v>
      </c>
      <c r="N57" s="37">
        <v>0</v>
      </c>
      <c r="O57" s="37">
        <v>112.54</v>
      </c>
      <c r="P57" s="37"/>
    </row>
    <row r="58" spans="1:16" ht="11.25" customHeight="1" x14ac:dyDescent="0.25">
      <c r="A58" s="37">
        <v>57</v>
      </c>
      <c r="B58" s="37" t="s">
        <v>476</v>
      </c>
      <c r="C58" s="37" t="s">
        <v>22</v>
      </c>
      <c r="D58" s="37" t="s">
        <v>87</v>
      </c>
      <c r="E58" s="37" t="s">
        <v>24</v>
      </c>
      <c r="F58" s="37" t="s">
        <v>32</v>
      </c>
      <c r="G58" s="37" t="s">
        <v>25</v>
      </c>
      <c r="H58" s="37" t="s">
        <v>25</v>
      </c>
      <c r="I58" s="37" t="s">
        <v>25</v>
      </c>
      <c r="J58" s="37" t="s">
        <v>592</v>
      </c>
      <c r="K58" s="37" t="s">
        <v>593</v>
      </c>
      <c r="L58" s="37" t="s">
        <v>74</v>
      </c>
      <c r="M58" s="37">
        <v>2021</v>
      </c>
      <c r="N58" s="37">
        <v>0</v>
      </c>
      <c r="O58" s="37">
        <v>133.97</v>
      </c>
      <c r="P58" s="37"/>
    </row>
    <row r="59" spans="1:16" ht="11.25" customHeight="1" x14ac:dyDescent="0.25">
      <c r="A59" s="37">
        <v>58</v>
      </c>
      <c r="B59" s="37" t="s">
        <v>448</v>
      </c>
      <c r="C59" s="37" t="s">
        <v>42</v>
      </c>
      <c r="D59" s="37" t="s">
        <v>23</v>
      </c>
      <c r="E59" s="37" t="s">
        <v>43</v>
      </c>
      <c r="F59" s="37" t="s">
        <v>90</v>
      </c>
      <c r="G59" s="37" t="s">
        <v>25</v>
      </c>
      <c r="H59" s="37" t="s">
        <v>25</v>
      </c>
      <c r="I59" s="37" t="s">
        <v>25</v>
      </c>
      <c r="J59" s="37" t="s">
        <v>592</v>
      </c>
      <c r="K59" s="37" t="s">
        <v>593</v>
      </c>
      <c r="L59" s="37" t="s">
        <v>74</v>
      </c>
      <c r="M59" s="37">
        <v>2021</v>
      </c>
      <c r="N59" s="37">
        <v>0</v>
      </c>
      <c r="O59" s="37">
        <v>236.77</v>
      </c>
      <c r="P59" s="37">
        <v>48.774485624490403</v>
      </c>
    </row>
    <row r="60" spans="1:16" ht="11.25" customHeight="1" x14ac:dyDescent="0.25">
      <c r="A60" s="37">
        <v>59</v>
      </c>
      <c r="B60" s="37" t="s">
        <v>448</v>
      </c>
      <c r="C60" s="37" t="s">
        <v>45</v>
      </c>
      <c r="D60" s="37" t="s">
        <v>23</v>
      </c>
      <c r="E60" s="37" t="s">
        <v>46</v>
      </c>
      <c r="F60" s="37" t="s">
        <v>47</v>
      </c>
      <c r="G60" s="37" t="s">
        <v>25</v>
      </c>
      <c r="H60" s="37" t="s">
        <v>25</v>
      </c>
      <c r="I60" s="37" t="s">
        <v>25</v>
      </c>
      <c r="J60" s="37" t="s">
        <v>592</v>
      </c>
      <c r="K60" s="37" t="s">
        <v>593</v>
      </c>
      <c r="L60" s="37" t="s">
        <v>74</v>
      </c>
      <c r="M60" s="37">
        <v>2021</v>
      </c>
      <c r="N60" s="37">
        <v>0</v>
      </c>
      <c r="O60" s="37">
        <v>147.97999999999999</v>
      </c>
      <c r="P60" s="37">
        <v>30.484053515306499</v>
      </c>
    </row>
    <row r="61" spans="1:16" ht="11.25" customHeight="1" x14ac:dyDescent="0.25">
      <c r="A61" s="37">
        <v>60</v>
      </c>
      <c r="B61" s="37" t="s">
        <v>448</v>
      </c>
      <c r="C61" s="37" t="s">
        <v>42</v>
      </c>
      <c r="D61" s="37" t="s">
        <v>55</v>
      </c>
      <c r="E61" s="37" t="s">
        <v>43</v>
      </c>
      <c r="F61" s="37" t="s">
        <v>91</v>
      </c>
      <c r="G61" s="37" t="s">
        <v>25</v>
      </c>
      <c r="H61" s="37" t="s">
        <v>25</v>
      </c>
      <c r="I61" s="37" t="s">
        <v>38</v>
      </c>
      <c r="J61" s="37" t="s">
        <v>592</v>
      </c>
      <c r="K61" s="37" t="s">
        <v>593</v>
      </c>
      <c r="L61" s="37" t="s">
        <v>74</v>
      </c>
      <c r="M61" s="37">
        <v>2021</v>
      </c>
      <c r="N61" s="37">
        <v>0</v>
      </c>
      <c r="O61" s="37">
        <v>171.6</v>
      </c>
      <c r="P61" s="37">
        <v>46.557463550649999</v>
      </c>
    </row>
    <row r="62" spans="1:16" ht="11.25" customHeight="1" x14ac:dyDescent="0.25">
      <c r="A62" s="37">
        <v>61</v>
      </c>
      <c r="B62" s="37" t="s">
        <v>476</v>
      </c>
      <c r="C62" s="37" t="s">
        <v>33</v>
      </c>
      <c r="D62" s="37" t="s">
        <v>88</v>
      </c>
      <c r="E62" s="37" t="s">
        <v>25</v>
      </c>
      <c r="F62" s="37" t="s">
        <v>25</v>
      </c>
      <c r="G62" s="37" t="s">
        <v>25</v>
      </c>
      <c r="H62" s="37" t="s">
        <v>25</v>
      </c>
      <c r="I62" s="37" t="s">
        <v>25</v>
      </c>
      <c r="J62" s="37" t="s">
        <v>592</v>
      </c>
      <c r="K62" s="37" t="s">
        <v>593</v>
      </c>
      <c r="L62" s="37" t="s">
        <v>74</v>
      </c>
      <c r="M62" s="37">
        <v>2021</v>
      </c>
      <c r="N62" s="37">
        <v>0</v>
      </c>
      <c r="O62" s="37">
        <v>133.97</v>
      </c>
      <c r="P62" s="37"/>
    </row>
    <row r="63" spans="1:16" ht="11.25" customHeight="1" x14ac:dyDescent="0.25">
      <c r="A63" s="37">
        <v>62</v>
      </c>
      <c r="B63" s="37" t="s">
        <v>476</v>
      </c>
      <c r="C63" s="37" t="s">
        <v>22</v>
      </c>
      <c r="D63" s="37" t="s">
        <v>73</v>
      </c>
      <c r="E63" s="37" t="s">
        <v>24</v>
      </c>
      <c r="F63" s="37" t="s">
        <v>24</v>
      </c>
      <c r="G63" s="37" t="s">
        <v>25</v>
      </c>
      <c r="H63" s="37" t="s">
        <v>25</v>
      </c>
      <c r="I63" s="37" t="s">
        <v>37</v>
      </c>
      <c r="J63" s="37" t="s">
        <v>592</v>
      </c>
      <c r="K63" s="37" t="s">
        <v>593</v>
      </c>
      <c r="L63" s="37" t="s">
        <v>74</v>
      </c>
      <c r="M63" s="37">
        <v>2021</v>
      </c>
      <c r="N63" s="37">
        <v>0</v>
      </c>
      <c r="O63" s="37">
        <v>133.97</v>
      </c>
      <c r="P63" s="37"/>
    </row>
    <row r="64" spans="1:16" ht="11.25" customHeight="1" x14ac:dyDescent="0.25">
      <c r="A64" s="37">
        <v>63</v>
      </c>
      <c r="B64" s="37" t="s">
        <v>476</v>
      </c>
      <c r="C64" s="37" t="s">
        <v>22</v>
      </c>
      <c r="D64" s="37" t="s">
        <v>73</v>
      </c>
      <c r="E64" s="37" t="s">
        <v>24</v>
      </c>
      <c r="F64" s="37" t="s">
        <v>24</v>
      </c>
      <c r="G64" s="37" t="s">
        <v>25</v>
      </c>
      <c r="H64" s="37" t="s">
        <v>25</v>
      </c>
      <c r="I64" s="37" t="s">
        <v>56</v>
      </c>
      <c r="J64" s="37" t="s">
        <v>592</v>
      </c>
      <c r="K64" s="37" t="s">
        <v>593</v>
      </c>
      <c r="L64" s="37" t="s">
        <v>74</v>
      </c>
      <c r="M64" s="37">
        <v>2021</v>
      </c>
      <c r="N64" s="37">
        <v>0</v>
      </c>
      <c r="O64" s="37">
        <v>133.97</v>
      </c>
      <c r="P64" s="37"/>
    </row>
    <row r="65" spans="1:16" ht="11.25" customHeight="1" x14ac:dyDescent="0.25">
      <c r="A65" s="37">
        <v>64</v>
      </c>
      <c r="B65" s="37" t="s">
        <v>476</v>
      </c>
      <c r="C65" s="37" t="s">
        <v>39</v>
      </c>
      <c r="D65" s="37" t="s">
        <v>73</v>
      </c>
      <c r="E65" s="37" t="s">
        <v>25</v>
      </c>
      <c r="F65" s="37" t="s">
        <v>25</v>
      </c>
      <c r="G65" s="37" t="s">
        <v>25</v>
      </c>
      <c r="H65" s="37" t="s">
        <v>25</v>
      </c>
      <c r="I65" s="37" t="s">
        <v>37</v>
      </c>
      <c r="J65" s="37" t="s">
        <v>592</v>
      </c>
      <c r="K65" s="37" t="s">
        <v>593</v>
      </c>
      <c r="L65" s="37" t="s">
        <v>74</v>
      </c>
      <c r="M65" s="37">
        <v>2021</v>
      </c>
      <c r="N65" s="37">
        <v>0</v>
      </c>
      <c r="O65" s="37">
        <v>133.97</v>
      </c>
      <c r="P65" s="37"/>
    </row>
    <row r="66" spans="1:16" ht="11.25" customHeight="1" x14ac:dyDescent="0.25">
      <c r="A66" s="37">
        <v>65</v>
      </c>
      <c r="B66" s="37" t="s">
        <v>476</v>
      </c>
      <c r="C66" s="37" t="s">
        <v>22</v>
      </c>
      <c r="D66" s="37" t="s">
        <v>88</v>
      </c>
      <c r="E66" s="37" t="s">
        <v>24</v>
      </c>
      <c r="F66" s="37" t="s">
        <v>32</v>
      </c>
      <c r="G66" s="37" t="s">
        <v>25</v>
      </c>
      <c r="H66" s="37" t="s">
        <v>25</v>
      </c>
      <c r="I66" s="37" t="s">
        <v>25</v>
      </c>
      <c r="J66" s="37" t="s">
        <v>592</v>
      </c>
      <c r="K66" s="37" t="s">
        <v>593</v>
      </c>
      <c r="L66" s="37" t="s">
        <v>74</v>
      </c>
      <c r="M66" s="37">
        <v>2021</v>
      </c>
      <c r="N66" s="37">
        <v>0</v>
      </c>
      <c r="O66" s="37">
        <v>133.97</v>
      </c>
      <c r="P66" s="37"/>
    </row>
    <row r="67" spans="1:16" ht="11.25" customHeight="1" x14ac:dyDescent="0.25">
      <c r="A67" s="37">
        <v>66</v>
      </c>
      <c r="B67" s="37" t="s">
        <v>476</v>
      </c>
      <c r="C67" s="37" t="s">
        <v>45</v>
      </c>
      <c r="D67" s="37" t="s">
        <v>87</v>
      </c>
      <c r="E67" s="37" t="s">
        <v>46</v>
      </c>
      <c r="F67" s="37" t="s">
        <v>47</v>
      </c>
      <c r="G67" s="37" t="s">
        <v>25</v>
      </c>
      <c r="H67" s="37" t="s">
        <v>25</v>
      </c>
      <c r="I67" s="37" t="s">
        <v>25</v>
      </c>
      <c r="J67" s="37" t="s">
        <v>592</v>
      </c>
      <c r="K67" s="37" t="s">
        <v>593</v>
      </c>
      <c r="L67" s="37" t="s">
        <v>74</v>
      </c>
      <c r="M67" s="37">
        <v>2021</v>
      </c>
      <c r="N67" s="37">
        <v>0</v>
      </c>
      <c r="O67" s="37">
        <v>73.680000000000007</v>
      </c>
      <c r="P67" s="37"/>
    </row>
    <row r="68" spans="1:16" ht="11.25" customHeight="1" x14ac:dyDescent="0.25">
      <c r="A68" s="37">
        <v>67</v>
      </c>
      <c r="B68" s="37" t="s">
        <v>476</v>
      </c>
      <c r="C68" s="37" t="s">
        <v>22</v>
      </c>
      <c r="D68" s="37" t="s">
        <v>87</v>
      </c>
      <c r="E68" s="37" t="s">
        <v>24</v>
      </c>
      <c r="F68" s="37" t="s">
        <v>29</v>
      </c>
      <c r="G68" s="37" t="s">
        <v>25</v>
      </c>
      <c r="H68" s="37" t="s">
        <v>25</v>
      </c>
      <c r="I68" s="37" t="s">
        <v>25</v>
      </c>
      <c r="J68" s="37" t="s">
        <v>592</v>
      </c>
      <c r="K68" s="37" t="s">
        <v>593</v>
      </c>
      <c r="L68" s="37" t="s">
        <v>74</v>
      </c>
      <c r="M68" s="37">
        <v>2021</v>
      </c>
      <c r="N68" s="37">
        <v>0</v>
      </c>
      <c r="O68" s="37">
        <v>46.89</v>
      </c>
      <c r="P68" s="37"/>
    </row>
    <row r="69" spans="1:16" ht="11.25" customHeight="1" x14ac:dyDescent="0.25">
      <c r="A69" s="37">
        <v>68</v>
      </c>
      <c r="B69" s="37" t="s">
        <v>476</v>
      </c>
      <c r="C69" s="37" t="s">
        <v>42</v>
      </c>
      <c r="D69" s="37" t="s">
        <v>73</v>
      </c>
      <c r="E69" s="37" t="s">
        <v>43</v>
      </c>
      <c r="F69" s="37" t="s">
        <v>90</v>
      </c>
      <c r="G69" s="37" t="s">
        <v>25</v>
      </c>
      <c r="H69" s="37" t="s">
        <v>25</v>
      </c>
      <c r="I69" s="37" t="s">
        <v>37</v>
      </c>
      <c r="J69" s="37" t="s">
        <v>592</v>
      </c>
      <c r="K69" s="37" t="s">
        <v>593</v>
      </c>
      <c r="L69" s="37" t="s">
        <v>74</v>
      </c>
      <c r="M69" s="37">
        <v>2021</v>
      </c>
      <c r="N69" s="37">
        <v>0</v>
      </c>
      <c r="O69" s="37">
        <v>117.89</v>
      </c>
      <c r="P69" s="37"/>
    </row>
    <row r="70" spans="1:16" ht="11.25" customHeight="1" x14ac:dyDescent="0.25">
      <c r="A70" s="37">
        <v>69</v>
      </c>
      <c r="B70" s="37" t="s">
        <v>476</v>
      </c>
      <c r="C70" s="37" t="s">
        <v>42</v>
      </c>
      <c r="D70" s="37" t="s">
        <v>88</v>
      </c>
      <c r="E70" s="37" t="s">
        <v>43</v>
      </c>
      <c r="F70" s="37" t="s">
        <v>90</v>
      </c>
      <c r="G70" s="37" t="s">
        <v>25</v>
      </c>
      <c r="H70" s="37" t="s">
        <v>25</v>
      </c>
      <c r="I70" s="37" t="s">
        <v>25</v>
      </c>
      <c r="J70" s="37" t="s">
        <v>592</v>
      </c>
      <c r="K70" s="37" t="s">
        <v>593</v>
      </c>
      <c r="L70" s="37" t="s">
        <v>74</v>
      </c>
      <c r="M70" s="37">
        <v>2021</v>
      </c>
      <c r="N70" s="37">
        <v>0</v>
      </c>
      <c r="O70" s="37">
        <v>117.89</v>
      </c>
      <c r="P70" s="37"/>
    </row>
    <row r="71" spans="1:16" ht="11.25" customHeight="1" x14ac:dyDescent="0.25">
      <c r="A71" s="37">
        <v>70</v>
      </c>
      <c r="B71" s="37" t="s">
        <v>476</v>
      </c>
      <c r="C71" s="37" t="s">
        <v>42</v>
      </c>
      <c r="D71" s="37" t="s">
        <v>73</v>
      </c>
      <c r="E71" s="37" t="s">
        <v>43</v>
      </c>
      <c r="F71" s="37" t="s">
        <v>90</v>
      </c>
      <c r="G71" s="37" t="s">
        <v>25</v>
      </c>
      <c r="H71" s="37" t="s">
        <v>25</v>
      </c>
      <c r="I71" s="37" t="s">
        <v>38</v>
      </c>
      <c r="J71" s="37" t="s">
        <v>592</v>
      </c>
      <c r="K71" s="37" t="s">
        <v>593</v>
      </c>
      <c r="L71" s="37" t="s">
        <v>74</v>
      </c>
      <c r="M71" s="37">
        <v>2021</v>
      </c>
      <c r="N71" s="37">
        <v>0</v>
      </c>
      <c r="O71" s="37">
        <v>117.89</v>
      </c>
      <c r="P71" s="37"/>
    </row>
    <row r="72" spans="1:16" ht="11.25" customHeight="1" x14ac:dyDescent="0.25">
      <c r="A72" s="37">
        <v>71</v>
      </c>
      <c r="B72" s="37" t="s">
        <v>476</v>
      </c>
      <c r="C72" s="37" t="s">
        <v>42</v>
      </c>
      <c r="D72" s="37" t="s">
        <v>73</v>
      </c>
      <c r="E72" s="37" t="s">
        <v>43</v>
      </c>
      <c r="F72" s="37" t="s">
        <v>91</v>
      </c>
      <c r="G72" s="37" t="s">
        <v>25</v>
      </c>
      <c r="H72" s="37" t="s">
        <v>25</v>
      </c>
      <c r="I72" s="37" t="s">
        <v>38</v>
      </c>
      <c r="J72" s="37" t="s">
        <v>592</v>
      </c>
      <c r="K72" s="37" t="s">
        <v>593</v>
      </c>
      <c r="L72" s="37" t="s">
        <v>74</v>
      </c>
      <c r="M72" s="37">
        <v>2021</v>
      </c>
      <c r="N72" s="37">
        <v>0</v>
      </c>
      <c r="O72" s="37">
        <v>112.54</v>
      </c>
      <c r="P72" s="37"/>
    </row>
    <row r="73" spans="1:16" ht="11.25" customHeight="1" x14ac:dyDescent="0.25">
      <c r="A73" s="37">
        <v>72</v>
      </c>
      <c r="B73" s="37" t="s">
        <v>476</v>
      </c>
      <c r="C73" s="37" t="s">
        <v>42</v>
      </c>
      <c r="D73" s="37" t="s">
        <v>73</v>
      </c>
      <c r="E73" s="37" t="s">
        <v>43</v>
      </c>
      <c r="F73" s="37" t="s">
        <v>91</v>
      </c>
      <c r="G73" s="37" t="s">
        <v>25</v>
      </c>
      <c r="H73" s="37" t="s">
        <v>25</v>
      </c>
      <c r="I73" s="37" t="s">
        <v>37</v>
      </c>
      <c r="J73" s="37" t="s">
        <v>592</v>
      </c>
      <c r="K73" s="37" t="s">
        <v>593</v>
      </c>
      <c r="L73" s="37" t="s">
        <v>74</v>
      </c>
      <c r="M73" s="37">
        <v>2021</v>
      </c>
      <c r="N73" s="37">
        <v>0</v>
      </c>
      <c r="O73" s="37">
        <v>112.54</v>
      </c>
      <c r="P73" s="37"/>
    </row>
    <row r="74" spans="1:16" ht="11.25" customHeight="1" x14ac:dyDescent="0.25">
      <c r="A74" s="37">
        <v>73</v>
      </c>
      <c r="B74" s="37" t="s">
        <v>476</v>
      </c>
      <c r="C74" s="37" t="s">
        <v>22</v>
      </c>
      <c r="D74" s="37" t="s">
        <v>73</v>
      </c>
      <c r="E74" s="37" t="s">
        <v>24</v>
      </c>
      <c r="F74" s="37" t="s">
        <v>24</v>
      </c>
      <c r="G74" s="37" t="s">
        <v>25</v>
      </c>
      <c r="H74" s="37" t="s">
        <v>25</v>
      </c>
      <c r="I74" s="37" t="s">
        <v>38</v>
      </c>
      <c r="J74" s="37" t="s">
        <v>592</v>
      </c>
      <c r="K74" s="37" t="s">
        <v>593</v>
      </c>
      <c r="L74" s="37" t="s">
        <v>74</v>
      </c>
      <c r="M74" s="37">
        <v>2021</v>
      </c>
      <c r="N74" s="37">
        <v>0</v>
      </c>
      <c r="O74" s="37">
        <v>133.97</v>
      </c>
      <c r="P74" s="37"/>
    </row>
    <row r="75" spans="1:16" ht="11.25" customHeight="1" x14ac:dyDescent="0.25">
      <c r="A75" s="37">
        <v>74</v>
      </c>
      <c r="B75" s="37" t="s">
        <v>476</v>
      </c>
      <c r="C75" s="37" t="s">
        <v>42</v>
      </c>
      <c r="D75" s="37" t="s">
        <v>87</v>
      </c>
      <c r="E75" s="37" t="s">
        <v>43</v>
      </c>
      <c r="F75" s="37" t="s">
        <v>25</v>
      </c>
      <c r="G75" s="37" t="s">
        <v>25</v>
      </c>
      <c r="H75" s="37" t="s">
        <v>25</v>
      </c>
      <c r="I75" s="37" t="s">
        <v>25</v>
      </c>
      <c r="J75" s="37" t="s">
        <v>592</v>
      </c>
      <c r="K75" s="37" t="s">
        <v>593</v>
      </c>
      <c r="L75" s="37" t="s">
        <v>74</v>
      </c>
      <c r="M75" s="37">
        <v>2021</v>
      </c>
      <c r="N75" s="37">
        <v>0</v>
      </c>
      <c r="O75" s="37">
        <v>117.89</v>
      </c>
      <c r="P75" s="37"/>
    </row>
    <row r="76" spans="1:16" ht="11.25" customHeight="1" x14ac:dyDescent="0.25">
      <c r="A76" s="37">
        <v>75</v>
      </c>
      <c r="B76" s="37" t="s">
        <v>476</v>
      </c>
      <c r="C76" s="37" t="s">
        <v>33</v>
      </c>
      <c r="D76" s="37" t="s">
        <v>87</v>
      </c>
      <c r="E76" s="37" t="s">
        <v>25</v>
      </c>
      <c r="F76" s="37" t="s">
        <v>25</v>
      </c>
      <c r="G76" s="37" t="s">
        <v>25</v>
      </c>
      <c r="H76" s="37" t="s">
        <v>25</v>
      </c>
      <c r="I76" s="37" t="s">
        <v>25</v>
      </c>
      <c r="J76" s="37" t="s">
        <v>592</v>
      </c>
      <c r="K76" s="37" t="s">
        <v>593</v>
      </c>
      <c r="L76" s="37" t="s">
        <v>74</v>
      </c>
      <c r="M76" s="37">
        <v>2021</v>
      </c>
      <c r="N76" s="37">
        <v>0</v>
      </c>
      <c r="O76" s="37">
        <v>133.97</v>
      </c>
      <c r="P76" s="37"/>
    </row>
    <row r="77" spans="1:16" ht="11.25" customHeight="1" x14ac:dyDescent="0.25">
      <c r="A77" s="37">
        <v>76</v>
      </c>
      <c r="B77" s="37" t="s">
        <v>476</v>
      </c>
      <c r="C77" s="37" t="s">
        <v>42</v>
      </c>
      <c r="D77" s="37" t="s">
        <v>73</v>
      </c>
      <c r="E77" s="37" t="s">
        <v>43</v>
      </c>
      <c r="F77" s="37" t="s">
        <v>25</v>
      </c>
      <c r="G77" s="37" t="s">
        <v>25</v>
      </c>
      <c r="H77" s="37" t="s">
        <v>25</v>
      </c>
      <c r="I77" s="37" t="s">
        <v>38</v>
      </c>
      <c r="J77" s="37" t="s">
        <v>592</v>
      </c>
      <c r="K77" s="37" t="s">
        <v>593</v>
      </c>
      <c r="L77" s="37" t="s">
        <v>74</v>
      </c>
      <c r="M77" s="37">
        <v>2021</v>
      </c>
      <c r="N77" s="37">
        <v>0</v>
      </c>
      <c r="O77" s="37">
        <v>117.89</v>
      </c>
      <c r="P77" s="37"/>
    </row>
    <row r="78" spans="1:16" ht="11.25" customHeight="1" x14ac:dyDescent="0.25">
      <c r="A78" s="37">
        <v>77</v>
      </c>
      <c r="B78" s="37" t="s">
        <v>476</v>
      </c>
      <c r="C78" s="37" t="s">
        <v>42</v>
      </c>
      <c r="D78" s="37" t="s">
        <v>88</v>
      </c>
      <c r="E78" s="37" t="s">
        <v>43</v>
      </c>
      <c r="F78" s="37" t="s">
        <v>25</v>
      </c>
      <c r="G78" s="37" t="s">
        <v>25</v>
      </c>
      <c r="H78" s="37" t="s">
        <v>25</v>
      </c>
      <c r="I78" s="37" t="s">
        <v>25</v>
      </c>
      <c r="J78" s="37" t="s">
        <v>592</v>
      </c>
      <c r="K78" s="37" t="s">
        <v>593</v>
      </c>
      <c r="L78" s="37" t="s">
        <v>74</v>
      </c>
      <c r="M78" s="37">
        <v>2021</v>
      </c>
      <c r="N78" s="37">
        <v>0</v>
      </c>
      <c r="O78" s="37">
        <v>117.89</v>
      </c>
      <c r="P78" s="37"/>
    </row>
    <row r="79" spans="1:16" ht="11.25" customHeight="1" x14ac:dyDescent="0.25">
      <c r="A79" s="37">
        <v>78</v>
      </c>
      <c r="B79" s="37" t="s">
        <v>476</v>
      </c>
      <c r="C79" s="37" t="s">
        <v>22</v>
      </c>
      <c r="D79" s="37" t="s">
        <v>88</v>
      </c>
      <c r="E79" s="37" t="s">
        <v>24</v>
      </c>
      <c r="F79" s="37" t="s">
        <v>24</v>
      </c>
      <c r="G79" s="37" t="s">
        <v>25</v>
      </c>
      <c r="H79" s="37" t="s">
        <v>25</v>
      </c>
      <c r="I79" s="37" t="s">
        <v>25</v>
      </c>
      <c r="J79" s="37" t="s">
        <v>592</v>
      </c>
      <c r="K79" s="37" t="s">
        <v>593</v>
      </c>
      <c r="L79" s="37" t="s">
        <v>74</v>
      </c>
      <c r="M79" s="37">
        <v>2021</v>
      </c>
      <c r="N79" s="37">
        <v>0</v>
      </c>
      <c r="O79" s="37">
        <v>133.97</v>
      </c>
      <c r="P79" s="37"/>
    </row>
    <row r="80" spans="1:16" ht="11.25" customHeight="1" x14ac:dyDescent="0.25">
      <c r="A80" s="37">
        <v>79</v>
      </c>
      <c r="B80" s="37" t="s">
        <v>476</v>
      </c>
      <c r="C80" s="37" t="s">
        <v>42</v>
      </c>
      <c r="D80" s="37" t="s">
        <v>73</v>
      </c>
      <c r="E80" s="37" t="s">
        <v>43</v>
      </c>
      <c r="F80" s="37" t="s">
        <v>91</v>
      </c>
      <c r="G80" s="37" t="s">
        <v>25</v>
      </c>
      <c r="H80" s="37" t="s">
        <v>25</v>
      </c>
      <c r="I80" s="37" t="s">
        <v>56</v>
      </c>
      <c r="J80" s="37" t="s">
        <v>592</v>
      </c>
      <c r="K80" s="37" t="s">
        <v>593</v>
      </c>
      <c r="L80" s="37" t="s">
        <v>74</v>
      </c>
      <c r="M80" s="37">
        <v>2021</v>
      </c>
      <c r="N80" s="37">
        <v>0</v>
      </c>
      <c r="O80" s="37">
        <v>112.54</v>
      </c>
      <c r="P80" s="37"/>
    </row>
    <row r="81" spans="1:16" ht="11.25" customHeight="1" x14ac:dyDescent="0.25">
      <c r="A81" s="37">
        <v>80</v>
      </c>
      <c r="B81" s="37" t="s">
        <v>476</v>
      </c>
      <c r="C81" s="37" t="s">
        <v>45</v>
      </c>
      <c r="D81" s="37" t="s">
        <v>87</v>
      </c>
      <c r="E81" s="37" t="s">
        <v>46</v>
      </c>
      <c r="F81" s="37" t="s">
        <v>92</v>
      </c>
      <c r="G81" s="37" t="s">
        <v>25</v>
      </c>
      <c r="H81" s="37" t="s">
        <v>25</v>
      </c>
      <c r="I81" s="37" t="s">
        <v>25</v>
      </c>
      <c r="J81" s="37" t="s">
        <v>592</v>
      </c>
      <c r="K81" s="37" t="s">
        <v>593</v>
      </c>
      <c r="L81" s="37" t="s">
        <v>74</v>
      </c>
      <c r="M81" s="37">
        <v>2021</v>
      </c>
      <c r="N81" s="37">
        <v>0</v>
      </c>
      <c r="O81" s="37">
        <v>80.38</v>
      </c>
      <c r="P81" s="37"/>
    </row>
    <row r="82" spans="1:16" ht="11.25" customHeight="1" x14ac:dyDescent="0.25">
      <c r="A82" s="37">
        <v>81</v>
      </c>
      <c r="B82" s="37" t="s">
        <v>476</v>
      </c>
      <c r="C82" s="37" t="s">
        <v>22</v>
      </c>
      <c r="D82" s="37" t="s">
        <v>88</v>
      </c>
      <c r="E82" s="37" t="s">
        <v>24</v>
      </c>
      <c r="F82" s="37" t="s">
        <v>29</v>
      </c>
      <c r="G82" s="37" t="s">
        <v>25</v>
      </c>
      <c r="H82" s="37" t="s">
        <v>25</v>
      </c>
      <c r="I82" s="37" t="s">
        <v>25</v>
      </c>
      <c r="J82" s="37" t="s">
        <v>592</v>
      </c>
      <c r="K82" s="37" t="s">
        <v>593</v>
      </c>
      <c r="L82" s="37" t="s">
        <v>74</v>
      </c>
      <c r="M82" s="37">
        <v>2021</v>
      </c>
      <c r="N82" s="37">
        <v>0</v>
      </c>
      <c r="O82" s="37">
        <v>46.89</v>
      </c>
      <c r="P82" s="37"/>
    </row>
    <row r="83" spans="1:16" ht="11.25" customHeight="1" x14ac:dyDescent="0.25">
      <c r="A83" s="37">
        <v>82</v>
      </c>
      <c r="B83" s="37" t="s">
        <v>476</v>
      </c>
      <c r="C83" s="37" t="s">
        <v>33</v>
      </c>
      <c r="D83" s="37" t="s">
        <v>73</v>
      </c>
      <c r="E83" s="37" t="s">
        <v>25</v>
      </c>
      <c r="F83" s="37" t="s">
        <v>25</v>
      </c>
      <c r="G83" s="37" t="s">
        <v>25</v>
      </c>
      <c r="H83" s="37" t="s">
        <v>25</v>
      </c>
      <c r="I83" s="37" t="s">
        <v>56</v>
      </c>
      <c r="J83" s="37" t="s">
        <v>592</v>
      </c>
      <c r="K83" s="37" t="s">
        <v>593</v>
      </c>
      <c r="L83" s="37" t="s">
        <v>74</v>
      </c>
      <c r="M83" s="37">
        <v>2021</v>
      </c>
      <c r="N83" s="37">
        <v>0</v>
      </c>
      <c r="O83" s="37">
        <v>133.97</v>
      </c>
      <c r="P83" s="37"/>
    </row>
    <row r="84" spans="1:16" ht="11.25" customHeight="1" x14ac:dyDescent="0.25">
      <c r="A84" s="37">
        <v>83</v>
      </c>
      <c r="B84" s="37" t="s">
        <v>476</v>
      </c>
      <c r="C84" s="37" t="s">
        <v>42</v>
      </c>
      <c r="D84" s="37" t="s">
        <v>73</v>
      </c>
      <c r="E84" s="37" t="s">
        <v>43</v>
      </c>
      <c r="F84" s="37" t="s">
        <v>25</v>
      </c>
      <c r="G84" s="37" t="s">
        <v>25</v>
      </c>
      <c r="H84" s="37" t="s">
        <v>25</v>
      </c>
      <c r="I84" s="37" t="s">
        <v>56</v>
      </c>
      <c r="J84" s="37" t="s">
        <v>592</v>
      </c>
      <c r="K84" s="37" t="s">
        <v>593</v>
      </c>
      <c r="L84" s="37" t="s">
        <v>74</v>
      </c>
      <c r="M84" s="37">
        <v>2021</v>
      </c>
      <c r="N84" s="37">
        <v>0</v>
      </c>
      <c r="O84" s="37">
        <v>117.89</v>
      </c>
      <c r="P84" s="37"/>
    </row>
    <row r="85" spans="1:16" ht="11.25" customHeight="1" x14ac:dyDescent="0.25">
      <c r="A85" s="37">
        <v>84</v>
      </c>
      <c r="B85" s="37" t="s">
        <v>476</v>
      </c>
      <c r="C85" s="37" t="s">
        <v>33</v>
      </c>
      <c r="D85" s="37" t="s">
        <v>73</v>
      </c>
      <c r="E85" s="37" t="s">
        <v>25</v>
      </c>
      <c r="F85" s="37" t="s">
        <v>25</v>
      </c>
      <c r="G85" s="37" t="s">
        <v>25</v>
      </c>
      <c r="H85" s="37" t="s">
        <v>25</v>
      </c>
      <c r="I85" s="37" t="s">
        <v>37</v>
      </c>
      <c r="J85" s="37" t="s">
        <v>592</v>
      </c>
      <c r="K85" s="37" t="s">
        <v>593</v>
      </c>
      <c r="L85" s="37" t="s">
        <v>74</v>
      </c>
      <c r="M85" s="37">
        <v>2021</v>
      </c>
      <c r="N85" s="37">
        <v>0</v>
      </c>
      <c r="O85" s="37">
        <v>133.97</v>
      </c>
      <c r="P85" s="37"/>
    </row>
    <row r="86" spans="1:16" ht="11.25" customHeight="1" x14ac:dyDescent="0.25">
      <c r="A86" s="37">
        <v>85</v>
      </c>
      <c r="B86" s="37" t="s">
        <v>476</v>
      </c>
      <c r="C86" s="37" t="s">
        <v>39</v>
      </c>
      <c r="D86" s="37" t="s">
        <v>73</v>
      </c>
      <c r="E86" s="37" t="s">
        <v>25</v>
      </c>
      <c r="F86" s="37" t="s">
        <v>25</v>
      </c>
      <c r="G86" s="37" t="s">
        <v>25</v>
      </c>
      <c r="H86" s="37" t="s">
        <v>25</v>
      </c>
      <c r="I86" s="37" t="s">
        <v>38</v>
      </c>
      <c r="J86" s="37" t="s">
        <v>592</v>
      </c>
      <c r="K86" s="37" t="s">
        <v>593</v>
      </c>
      <c r="L86" s="37" t="s">
        <v>74</v>
      </c>
      <c r="M86" s="37">
        <v>2021</v>
      </c>
      <c r="N86" s="37">
        <v>0</v>
      </c>
      <c r="O86" s="37">
        <v>133.97</v>
      </c>
      <c r="P86" s="37"/>
    </row>
    <row r="87" spans="1:16" ht="11.25" customHeight="1" x14ac:dyDescent="0.25">
      <c r="A87" s="37">
        <v>86</v>
      </c>
      <c r="B87" s="37" t="s">
        <v>476</v>
      </c>
      <c r="C87" s="37" t="s">
        <v>42</v>
      </c>
      <c r="D87" s="37" t="s">
        <v>73</v>
      </c>
      <c r="E87" s="37" t="s">
        <v>43</v>
      </c>
      <c r="F87" s="37" t="s">
        <v>25</v>
      </c>
      <c r="G87" s="37" t="s">
        <v>25</v>
      </c>
      <c r="H87" s="37" t="s">
        <v>25</v>
      </c>
      <c r="I87" s="37" t="s">
        <v>37</v>
      </c>
      <c r="J87" s="37" t="s">
        <v>592</v>
      </c>
      <c r="K87" s="37" t="s">
        <v>593</v>
      </c>
      <c r="L87" s="37" t="s">
        <v>74</v>
      </c>
      <c r="M87" s="37">
        <v>2021</v>
      </c>
      <c r="N87" s="37">
        <v>0</v>
      </c>
      <c r="O87" s="37">
        <v>117.89</v>
      </c>
      <c r="P87" s="37"/>
    </row>
    <row r="88" spans="1:16" ht="11.25" customHeight="1" x14ac:dyDescent="0.25">
      <c r="A88" s="37">
        <v>87</v>
      </c>
      <c r="B88" s="37" t="s">
        <v>476</v>
      </c>
      <c r="C88" s="37" t="s">
        <v>33</v>
      </c>
      <c r="D88" s="37" t="s">
        <v>73</v>
      </c>
      <c r="E88" s="37" t="s">
        <v>25</v>
      </c>
      <c r="F88" s="37" t="s">
        <v>25</v>
      </c>
      <c r="G88" s="37" t="s">
        <v>25</v>
      </c>
      <c r="H88" s="37" t="s">
        <v>25</v>
      </c>
      <c r="I88" s="37" t="s">
        <v>38</v>
      </c>
      <c r="J88" s="37" t="s">
        <v>592</v>
      </c>
      <c r="K88" s="37" t="s">
        <v>593</v>
      </c>
      <c r="L88" s="37" t="s">
        <v>74</v>
      </c>
      <c r="M88" s="37">
        <v>2021</v>
      </c>
      <c r="N88" s="37">
        <v>0</v>
      </c>
      <c r="O88" s="37">
        <v>133.97</v>
      </c>
      <c r="P88" s="37"/>
    </row>
    <row r="89" spans="1:16" ht="11.25" customHeight="1" x14ac:dyDescent="0.25">
      <c r="A89" s="37">
        <v>88</v>
      </c>
      <c r="B89" s="37" t="s">
        <v>476</v>
      </c>
      <c r="C89" s="37" t="s">
        <v>22</v>
      </c>
      <c r="D89" s="37" t="s">
        <v>87</v>
      </c>
      <c r="E89" s="37" t="s">
        <v>24</v>
      </c>
      <c r="F89" s="37" t="s">
        <v>24</v>
      </c>
      <c r="G89" s="37" t="s">
        <v>25</v>
      </c>
      <c r="H89" s="37" t="s">
        <v>25</v>
      </c>
      <c r="I89" s="37" t="s">
        <v>25</v>
      </c>
      <c r="J89" s="37" t="s">
        <v>592</v>
      </c>
      <c r="K89" s="37" t="s">
        <v>593</v>
      </c>
      <c r="L89" s="37" t="s">
        <v>74</v>
      </c>
      <c r="M89" s="37">
        <v>2021</v>
      </c>
      <c r="N89" s="37">
        <v>0</v>
      </c>
      <c r="O89" s="37">
        <v>133.97</v>
      </c>
      <c r="P89" s="37"/>
    </row>
    <row r="90" spans="1:16" ht="11.25" customHeight="1" x14ac:dyDescent="0.25">
      <c r="A90" s="37">
        <v>89</v>
      </c>
      <c r="B90" s="37" t="s">
        <v>476</v>
      </c>
      <c r="C90" s="37" t="s">
        <v>42</v>
      </c>
      <c r="D90" s="37" t="s">
        <v>88</v>
      </c>
      <c r="E90" s="37" t="s">
        <v>43</v>
      </c>
      <c r="F90" s="37" t="s">
        <v>91</v>
      </c>
      <c r="G90" s="37" t="s">
        <v>25</v>
      </c>
      <c r="H90" s="37" t="s">
        <v>25</v>
      </c>
      <c r="I90" s="37" t="s">
        <v>25</v>
      </c>
      <c r="J90" s="37" t="s">
        <v>592</v>
      </c>
      <c r="K90" s="37" t="s">
        <v>593</v>
      </c>
      <c r="L90" s="37" t="s">
        <v>74</v>
      </c>
      <c r="M90" s="37">
        <v>2021</v>
      </c>
      <c r="N90" s="37">
        <v>0</v>
      </c>
      <c r="O90" s="37">
        <v>112.54</v>
      </c>
      <c r="P90" s="37"/>
    </row>
    <row r="91" spans="1:16" ht="11.25" customHeight="1" x14ac:dyDescent="0.25">
      <c r="A91" s="37">
        <v>90</v>
      </c>
      <c r="B91" s="37" t="s">
        <v>476</v>
      </c>
      <c r="C91" s="37" t="s">
        <v>22</v>
      </c>
      <c r="D91" s="37" t="s">
        <v>88</v>
      </c>
      <c r="E91" s="37" t="s">
        <v>24</v>
      </c>
      <c r="F91" s="37" t="s">
        <v>31</v>
      </c>
      <c r="G91" s="37" t="s">
        <v>25</v>
      </c>
      <c r="H91" s="37" t="s">
        <v>25</v>
      </c>
      <c r="I91" s="37" t="s">
        <v>25</v>
      </c>
      <c r="J91" s="37" t="s">
        <v>592</v>
      </c>
      <c r="K91" s="37" t="s">
        <v>593</v>
      </c>
      <c r="L91" s="37" t="s">
        <v>74</v>
      </c>
      <c r="M91" s="37">
        <v>2021</v>
      </c>
      <c r="N91" s="37">
        <v>0</v>
      </c>
      <c r="O91" s="37">
        <v>120.57</v>
      </c>
      <c r="P91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2B36-57A0-4447-B598-4856FF11956A}">
  <dimension ref="A1:AD53"/>
  <sheetViews>
    <sheetView showGridLines="0" workbookViewId="0">
      <selection sqref="A1:W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36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78</v>
      </c>
      <c r="H2" s="13" t="s">
        <v>77</v>
      </c>
      <c r="I2" s="13">
        <f>SUMIF(Mercado_Receita!$S$2:$S$505,"44440A3AzulNão se aplicaNão se aplicaNão se aplicaNão se aplicaPonta",Mercado_Receita!$J$2:$J$505)+SUMIF(Mercado_Receita!$S$2:$S$505,"44440A3AzulNão se aplicaNão se aplicaAPENão se aplicaPonta",Mercado_Receita!$J$2:$J$505)+SUMIF(Mercado_Receita!$S$2:$S$505,"44440A3ConvencionalNão se aplicaNão se aplicaNão se aplicaNão se aplicaNão se aplica",Mercado_Receita!$J$2:$J$505)*0.72</f>
        <v>2386</v>
      </c>
      <c r="J2" s="13">
        <f>SUMIF(Mercado_Receita!$S$2:$S$505,"44470A3AzulNão se aplicaNão se aplicaNão se aplicaNão se aplicaPonta",Mercado_Receita!$J$2:$J$505)+SUMIF(Mercado_Receita!$S$2:$S$505,"44470A3AzulNão se aplicaNão se aplicaAPENão se aplicaPonta",Mercado_Receita!$J$2:$J$505)+SUMIF(Mercado_Receita!$S$2:$S$505,"44470A3ConvencionalNão se aplicaNão se aplicaNão se aplicaNão se aplicaNão se aplica",Mercado_Receita!$J$2:$J$505)*0.72</f>
        <v>2497</v>
      </c>
      <c r="K2" s="13">
        <f>SUMIF(Mercado_Receita!$S$2:$S$505,"44501A3AzulNão se aplicaNão se aplicaNão se aplicaNão se aplicaPonta",Mercado_Receita!$J$2:$J$505)+SUMIF(Mercado_Receita!$S$2:$S$505,"44501A3AzulNão se aplicaNão se aplicaAPENão se aplicaPonta",Mercado_Receita!$J$2:$J$505)+SUMIF(Mercado_Receita!$S$2:$S$505,"44501A3ConvencionalNão se aplicaNão se aplicaNão se aplicaNão se aplicaNão se aplica",Mercado_Receita!$J$2:$J$505)*0.72</f>
        <v>2353</v>
      </c>
      <c r="L2" s="13">
        <f>SUMIF(Mercado_Receita!$S$2:$S$505,"44531A3AzulNão se aplicaNão se aplicaNão se aplicaNão se aplicaPonta",Mercado_Receita!$J$2:$J$505)+SUMIF(Mercado_Receita!$S$2:$S$505,"44531A3AzulNão se aplicaNão se aplicaAPENão se aplicaPonta",Mercado_Receita!$J$2:$J$505)+SUMIF(Mercado_Receita!$S$2:$S$505,"44531A3ConvencionalNão se aplicaNão se aplicaNão se aplicaNão se aplicaNão se aplica",Mercado_Receita!$J$2:$J$505)*0.72</f>
        <v>2442</v>
      </c>
      <c r="M2" s="13">
        <f>SUMIF(Mercado_Receita!$S$2:$S$505,"44562A3AzulNão se aplicaNão se aplicaNão se aplicaNão se aplicaPonta",Mercado_Receita!$J$2:$J$505)+SUMIF(Mercado_Receita!$S$2:$S$505,"44562A3AzulNão se aplicaNão se aplicaAPENão se aplicaPonta",Mercado_Receita!$J$2:$J$505)+SUMIF(Mercado_Receita!$S$2:$S$505,"44562A3ConvencionalNão se aplicaNão se aplicaNão se aplicaNão se aplicaNão se aplica",Mercado_Receita!$J$2:$J$505)*0.72</f>
        <v>2441</v>
      </c>
      <c r="N2" s="13">
        <f>SUMIF(Mercado_Receita!$S$2:$S$505,"44593A3AzulNão se aplicaNão se aplicaNão se aplicaNão se aplicaPonta",Mercado_Receita!$J$2:$J$505)+SUMIF(Mercado_Receita!$S$2:$S$505,"44593A3AzulNão se aplicaNão se aplicaAPENão se aplicaPonta",Mercado_Receita!$J$2:$J$505)+SUMIF(Mercado_Receita!$S$2:$S$505,"44593A3ConvencionalNão se aplicaNão se aplicaNão se aplicaNão se aplicaNão se aplica",Mercado_Receita!$J$2:$J$505)*0.72</f>
        <v>2359</v>
      </c>
      <c r="O2" s="13">
        <f>SUMIF(Mercado_Receita!$S$2:$S$505,"44621A3AzulNão se aplicaNão se aplicaNão se aplicaNão se aplicaPonta",Mercado_Receita!$J$2:$J$505)+SUMIF(Mercado_Receita!$S$2:$S$505,"44621A3AzulNão se aplicaNão se aplicaAPENão se aplicaPonta",Mercado_Receita!$J$2:$J$505)+SUMIF(Mercado_Receita!$S$2:$S$505,"44621A3ConvencionalNão se aplicaNão se aplicaNão se aplicaNão se aplicaNão se aplica",Mercado_Receita!$J$2:$J$505)*0.72</f>
        <v>2477</v>
      </c>
      <c r="P2" s="13">
        <f>SUMIF(Mercado_Receita!$S$2:$S$505,"44652A3AzulNão se aplicaNão se aplicaNão se aplicaNão se aplicaPonta",Mercado_Receita!$J$2:$J$505)+SUMIF(Mercado_Receita!$S$2:$S$505,"44652A3AzulNão se aplicaNão se aplicaAPENão se aplicaPonta",Mercado_Receita!$J$2:$J$505)+SUMIF(Mercado_Receita!$S$2:$S$505,"44652A3ConvencionalNão se aplicaNão se aplicaNão se aplicaNão se aplicaNão se aplica",Mercado_Receita!$J$2:$J$505)*0.72</f>
        <v>2505</v>
      </c>
      <c r="Q2" s="13">
        <f>SUMIF(Mercado_Receita!$S$2:$S$505,"44682A3AzulNão se aplicaNão se aplicaNão se aplicaNão se aplicaPonta",Mercado_Receita!$J$2:$J$505)+SUMIF(Mercado_Receita!$S$2:$S$505,"44682A3AzulNão se aplicaNão se aplicaAPENão se aplicaPonta",Mercado_Receita!$J$2:$J$505)+SUMIF(Mercado_Receita!$S$2:$S$505,"44682A3ConvencionalNão se aplicaNão se aplicaNão se aplicaNão se aplicaNão se aplica",Mercado_Receita!$J$2:$J$505)*0.72</f>
        <v>2460</v>
      </c>
      <c r="R2" s="13">
        <f>SUMIF(Mercado_Receita!$S$2:$S$505,"44713A3AzulNão se aplicaNão se aplicaNão se aplicaNão se aplicaPonta",Mercado_Receita!$J$2:$J$505)+SUMIF(Mercado_Receita!$S$2:$S$505,"44713A3AzulNão se aplicaNão se aplicaAPENão se aplicaPonta",Mercado_Receita!$J$2:$J$505)+SUMIF(Mercado_Receita!$S$2:$S$505,"44713A3ConvencionalNão se aplicaNão se aplicaNão se aplicaNão se aplicaNão se aplica",Mercado_Receita!$J$2:$J$505)*0.72</f>
        <v>2467</v>
      </c>
      <c r="S2" s="13">
        <f>SUMIF(Mercado_Receita!$S$2:$S$505,"44743A3AzulNão se aplicaNão se aplicaNão se aplicaNão se aplicaPonta",Mercado_Receita!$J$2:$J$505)+SUMIF(Mercado_Receita!$S$2:$S$505,"44743A3AzulNão se aplicaNão se aplicaAPENão se aplicaPonta",Mercado_Receita!$J$2:$J$505)+SUMIF(Mercado_Receita!$S$2:$S$505,"44743A3ConvencionalNão se aplicaNão se aplicaNão se aplicaNão se aplicaNão se aplica",Mercado_Receita!$J$2:$J$505)*0.72</f>
        <v>2437</v>
      </c>
      <c r="T2" s="13">
        <f>SUMIF(Mercado_Receita!$S$2:$S$505,"44774A3AzulNão se aplicaNão se aplicaNão se aplicaNão se aplicaPonta",Mercado_Receita!$J$2:$J$505)+SUMIF(Mercado_Receita!$S$2:$S$505,"44774A3AzulNão se aplicaNão se aplicaAPENão se aplicaPonta",Mercado_Receita!$J$2:$J$505)+SUMIF(Mercado_Receita!$S$2:$S$505,"44774A3ConvencionalNão se aplicaNão se aplicaNão se aplicaNão se aplicaNão se aplica",Mercado_Receita!$J$2:$J$505)*0.72</f>
        <v>2437</v>
      </c>
      <c r="U2" s="13">
        <f t="shared" ref="U2:U33" si="0">SUM(I2:T2)</f>
        <v>29261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79</v>
      </c>
      <c r="H3" s="13" t="s">
        <v>77</v>
      </c>
      <c r="I3" s="13">
        <f>SUMIF(Mercado_Receita!$S$2:$S$505,"44440A3AzulNão se aplicaNão se aplicaNão se aplicaNão se aplicaFora ponta",Mercado_Receita!$J$2:$J$505)+SUMIF(Mercado_Receita!$S$2:$S$505,"44440A3AzulNão se aplicaNão se aplicaAPENão se aplicaFora ponta",Mercado_Receita!$J$2:$J$505)+SUMIF(Mercado_Receita!$S$2:$S$505,"44440A3ConvencionalNão se aplicaNão se aplicaNão se aplicaNão se aplicaNão se aplica",Mercado_Receita!$J$2:$J$505)*1</f>
        <v>2438</v>
      </c>
      <c r="J3" s="13">
        <f>SUMIF(Mercado_Receita!$S$2:$S$505,"44470A3AzulNão se aplicaNão se aplicaNão se aplicaNão se aplicaFora ponta",Mercado_Receita!$J$2:$J$505)+SUMIF(Mercado_Receita!$S$2:$S$505,"44470A3AzulNão se aplicaNão se aplicaAPENão se aplicaFora ponta",Mercado_Receita!$J$2:$J$505)+SUMIF(Mercado_Receita!$S$2:$S$505,"44470A3ConvencionalNão se aplicaNão se aplicaNão se aplicaNão se aplicaNão se aplica",Mercado_Receita!$J$2:$J$505)*1</f>
        <v>2538</v>
      </c>
      <c r="K3" s="13">
        <f>SUMIF(Mercado_Receita!$S$2:$S$505,"44501A3AzulNão se aplicaNão se aplicaNão se aplicaNão se aplicaFora ponta",Mercado_Receita!$J$2:$J$505)+SUMIF(Mercado_Receita!$S$2:$S$505,"44501A3AzulNão se aplicaNão se aplicaAPENão se aplicaFora ponta",Mercado_Receita!$J$2:$J$505)+SUMIF(Mercado_Receita!$S$2:$S$505,"44501A3ConvencionalNão se aplicaNão se aplicaNão se aplicaNão se aplicaNão se aplica",Mercado_Receita!$J$2:$J$505)*1</f>
        <v>2402</v>
      </c>
      <c r="L3" s="13">
        <f>SUMIF(Mercado_Receita!$S$2:$S$505,"44531A3AzulNão se aplicaNão se aplicaNão se aplicaNão se aplicaFora ponta",Mercado_Receita!$J$2:$J$505)+SUMIF(Mercado_Receita!$S$2:$S$505,"44531A3AzulNão se aplicaNão se aplicaAPENão se aplicaFora ponta",Mercado_Receita!$J$2:$J$505)+SUMIF(Mercado_Receita!$S$2:$S$505,"44531A3ConvencionalNão se aplicaNão se aplicaNão se aplicaNão se aplicaNão se aplica",Mercado_Receita!$J$2:$J$505)*1</f>
        <v>2500</v>
      </c>
      <c r="M3" s="13">
        <f>SUMIF(Mercado_Receita!$S$2:$S$505,"44562A3AzulNão se aplicaNão se aplicaNão se aplicaNão se aplicaFora ponta",Mercado_Receita!$J$2:$J$505)+SUMIF(Mercado_Receita!$S$2:$S$505,"44562A3AzulNão se aplicaNão se aplicaAPENão se aplicaFora ponta",Mercado_Receita!$J$2:$J$505)+SUMIF(Mercado_Receita!$S$2:$S$505,"44562A3ConvencionalNão se aplicaNão se aplicaNão se aplicaNão se aplicaNão se aplica",Mercado_Receita!$J$2:$J$505)*1</f>
        <v>2459</v>
      </c>
      <c r="N3" s="13">
        <f>SUMIF(Mercado_Receita!$S$2:$S$505,"44593A3AzulNão se aplicaNão se aplicaNão se aplicaNão se aplicaFora ponta",Mercado_Receita!$J$2:$J$505)+SUMIF(Mercado_Receita!$S$2:$S$505,"44593A3AzulNão se aplicaNão se aplicaAPENão se aplicaFora ponta",Mercado_Receita!$J$2:$J$505)+SUMIF(Mercado_Receita!$S$2:$S$505,"44593A3ConvencionalNão se aplicaNão se aplicaNão se aplicaNão se aplicaNão se aplica",Mercado_Receita!$J$2:$J$505)*1</f>
        <v>2361</v>
      </c>
      <c r="O3" s="13">
        <f>SUMIF(Mercado_Receita!$S$2:$S$505,"44621A3AzulNão se aplicaNão se aplicaNão se aplicaNão se aplicaFora ponta",Mercado_Receita!$J$2:$J$505)+SUMIF(Mercado_Receita!$S$2:$S$505,"44621A3AzulNão se aplicaNão se aplicaAPENão se aplicaFora ponta",Mercado_Receita!$J$2:$J$505)+SUMIF(Mercado_Receita!$S$2:$S$505,"44621A3ConvencionalNão se aplicaNão se aplicaNão se aplicaNão se aplicaNão se aplica",Mercado_Receita!$J$2:$J$505)*1</f>
        <v>2500</v>
      </c>
      <c r="P3" s="13">
        <f>SUMIF(Mercado_Receita!$S$2:$S$505,"44652A3AzulNão se aplicaNão se aplicaNão se aplicaNão se aplicaFora ponta",Mercado_Receita!$J$2:$J$505)+SUMIF(Mercado_Receita!$S$2:$S$505,"44652A3AzulNão se aplicaNão se aplicaAPENão se aplicaFora ponta",Mercado_Receita!$J$2:$J$505)+SUMIF(Mercado_Receita!$S$2:$S$505,"44652A3ConvencionalNão se aplicaNão se aplicaNão se aplicaNão se aplicaNão se aplica",Mercado_Receita!$J$2:$J$505)*1</f>
        <v>2500</v>
      </c>
      <c r="Q3" s="13">
        <f>SUMIF(Mercado_Receita!$S$2:$S$505,"44682A3AzulNão se aplicaNão se aplicaNão se aplicaNão se aplicaFora ponta",Mercado_Receita!$J$2:$J$505)+SUMIF(Mercado_Receita!$S$2:$S$505,"44682A3AzulNão se aplicaNão se aplicaAPENão se aplicaFora ponta",Mercado_Receita!$J$2:$J$505)+SUMIF(Mercado_Receita!$S$2:$S$505,"44682A3ConvencionalNão se aplicaNão se aplicaNão se aplicaNão se aplicaNão se aplica",Mercado_Receita!$J$2:$J$505)*1</f>
        <v>2502</v>
      </c>
      <c r="R3" s="13">
        <f>SUMIF(Mercado_Receita!$S$2:$S$505,"44713A3AzulNão se aplicaNão se aplicaNão se aplicaNão se aplicaFora ponta",Mercado_Receita!$J$2:$J$505)+SUMIF(Mercado_Receita!$S$2:$S$505,"44713A3AzulNão se aplicaNão se aplicaAPENão se aplicaFora ponta",Mercado_Receita!$J$2:$J$505)+SUMIF(Mercado_Receita!$S$2:$S$505,"44713A3ConvencionalNão se aplicaNão se aplicaNão se aplicaNão se aplicaNão se aplica",Mercado_Receita!$J$2:$J$505)*1</f>
        <v>2495</v>
      </c>
      <c r="S3" s="13">
        <f>SUMIF(Mercado_Receita!$S$2:$S$505,"44743A3AzulNão se aplicaNão se aplicaNão se aplicaNão se aplicaFora ponta",Mercado_Receita!$J$2:$J$505)+SUMIF(Mercado_Receita!$S$2:$S$505,"44743A3AzulNão se aplicaNão se aplicaAPENão se aplicaFora ponta",Mercado_Receita!$J$2:$J$505)+SUMIF(Mercado_Receita!$S$2:$S$505,"44743A3ConvencionalNão se aplicaNão se aplicaNão se aplicaNão se aplicaNão se aplica",Mercado_Receita!$J$2:$J$505)*1</f>
        <v>2434</v>
      </c>
      <c r="T3" s="13">
        <f>SUMIF(Mercado_Receita!$S$2:$S$505,"44774A3AzulNão se aplicaNão se aplicaNão se aplicaNão se aplicaFora ponta",Mercado_Receita!$J$2:$J$505)+SUMIF(Mercado_Receita!$S$2:$S$505,"44774A3AzulNão se aplicaNão se aplicaAPENão se aplicaFora ponta",Mercado_Receita!$J$2:$J$505)+SUMIF(Mercado_Receita!$S$2:$S$505,"44774A3ConvencionalNão se aplicaNão se aplicaNão se aplicaNão se aplicaNão se aplica",Mercado_Receita!$J$2:$J$505)*1</f>
        <v>2434</v>
      </c>
      <c r="U3" s="13">
        <f t="shared" si="0"/>
        <v>29563</v>
      </c>
      <c r="V3" s="13"/>
      <c r="W3" s="13"/>
    </row>
    <row r="4" spans="1:30" ht="11.25" customHeight="1" x14ac:dyDescent="0.25">
      <c r="A4" s="77"/>
      <c r="B4" s="77"/>
      <c r="C4" s="77"/>
      <c r="D4" s="77"/>
      <c r="E4" s="77"/>
      <c r="F4" s="77"/>
      <c r="G4" s="13" t="s">
        <v>80</v>
      </c>
      <c r="H4" s="13" t="s">
        <v>74</v>
      </c>
      <c r="I4" s="13">
        <f>SUMIF(Mercado_Receita!$S$2:$S$505,"44440A3AzulNão se aplicaNão se aplicaNão se aplicaNão se aplicaPonta",Mercado_Receita!$L$2:$L$505)+SUMIF(Mercado_Receita!$S$2:$S$505,"44440A3AzulNão se aplicaNão se aplicaNão se aplicaNão se aplicaFora ponta",Mercado_Receita!$L$2:$L$505)+SUMIF(Mercado_Receita!$S$2:$S$505,"44440A3AzulNão se aplicaNão se aplicaNão se aplicaNão se aplicaIntermediário",Mercado_Receita!$L$2:$L$505)+SUMIF(Mercado_Receita!$S$2:$S$505,"44440A3AzulNão se aplicaNão se aplicaNão se aplicaNão se aplicaNão se aplica",Mercado_Receita!$L$2:$L$505)+SUMIF(Mercado_Receita!$S$2:$S$505,"44440A3ConvencionalNão se aplicaNão se aplicaNão se aplicaNão se aplicaNão se aplica",Mercado_Receita!$L$2:$L$505)</f>
        <v>1105.021</v>
      </c>
      <c r="J4" s="13">
        <f>SUMIF(Mercado_Receita!$S$2:$S$505,"44470A3AzulNão se aplicaNão se aplicaNão se aplicaNão se aplicaPonta",Mercado_Receita!$L$2:$L$505)+SUMIF(Mercado_Receita!$S$2:$S$505,"44470A3AzulNão se aplicaNão se aplicaNão se aplicaNão se aplicaFora ponta",Mercado_Receita!$L$2:$L$505)+SUMIF(Mercado_Receita!$S$2:$S$505,"44470A3AzulNão se aplicaNão se aplicaNão se aplicaNão se aplicaIntermediário",Mercado_Receita!$L$2:$L$505)+SUMIF(Mercado_Receita!$S$2:$S$505,"44470A3AzulNão se aplicaNão se aplicaNão se aplicaNão se aplicaNão se aplica",Mercado_Receita!$L$2:$L$505)+SUMIF(Mercado_Receita!$S$2:$S$505,"44470A3ConvencionalNão se aplicaNão se aplicaNão se aplicaNão se aplicaNão se aplica",Mercado_Receita!$L$2:$L$505)</f>
        <v>1092.1859999999999</v>
      </c>
      <c r="K4" s="13">
        <f>SUMIF(Mercado_Receita!$S$2:$S$505,"44501A3AzulNão se aplicaNão se aplicaNão se aplicaNão se aplicaPonta",Mercado_Receita!$L$2:$L$505)+SUMIF(Mercado_Receita!$S$2:$S$505,"44501A3AzulNão se aplicaNão se aplicaNão se aplicaNão se aplicaFora ponta",Mercado_Receita!$L$2:$L$505)+SUMIF(Mercado_Receita!$S$2:$S$505,"44501A3AzulNão se aplicaNão se aplicaNão se aplicaNão se aplicaIntermediário",Mercado_Receita!$L$2:$L$505)+SUMIF(Mercado_Receita!$S$2:$S$505,"44501A3AzulNão se aplicaNão se aplicaNão se aplicaNão se aplicaNão se aplica",Mercado_Receita!$L$2:$L$505)+SUMIF(Mercado_Receita!$S$2:$S$505,"44501A3ConvencionalNão se aplicaNão se aplicaNão se aplicaNão se aplicaNão se aplica",Mercado_Receita!$L$2:$L$505)</f>
        <v>1174.193</v>
      </c>
      <c r="L4" s="13">
        <f>SUMIF(Mercado_Receita!$S$2:$S$505,"44531A3AzulNão se aplicaNão se aplicaNão se aplicaNão se aplicaPonta",Mercado_Receita!$L$2:$L$505)+SUMIF(Mercado_Receita!$S$2:$S$505,"44531A3AzulNão se aplicaNão se aplicaNão se aplicaNão se aplicaFora ponta",Mercado_Receita!$L$2:$L$505)+SUMIF(Mercado_Receita!$S$2:$S$505,"44531A3AzulNão se aplicaNão se aplicaNão se aplicaNão se aplicaIntermediário",Mercado_Receita!$L$2:$L$505)+SUMIF(Mercado_Receita!$S$2:$S$505,"44531A3AzulNão se aplicaNão se aplicaNão se aplicaNão se aplicaNão se aplica",Mercado_Receita!$L$2:$L$505)+SUMIF(Mercado_Receita!$S$2:$S$505,"44531A3ConvencionalNão se aplicaNão se aplicaNão se aplicaNão se aplicaNão se aplica",Mercado_Receita!$L$2:$L$505)</f>
        <v>1133.4280000000001</v>
      </c>
      <c r="M4" s="13">
        <f>SUMIF(Mercado_Receita!$S$2:$S$505,"44562A3AzulNão se aplicaNão se aplicaNão se aplicaNão se aplicaPonta",Mercado_Receita!$L$2:$L$505)+SUMIF(Mercado_Receita!$S$2:$S$505,"44562A3AzulNão se aplicaNão se aplicaNão se aplicaNão se aplicaFora ponta",Mercado_Receita!$L$2:$L$505)+SUMIF(Mercado_Receita!$S$2:$S$505,"44562A3AzulNão se aplicaNão se aplicaNão se aplicaNão se aplicaIntermediário",Mercado_Receita!$L$2:$L$505)+SUMIF(Mercado_Receita!$S$2:$S$505,"44562A3AzulNão se aplicaNão se aplicaNão se aplicaNão se aplicaNão se aplica",Mercado_Receita!$L$2:$L$505)+SUMIF(Mercado_Receita!$S$2:$S$505,"44562A3ConvencionalNão se aplicaNão se aplicaNão se aplicaNão se aplicaNão se aplica",Mercado_Receita!$L$2:$L$505)</f>
        <v>1505.451</v>
      </c>
      <c r="N4" s="13">
        <f>SUMIF(Mercado_Receita!$S$2:$S$505,"44593A3AzulNão se aplicaNão se aplicaNão se aplicaNão se aplicaPonta",Mercado_Receita!$L$2:$L$505)+SUMIF(Mercado_Receita!$S$2:$S$505,"44593A3AzulNão se aplicaNão se aplicaNão se aplicaNão se aplicaFora ponta",Mercado_Receita!$L$2:$L$505)+SUMIF(Mercado_Receita!$S$2:$S$505,"44593A3AzulNão se aplicaNão se aplicaNão se aplicaNão se aplicaIntermediário",Mercado_Receita!$L$2:$L$505)+SUMIF(Mercado_Receita!$S$2:$S$505,"44593A3AzulNão se aplicaNão se aplicaNão se aplicaNão se aplicaNão se aplica",Mercado_Receita!$L$2:$L$505)+SUMIF(Mercado_Receita!$S$2:$S$505,"44593A3ConvencionalNão se aplicaNão se aplicaNão se aplicaNão se aplicaNão se aplica",Mercado_Receita!$L$2:$L$505)</f>
        <v>1373.9829999999999</v>
      </c>
      <c r="O4" s="13">
        <f>SUMIF(Mercado_Receita!$S$2:$S$505,"44621A3AzulNão se aplicaNão se aplicaNão se aplicaNão se aplicaPonta",Mercado_Receita!$L$2:$L$505)+SUMIF(Mercado_Receita!$S$2:$S$505,"44621A3AzulNão se aplicaNão se aplicaNão se aplicaNão se aplicaFora ponta",Mercado_Receita!$L$2:$L$505)+SUMIF(Mercado_Receita!$S$2:$S$505,"44621A3AzulNão se aplicaNão se aplicaNão se aplicaNão se aplicaIntermediário",Mercado_Receita!$L$2:$L$505)+SUMIF(Mercado_Receita!$S$2:$S$505,"44621A3AzulNão se aplicaNão se aplicaNão se aplicaNão se aplicaNão se aplica",Mercado_Receita!$L$2:$L$505)+SUMIF(Mercado_Receita!$S$2:$S$505,"44621A3ConvencionalNão se aplicaNão se aplicaNão se aplicaNão se aplicaNão se aplica",Mercado_Receita!$L$2:$L$505)</f>
        <v>1051.6590000000001</v>
      </c>
      <c r="P4" s="13">
        <f>SUMIF(Mercado_Receita!$S$2:$S$505,"44652A3AzulNão se aplicaNão se aplicaNão se aplicaNão se aplicaPonta",Mercado_Receita!$L$2:$L$505)+SUMIF(Mercado_Receita!$S$2:$S$505,"44652A3AzulNão se aplicaNão se aplicaNão se aplicaNão se aplicaFora ponta",Mercado_Receita!$L$2:$L$505)+SUMIF(Mercado_Receita!$S$2:$S$505,"44652A3AzulNão se aplicaNão se aplicaNão se aplicaNão se aplicaIntermediário",Mercado_Receita!$L$2:$L$505)+SUMIF(Mercado_Receita!$S$2:$S$505,"44652A3AzulNão se aplicaNão se aplicaNão se aplicaNão se aplicaNão se aplica",Mercado_Receita!$L$2:$L$505)+SUMIF(Mercado_Receita!$S$2:$S$505,"44652A3ConvencionalNão se aplicaNão se aplicaNão se aplicaNão se aplicaNão se aplica",Mercado_Receita!$L$2:$L$505)</f>
        <v>961.88</v>
      </c>
      <c r="Q4" s="13">
        <f>SUMIF(Mercado_Receita!$S$2:$S$505,"44682A3AzulNão se aplicaNão se aplicaNão se aplicaNão se aplicaPonta",Mercado_Receita!$L$2:$L$505)+SUMIF(Mercado_Receita!$S$2:$S$505,"44682A3AzulNão se aplicaNão se aplicaNão se aplicaNão se aplicaFora ponta",Mercado_Receita!$L$2:$L$505)+SUMIF(Mercado_Receita!$S$2:$S$505,"44682A3AzulNão se aplicaNão se aplicaNão se aplicaNão se aplicaIntermediário",Mercado_Receita!$L$2:$L$505)+SUMIF(Mercado_Receita!$S$2:$S$505,"44682A3AzulNão se aplicaNão se aplicaNão se aplicaNão se aplicaNão se aplica",Mercado_Receita!$L$2:$L$505)+SUMIF(Mercado_Receita!$S$2:$S$505,"44682A3ConvencionalNão se aplicaNão se aplicaNão se aplicaNão se aplicaNão se aplica",Mercado_Receita!$L$2:$L$505)</f>
        <v>1190.721</v>
      </c>
      <c r="R4" s="13">
        <f>SUMIF(Mercado_Receita!$S$2:$S$505,"44713A3AzulNão se aplicaNão se aplicaNão se aplicaNão se aplicaPonta",Mercado_Receita!$L$2:$L$505)+SUMIF(Mercado_Receita!$S$2:$S$505,"44713A3AzulNão se aplicaNão se aplicaNão se aplicaNão se aplicaFora ponta",Mercado_Receita!$L$2:$L$505)+SUMIF(Mercado_Receita!$S$2:$S$505,"44713A3AzulNão se aplicaNão se aplicaNão se aplicaNão se aplicaIntermediário",Mercado_Receita!$L$2:$L$505)+SUMIF(Mercado_Receita!$S$2:$S$505,"44713A3AzulNão se aplicaNão se aplicaNão se aplicaNão se aplicaNão se aplica",Mercado_Receita!$L$2:$L$505)+SUMIF(Mercado_Receita!$S$2:$S$505,"44713A3ConvencionalNão se aplicaNão se aplicaNão se aplicaNão se aplicaNão se aplica",Mercado_Receita!$L$2:$L$505)</f>
        <v>862.62400000000002</v>
      </c>
      <c r="S4" s="13">
        <f>SUMIF(Mercado_Receita!$S$2:$S$505,"44743A3AzulNão se aplicaNão se aplicaNão se aplicaNão se aplicaPonta",Mercado_Receita!$L$2:$L$505)+SUMIF(Mercado_Receita!$S$2:$S$505,"44743A3AzulNão se aplicaNão se aplicaNão se aplicaNão se aplicaFora ponta",Mercado_Receita!$L$2:$L$505)+SUMIF(Mercado_Receita!$S$2:$S$505,"44743A3AzulNão se aplicaNão se aplicaNão se aplicaNão se aplicaIntermediário",Mercado_Receita!$L$2:$L$505)+SUMIF(Mercado_Receita!$S$2:$S$505,"44743A3AzulNão se aplicaNão se aplicaNão se aplicaNão se aplicaNão se aplica",Mercado_Receita!$L$2:$L$505)+SUMIF(Mercado_Receita!$S$2:$S$505,"44743A3ConvencionalNão se aplicaNão se aplicaNão se aplicaNão se aplicaNão se aplica",Mercado_Receita!$L$2:$L$505)</f>
        <v>954.11799999999994</v>
      </c>
      <c r="T4" s="13">
        <f>SUMIF(Mercado_Receita!$S$2:$S$505,"44774A3AzulNão se aplicaNão se aplicaNão se aplicaNão se aplicaPonta",Mercado_Receita!$L$2:$L$505)+SUMIF(Mercado_Receita!$S$2:$S$505,"44774A3AzulNão se aplicaNão se aplicaNão se aplicaNão se aplicaFora ponta",Mercado_Receita!$L$2:$L$505)+SUMIF(Mercado_Receita!$S$2:$S$505,"44774A3AzulNão se aplicaNão se aplicaNão se aplicaNão se aplicaIntermediário",Mercado_Receita!$L$2:$L$505)+SUMIF(Mercado_Receita!$S$2:$S$505,"44774A3AzulNão se aplicaNão se aplicaNão se aplicaNão se aplicaNão se aplica",Mercado_Receita!$L$2:$L$505)+SUMIF(Mercado_Receita!$S$2:$S$505,"44774A3ConvencionalNão se aplicaNão se aplicaNão se aplicaNão se aplicaNão se aplica",Mercado_Receita!$L$2:$L$505)</f>
        <v>954.11799999999994</v>
      </c>
      <c r="U4" s="13">
        <f t="shared" si="0"/>
        <v>13359.382</v>
      </c>
      <c r="V4" s="13"/>
      <c r="W4" s="13"/>
    </row>
    <row r="5" spans="1:30" ht="11.25" customHeight="1" x14ac:dyDescent="0.25">
      <c r="A5" s="77"/>
      <c r="B5" s="77"/>
      <c r="C5" s="77"/>
      <c r="D5" s="77"/>
      <c r="E5" s="12" t="s">
        <v>81</v>
      </c>
      <c r="F5" s="12" t="s">
        <v>25</v>
      </c>
      <c r="G5" s="13" t="s">
        <v>80</v>
      </c>
      <c r="H5" s="13" t="s">
        <v>74</v>
      </c>
      <c r="I5" s="13">
        <f>SUMIF(Mercado_Receita!$S$2:$S$505,"44440A3AzulNão se aplicaNão se aplicaAPENão se aplicaPonta",Mercado_Receita!$L$2:$L$505)+SUMIF(Mercado_Receita!$S$2:$S$505,"44440A3AzulNão se aplicaNão se aplicaAPENão se aplicaFora ponta",Mercado_Receita!$L$2:$L$505)+SUMIF(Mercado_Receita!$S$2:$S$505,"44440A3AzulNão se aplicaNão se aplicaAPENão se aplicaIntermediário",Mercado_Receita!$L$2:$L$505)+SUMIF(Mercado_Receita!$S$2:$S$505,"44440A3AzulNão se aplicaNão se aplicaAPENão se aplicaNão se aplica",Mercado_Receita!$L$2:$L$505)+SUMIF(Mercado_Receita!$S$2:$S$505,"44440A3ConvencionalNão se aplicaNão se aplicaAPENão se aplicaNão se aplica",Mercado_Receita!$L$2:$L$505)</f>
        <v>0</v>
      </c>
      <c r="J5" s="13">
        <f>SUMIF(Mercado_Receita!$S$2:$S$505,"44470A3AzulNão se aplicaNão se aplicaAPENão se aplicaPonta",Mercado_Receita!$L$2:$L$505)+SUMIF(Mercado_Receita!$S$2:$S$505,"44470A3AzulNão se aplicaNão se aplicaAPENão se aplicaFora ponta",Mercado_Receita!$L$2:$L$505)+SUMIF(Mercado_Receita!$S$2:$S$505,"44470A3AzulNão se aplicaNão se aplicaAPENão se aplicaIntermediário",Mercado_Receita!$L$2:$L$505)+SUMIF(Mercado_Receita!$S$2:$S$505,"44470A3AzulNão se aplicaNão se aplicaAPENão se aplicaNão se aplica",Mercado_Receita!$L$2:$L$505)+SUMIF(Mercado_Receita!$S$2:$S$505,"44470A3ConvencionalNão se aplicaNão se aplicaAPENão se aplicaNão se aplica",Mercado_Receita!$L$2:$L$505)</f>
        <v>0</v>
      </c>
      <c r="K5" s="13">
        <f>SUMIF(Mercado_Receita!$S$2:$S$505,"44501A3AzulNão se aplicaNão se aplicaAPENão se aplicaPonta",Mercado_Receita!$L$2:$L$505)+SUMIF(Mercado_Receita!$S$2:$S$505,"44501A3AzulNão se aplicaNão se aplicaAPENão se aplicaFora ponta",Mercado_Receita!$L$2:$L$505)+SUMIF(Mercado_Receita!$S$2:$S$505,"44501A3AzulNão se aplicaNão se aplicaAPENão se aplicaIntermediário",Mercado_Receita!$L$2:$L$505)+SUMIF(Mercado_Receita!$S$2:$S$505,"44501A3AzulNão se aplicaNão se aplicaAPENão se aplicaNão se aplica",Mercado_Receita!$L$2:$L$505)+SUMIF(Mercado_Receita!$S$2:$S$505,"44501A3ConvencionalNão se aplicaNão se aplicaAPENão se aplicaNão se aplica",Mercado_Receita!$L$2:$L$505)</f>
        <v>0</v>
      </c>
      <c r="L5" s="13">
        <f>SUMIF(Mercado_Receita!$S$2:$S$505,"44531A3AzulNão se aplicaNão se aplicaAPENão se aplicaPonta",Mercado_Receita!$L$2:$L$505)+SUMIF(Mercado_Receita!$S$2:$S$505,"44531A3AzulNão se aplicaNão se aplicaAPENão se aplicaFora ponta",Mercado_Receita!$L$2:$L$505)+SUMIF(Mercado_Receita!$S$2:$S$505,"44531A3AzulNão se aplicaNão se aplicaAPENão se aplicaIntermediário",Mercado_Receita!$L$2:$L$505)+SUMIF(Mercado_Receita!$S$2:$S$505,"44531A3AzulNão se aplicaNão se aplicaAPENão se aplicaNão se aplica",Mercado_Receita!$L$2:$L$505)+SUMIF(Mercado_Receita!$S$2:$S$505,"44531A3ConvencionalNão se aplicaNão se aplicaAPENão se aplicaNão se aplica",Mercado_Receita!$L$2:$L$505)</f>
        <v>0</v>
      </c>
      <c r="M5" s="13">
        <f>SUMIF(Mercado_Receita!$S$2:$S$505,"44562A3AzulNão se aplicaNão se aplicaAPENão se aplicaPonta",Mercado_Receita!$L$2:$L$505)+SUMIF(Mercado_Receita!$S$2:$S$505,"44562A3AzulNão se aplicaNão se aplicaAPENão se aplicaFora ponta",Mercado_Receita!$L$2:$L$505)+SUMIF(Mercado_Receita!$S$2:$S$505,"44562A3AzulNão se aplicaNão se aplicaAPENão se aplicaIntermediário",Mercado_Receita!$L$2:$L$505)+SUMIF(Mercado_Receita!$S$2:$S$505,"44562A3AzulNão se aplicaNão se aplicaAPENão se aplicaNão se aplica",Mercado_Receita!$L$2:$L$505)+SUMIF(Mercado_Receita!$S$2:$S$505,"44562A3ConvencionalNão se aplicaNão se aplicaAPENão se aplicaNão se aplica",Mercado_Receita!$L$2:$L$505)</f>
        <v>0</v>
      </c>
      <c r="N5" s="13">
        <f>SUMIF(Mercado_Receita!$S$2:$S$505,"44593A3AzulNão se aplicaNão se aplicaAPENão se aplicaPonta",Mercado_Receita!$L$2:$L$505)+SUMIF(Mercado_Receita!$S$2:$S$505,"44593A3AzulNão se aplicaNão se aplicaAPENão se aplicaFora ponta",Mercado_Receita!$L$2:$L$505)+SUMIF(Mercado_Receita!$S$2:$S$505,"44593A3AzulNão se aplicaNão se aplicaAPENão se aplicaIntermediário",Mercado_Receita!$L$2:$L$505)+SUMIF(Mercado_Receita!$S$2:$S$505,"44593A3AzulNão se aplicaNão se aplicaAPENão se aplicaNão se aplica",Mercado_Receita!$L$2:$L$505)+SUMIF(Mercado_Receita!$S$2:$S$505,"44593A3ConvencionalNão se aplicaNão se aplicaAPENão se aplicaNão se aplica",Mercado_Receita!$L$2:$L$505)</f>
        <v>0</v>
      </c>
      <c r="O5" s="13">
        <f>SUMIF(Mercado_Receita!$S$2:$S$505,"44621A3AzulNão se aplicaNão se aplicaAPENão se aplicaPonta",Mercado_Receita!$L$2:$L$505)+SUMIF(Mercado_Receita!$S$2:$S$505,"44621A3AzulNão se aplicaNão se aplicaAPENão se aplicaFora ponta",Mercado_Receita!$L$2:$L$505)+SUMIF(Mercado_Receita!$S$2:$S$505,"44621A3AzulNão se aplicaNão se aplicaAPENão se aplicaIntermediário",Mercado_Receita!$L$2:$L$505)+SUMIF(Mercado_Receita!$S$2:$S$505,"44621A3AzulNão se aplicaNão se aplicaAPENão se aplicaNão se aplica",Mercado_Receita!$L$2:$L$505)+SUMIF(Mercado_Receita!$S$2:$S$505,"44621A3ConvencionalNão se aplicaNão se aplicaAPENão se aplicaNão se aplica",Mercado_Receita!$L$2:$L$505)</f>
        <v>0</v>
      </c>
      <c r="P5" s="13">
        <f>SUMIF(Mercado_Receita!$S$2:$S$505,"44652A3AzulNão se aplicaNão se aplicaAPENão se aplicaPonta",Mercado_Receita!$L$2:$L$505)+SUMIF(Mercado_Receita!$S$2:$S$505,"44652A3AzulNão se aplicaNão se aplicaAPENão se aplicaFora ponta",Mercado_Receita!$L$2:$L$505)+SUMIF(Mercado_Receita!$S$2:$S$505,"44652A3AzulNão se aplicaNão se aplicaAPENão se aplicaIntermediário",Mercado_Receita!$L$2:$L$505)+SUMIF(Mercado_Receita!$S$2:$S$505,"44652A3AzulNão se aplicaNão se aplicaAPENão se aplicaNão se aplica",Mercado_Receita!$L$2:$L$505)+SUMIF(Mercado_Receita!$S$2:$S$505,"44652A3ConvencionalNão se aplicaNão se aplicaAPENão se aplicaNão se aplica",Mercado_Receita!$L$2:$L$505)</f>
        <v>0</v>
      </c>
      <c r="Q5" s="13">
        <f>SUMIF(Mercado_Receita!$S$2:$S$505,"44682A3AzulNão se aplicaNão se aplicaAPENão se aplicaPonta",Mercado_Receita!$L$2:$L$505)+SUMIF(Mercado_Receita!$S$2:$S$505,"44682A3AzulNão se aplicaNão se aplicaAPENão se aplicaFora ponta",Mercado_Receita!$L$2:$L$505)+SUMIF(Mercado_Receita!$S$2:$S$505,"44682A3AzulNão se aplicaNão se aplicaAPENão se aplicaIntermediário",Mercado_Receita!$L$2:$L$505)+SUMIF(Mercado_Receita!$S$2:$S$505,"44682A3AzulNão se aplicaNão se aplicaAPENão se aplicaNão se aplica",Mercado_Receita!$L$2:$L$505)+SUMIF(Mercado_Receita!$S$2:$S$505,"44682A3ConvencionalNão se aplicaNão se aplicaAPENão se aplicaNão se aplica",Mercado_Receita!$L$2:$L$505)</f>
        <v>0</v>
      </c>
      <c r="R5" s="13">
        <f>SUMIF(Mercado_Receita!$S$2:$S$505,"44713A3AzulNão se aplicaNão se aplicaAPENão se aplicaPonta",Mercado_Receita!$L$2:$L$505)+SUMIF(Mercado_Receita!$S$2:$S$505,"44713A3AzulNão se aplicaNão se aplicaAPENão se aplicaFora ponta",Mercado_Receita!$L$2:$L$505)+SUMIF(Mercado_Receita!$S$2:$S$505,"44713A3AzulNão se aplicaNão se aplicaAPENão se aplicaIntermediário",Mercado_Receita!$L$2:$L$505)+SUMIF(Mercado_Receita!$S$2:$S$505,"44713A3AzulNão se aplicaNão se aplicaAPENão se aplicaNão se aplica",Mercado_Receita!$L$2:$L$505)+SUMIF(Mercado_Receita!$S$2:$S$505,"44713A3ConvencionalNão se aplicaNão se aplicaAPENão se aplicaNão se aplica",Mercado_Receita!$L$2:$L$505)</f>
        <v>0</v>
      </c>
      <c r="S5" s="13">
        <f>SUMIF(Mercado_Receita!$S$2:$S$505,"44743A3AzulNão se aplicaNão se aplicaAPENão se aplicaPonta",Mercado_Receita!$L$2:$L$505)+SUMIF(Mercado_Receita!$S$2:$S$505,"44743A3AzulNão se aplicaNão se aplicaAPENão se aplicaFora ponta",Mercado_Receita!$L$2:$L$505)+SUMIF(Mercado_Receita!$S$2:$S$505,"44743A3AzulNão se aplicaNão se aplicaAPENão se aplicaIntermediário",Mercado_Receita!$L$2:$L$505)+SUMIF(Mercado_Receita!$S$2:$S$505,"44743A3AzulNão se aplicaNão se aplicaAPENão se aplicaNão se aplica",Mercado_Receita!$L$2:$L$505)+SUMIF(Mercado_Receita!$S$2:$S$505,"44743A3ConvencionalNão se aplicaNão se aplicaAPENão se aplicaNão se aplica",Mercado_Receita!$L$2:$L$505)</f>
        <v>0</v>
      </c>
      <c r="T5" s="13">
        <f>SUMIF(Mercado_Receita!$S$2:$S$505,"44774A3AzulNão se aplicaNão se aplicaAPENão se aplicaPonta",Mercado_Receita!$L$2:$L$505)+SUMIF(Mercado_Receita!$S$2:$S$505,"44774A3AzulNão se aplicaNão se aplicaAPENão se aplicaFora ponta",Mercado_Receita!$L$2:$L$505)+SUMIF(Mercado_Receita!$S$2:$S$505,"44774A3AzulNão se aplicaNão se aplicaAPENão se aplicaIntermediário",Mercado_Receita!$L$2:$L$505)+SUMIF(Mercado_Receita!$S$2:$S$505,"44774A3AzulNão se aplicaNão se aplicaAPENão se aplicaNão se aplica",Mercado_Receita!$L$2:$L$505)+SUMIF(Mercado_Receita!$S$2:$S$505,"44774A3ConvencionalNão se aplicaNão se aplicaAPENão se aplicaNão se aplica",Mercado_Receita!$L$2:$L$505)</f>
        <v>0</v>
      </c>
      <c r="U5" s="13">
        <f t="shared" si="0"/>
        <v>0</v>
      </c>
      <c r="V5" s="13"/>
      <c r="W5" s="13"/>
    </row>
    <row r="6" spans="1:30" ht="11.25" customHeight="1" x14ac:dyDescent="0.25">
      <c r="A6" s="76" t="s">
        <v>39</v>
      </c>
      <c r="B6" s="76" t="s">
        <v>36</v>
      </c>
      <c r="C6" s="76" t="s">
        <v>25</v>
      </c>
      <c r="D6" s="76" t="s">
        <v>25</v>
      </c>
      <c r="E6" s="76" t="s">
        <v>25</v>
      </c>
      <c r="F6" s="76" t="s">
        <v>25</v>
      </c>
      <c r="G6" s="13" t="s">
        <v>78</v>
      </c>
      <c r="H6" s="13" t="s">
        <v>77</v>
      </c>
      <c r="I6" s="13">
        <f>SUMIF(Mercado_Receita!$S$2:$S$505,"44440A4AzulNão se aplicaNão se aplicaNão se aplicaNão se aplicaPonta",Mercado_Receita!$J$2:$J$505)+SUMIF(Mercado_Receita!$S$2:$S$505,"44440A4AzulNão se aplicaNão se aplicaAPENão se aplicaPonta",Mercado_Receita!$J$2:$J$505)</f>
        <v>6457</v>
      </c>
      <c r="J6" s="13">
        <f>SUMIF(Mercado_Receita!$S$2:$S$505,"44470A4AzulNão se aplicaNão se aplicaNão se aplicaNão se aplicaPonta",Mercado_Receita!$J$2:$J$505)+SUMIF(Mercado_Receita!$S$2:$S$505,"44470A4AzulNão se aplicaNão se aplicaAPENão se aplicaPonta",Mercado_Receita!$J$2:$J$505)</f>
        <v>6353</v>
      </c>
      <c r="K6" s="13">
        <f>SUMIF(Mercado_Receita!$S$2:$S$505,"44501A4AzulNão se aplicaNão se aplicaNão se aplicaNão se aplicaPonta",Mercado_Receita!$J$2:$J$505)+SUMIF(Mercado_Receita!$S$2:$S$505,"44501A4AzulNão se aplicaNão se aplicaAPENão se aplicaPonta",Mercado_Receita!$J$2:$J$505)</f>
        <v>6523</v>
      </c>
      <c r="L6" s="13">
        <f>SUMIF(Mercado_Receita!$S$2:$S$505,"44531A4AzulNão se aplicaNão se aplicaNão se aplicaNão se aplicaPonta",Mercado_Receita!$J$2:$J$505)+SUMIF(Mercado_Receita!$S$2:$S$505,"44531A4AzulNão se aplicaNão se aplicaAPENão se aplicaPonta",Mercado_Receita!$J$2:$J$505)</f>
        <v>6353</v>
      </c>
      <c r="M6" s="13">
        <f>SUMIF(Mercado_Receita!$S$2:$S$505,"44562A4AzulNão se aplicaNão se aplicaNão se aplicaNão se aplicaPonta",Mercado_Receita!$J$2:$J$505)+SUMIF(Mercado_Receita!$S$2:$S$505,"44562A4AzulNão se aplicaNão se aplicaAPENão se aplicaPonta",Mercado_Receita!$J$2:$J$505)</f>
        <v>6576</v>
      </c>
      <c r="N6" s="13">
        <f>SUMIF(Mercado_Receita!$S$2:$S$505,"44593A4AzulNão se aplicaNão se aplicaNão se aplicaNão se aplicaPonta",Mercado_Receita!$J$2:$J$505)+SUMIF(Mercado_Receita!$S$2:$S$505,"44593A4AzulNão se aplicaNão se aplicaAPENão se aplicaPonta",Mercado_Receita!$J$2:$J$505)</f>
        <v>6561</v>
      </c>
      <c r="O6" s="13">
        <f>SUMIF(Mercado_Receita!$S$2:$S$505,"44621A4AzulNão se aplicaNão se aplicaNão se aplicaNão se aplicaPonta",Mercado_Receita!$J$2:$J$505)+SUMIF(Mercado_Receita!$S$2:$S$505,"44621A4AzulNão se aplicaNão se aplicaAPENão se aplicaPonta",Mercado_Receita!$J$2:$J$505)</f>
        <v>6591</v>
      </c>
      <c r="P6" s="13">
        <f>SUMIF(Mercado_Receita!$S$2:$S$505,"44652A4AzulNão se aplicaNão se aplicaNão se aplicaNão se aplicaPonta",Mercado_Receita!$J$2:$J$505)+SUMIF(Mercado_Receita!$S$2:$S$505,"44652A4AzulNão se aplicaNão se aplicaAPENão se aplicaPonta",Mercado_Receita!$J$2:$J$505)</f>
        <v>6551</v>
      </c>
      <c r="Q6" s="13">
        <f>SUMIF(Mercado_Receita!$S$2:$S$505,"44682A4AzulNão se aplicaNão se aplicaNão se aplicaNão se aplicaPonta",Mercado_Receita!$J$2:$J$505)+SUMIF(Mercado_Receita!$S$2:$S$505,"44682A4AzulNão se aplicaNão se aplicaAPENão se aplicaPonta",Mercado_Receita!$J$2:$J$505)</f>
        <v>6558</v>
      </c>
      <c r="R6" s="13">
        <f>SUMIF(Mercado_Receita!$S$2:$S$505,"44713A4AzulNão se aplicaNão se aplicaNão se aplicaNão se aplicaPonta",Mercado_Receita!$J$2:$J$505)+SUMIF(Mercado_Receita!$S$2:$S$505,"44713A4AzulNão se aplicaNão se aplicaAPENão se aplicaPonta",Mercado_Receita!$J$2:$J$505)</f>
        <v>6447</v>
      </c>
      <c r="S6" s="13">
        <f>SUMIF(Mercado_Receita!$S$2:$S$505,"44743A4AzulNão se aplicaNão se aplicaNão se aplicaNão se aplicaPonta",Mercado_Receita!$J$2:$J$505)+SUMIF(Mercado_Receita!$S$2:$S$505,"44743A4AzulNão se aplicaNão se aplicaAPENão se aplicaPonta",Mercado_Receita!$J$2:$J$505)</f>
        <v>6653</v>
      </c>
      <c r="T6" s="13">
        <f>SUMIF(Mercado_Receita!$S$2:$S$505,"44774A4AzulNão se aplicaNão se aplicaNão se aplicaNão se aplicaPonta",Mercado_Receita!$J$2:$J$505)+SUMIF(Mercado_Receita!$S$2:$S$505,"44774A4AzulNão se aplicaNão se aplicaAPENão se aplicaPonta",Mercado_Receita!$J$2:$J$505)</f>
        <v>6653</v>
      </c>
      <c r="U6" s="13">
        <f t="shared" si="0"/>
        <v>78276</v>
      </c>
      <c r="V6" s="13"/>
      <c r="W6" s="13"/>
    </row>
    <row r="7" spans="1:30" ht="11.25" customHeight="1" x14ac:dyDescent="0.25">
      <c r="A7" s="77"/>
      <c r="B7" s="77"/>
      <c r="C7" s="77"/>
      <c r="D7" s="77"/>
      <c r="E7" s="77"/>
      <c r="F7" s="77"/>
      <c r="G7" s="13" t="s">
        <v>79</v>
      </c>
      <c r="H7" s="13" t="s">
        <v>77</v>
      </c>
      <c r="I7" s="13">
        <f>SUMIF(Mercado_Receita!$S$2:$S$505,"44440A4AzulNão se aplicaNão se aplicaNão se aplicaNão se aplicaFora ponta",Mercado_Receita!$J$2:$J$505)+SUMIF(Mercado_Receita!$S$2:$S$505,"44440A4AzulNão se aplicaNão se aplicaAPENão se aplicaFora ponta",Mercado_Receita!$J$2:$J$505)</f>
        <v>6555</v>
      </c>
      <c r="J7" s="13">
        <f>SUMIF(Mercado_Receita!$S$2:$S$505,"44470A4AzulNão se aplicaNão se aplicaNão se aplicaNão se aplicaFora ponta",Mercado_Receita!$J$2:$J$505)+SUMIF(Mercado_Receita!$S$2:$S$505,"44470A4AzulNão se aplicaNão se aplicaAPENão se aplicaFora ponta",Mercado_Receita!$J$2:$J$505)</f>
        <v>6535</v>
      </c>
      <c r="K7" s="13">
        <f>SUMIF(Mercado_Receita!$S$2:$S$505,"44501A4AzulNão se aplicaNão se aplicaNão se aplicaNão se aplicaFora ponta",Mercado_Receita!$J$2:$J$505)+SUMIF(Mercado_Receita!$S$2:$S$505,"44501A4AzulNão se aplicaNão se aplicaAPENão se aplicaFora ponta",Mercado_Receita!$J$2:$J$505)</f>
        <v>6723</v>
      </c>
      <c r="L7" s="13">
        <f>SUMIF(Mercado_Receita!$S$2:$S$505,"44531A4AzulNão se aplicaNão se aplicaNão se aplicaNão se aplicaFora ponta",Mercado_Receita!$J$2:$J$505)+SUMIF(Mercado_Receita!$S$2:$S$505,"44531A4AzulNão se aplicaNão se aplicaAPENão se aplicaFora ponta",Mercado_Receita!$J$2:$J$505)</f>
        <v>6703</v>
      </c>
      <c r="M7" s="13">
        <f>SUMIF(Mercado_Receita!$S$2:$S$505,"44562A4AzulNão se aplicaNão se aplicaNão se aplicaNão se aplicaFora ponta",Mercado_Receita!$J$2:$J$505)+SUMIF(Mercado_Receita!$S$2:$S$505,"44562A4AzulNão se aplicaNão se aplicaAPENão se aplicaFora ponta",Mercado_Receita!$J$2:$J$505)</f>
        <v>6764</v>
      </c>
      <c r="N7" s="13">
        <f>SUMIF(Mercado_Receita!$S$2:$S$505,"44593A4AzulNão se aplicaNão se aplicaNão se aplicaNão se aplicaFora ponta",Mercado_Receita!$J$2:$J$505)+SUMIF(Mercado_Receita!$S$2:$S$505,"44593A4AzulNão se aplicaNão se aplicaAPENão se aplicaFora ponta",Mercado_Receita!$J$2:$J$505)</f>
        <v>6737</v>
      </c>
      <c r="O7" s="13">
        <f>SUMIF(Mercado_Receita!$S$2:$S$505,"44621A4AzulNão se aplicaNão se aplicaNão se aplicaNão se aplicaFora ponta",Mercado_Receita!$J$2:$J$505)+SUMIF(Mercado_Receita!$S$2:$S$505,"44621A4AzulNão se aplicaNão se aplicaAPENão se aplicaFora ponta",Mercado_Receita!$J$2:$J$505)</f>
        <v>7080</v>
      </c>
      <c r="P7" s="13">
        <f>SUMIF(Mercado_Receita!$S$2:$S$505,"44652A4AzulNão se aplicaNão se aplicaNão se aplicaNão se aplicaFora ponta",Mercado_Receita!$J$2:$J$505)+SUMIF(Mercado_Receita!$S$2:$S$505,"44652A4AzulNão se aplicaNão se aplicaAPENão se aplicaFora ponta",Mercado_Receita!$J$2:$J$505)</f>
        <v>6697</v>
      </c>
      <c r="Q7" s="13">
        <f>SUMIF(Mercado_Receita!$S$2:$S$505,"44682A4AzulNão se aplicaNão se aplicaNão se aplicaNão se aplicaFora ponta",Mercado_Receita!$J$2:$J$505)+SUMIF(Mercado_Receita!$S$2:$S$505,"44682A4AzulNão se aplicaNão se aplicaAPENão se aplicaFora ponta",Mercado_Receita!$J$2:$J$505)</f>
        <v>6592</v>
      </c>
      <c r="R7" s="13">
        <f>SUMIF(Mercado_Receita!$S$2:$S$505,"44713A4AzulNão se aplicaNão se aplicaNão se aplicaNão se aplicaFora ponta",Mercado_Receita!$J$2:$J$505)+SUMIF(Mercado_Receita!$S$2:$S$505,"44713A4AzulNão se aplicaNão se aplicaAPENão se aplicaFora ponta",Mercado_Receita!$J$2:$J$505)</f>
        <v>6605</v>
      </c>
      <c r="S7" s="13">
        <f>SUMIF(Mercado_Receita!$S$2:$S$505,"44743A4AzulNão se aplicaNão se aplicaNão se aplicaNão se aplicaFora ponta",Mercado_Receita!$J$2:$J$505)+SUMIF(Mercado_Receita!$S$2:$S$505,"44743A4AzulNão se aplicaNão se aplicaAPENão se aplicaFora ponta",Mercado_Receita!$J$2:$J$505)</f>
        <v>6706</v>
      </c>
      <c r="T7" s="13">
        <f>SUMIF(Mercado_Receita!$S$2:$S$505,"44774A4AzulNão se aplicaNão se aplicaNão se aplicaNão se aplicaFora ponta",Mercado_Receita!$J$2:$J$505)+SUMIF(Mercado_Receita!$S$2:$S$505,"44774A4AzulNão se aplicaNão se aplicaAPENão se aplicaFora ponta",Mercado_Receita!$J$2:$J$505)</f>
        <v>6706</v>
      </c>
      <c r="U7" s="13">
        <f t="shared" si="0"/>
        <v>80403</v>
      </c>
      <c r="V7" s="13"/>
      <c r="W7" s="13"/>
    </row>
    <row r="8" spans="1:30" ht="11.25" customHeight="1" x14ac:dyDescent="0.25">
      <c r="A8" s="77"/>
      <c r="B8" s="77"/>
      <c r="C8" s="77"/>
      <c r="D8" s="77"/>
      <c r="E8" s="77"/>
      <c r="F8" s="77"/>
      <c r="G8" s="13" t="s">
        <v>80</v>
      </c>
      <c r="H8" s="13" t="s">
        <v>74</v>
      </c>
      <c r="I8" s="13">
        <f>SUMIF(Mercado_Receita!$S$2:$S$505,"44440A4AzulNão se aplicaNão se aplicaNão se aplicaNão se aplicaPonta",Mercado_Receita!$L$2:$L$505)+SUMIF(Mercado_Receita!$S$2:$S$505,"44440A4AzulNão se aplicaNão se aplicaNão se aplicaNão se aplicaFora ponta",Mercado_Receita!$L$2:$L$505)+SUMIF(Mercado_Receita!$S$2:$S$505,"44440A4AzulNão se aplicaNão se aplicaNão se aplicaNão se aplicaIntermediário",Mercado_Receita!$L$2:$L$505)+SUMIF(Mercado_Receita!$S$2:$S$505,"44440A4AzulNão se aplicaNão se aplicaNão se aplicaNão se aplicaNão se aplica",Mercado_Receita!$L$2:$L$505)</f>
        <v>3471.0260000000003</v>
      </c>
      <c r="J8" s="13">
        <f>SUMIF(Mercado_Receita!$S$2:$S$505,"44470A4AzulNão se aplicaNão se aplicaNão se aplicaNão se aplicaPonta",Mercado_Receita!$L$2:$L$505)+SUMIF(Mercado_Receita!$S$2:$S$505,"44470A4AzulNão se aplicaNão se aplicaNão se aplicaNão se aplicaFora ponta",Mercado_Receita!$L$2:$L$505)+SUMIF(Mercado_Receita!$S$2:$S$505,"44470A4AzulNão se aplicaNão se aplicaNão se aplicaNão se aplicaIntermediário",Mercado_Receita!$L$2:$L$505)+SUMIF(Mercado_Receita!$S$2:$S$505,"44470A4AzulNão se aplicaNão se aplicaNão se aplicaNão se aplicaNão se aplica",Mercado_Receita!$L$2:$L$505)</f>
        <v>3344.3650000000002</v>
      </c>
      <c r="K8" s="13">
        <f>SUMIF(Mercado_Receita!$S$2:$S$505,"44501A4AzulNão se aplicaNão se aplicaNão se aplicaNão se aplicaPonta",Mercado_Receita!$L$2:$L$505)+SUMIF(Mercado_Receita!$S$2:$S$505,"44501A4AzulNão se aplicaNão se aplicaNão se aplicaNão se aplicaFora ponta",Mercado_Receita!$L$2:$L$505)+SUMIF(Mercado_Receita!$S$2:$S$505,"44501A4AzulNão se aplicaNão se aplicaNão se aplicaNão se aplicaIntermediário",Mercado_Receita!$L$2:$L$505)+SUMIF(Mercado_Receita!$S$2:$S$505,"44501A4AzulNão se aplicaNão se aplicaNão se aplicaNão se aplicaNão se aplica",Mercado_Receita!$L$2:$L$505)</f>
        <v>3556.2750000000001</v>
      </c>
      <c r="L8" s="13">
        <f>SUMIF(Mercado_Receita!$S$2:$S$505,"44531A4AzulNão se aplicaNão se aplicaNão se aplicaNão se aplicaPonta",Mercado_Receita!$L$2:$L$505)+SUMIF(Mercado_Receita!$S$2:$S$505,"44531A4AzulNão se aplicaNão se aplicaNão se aplicaNão se aplicaFora ponta",Mercado_Receita!$L$2:$L$505)+SUMIF(Mercado_Receita!$S$2:$S$505,"44531A4AzulNão se aplicaNão se aplicaNão se aplicaNão se aplicaIntermediário",Mercado_Receita!$L$2:$L$505)+SUMIF(Mercado_Receita!$S$2:$S$505,"44531A4AzulNão se aplicaNão se aplicaNão se aplicaNão se aplicaNão se aplica",Mercado_Receita!$L$2:$L$505)</f>
        <v>3568.3810000000003</v>
      </c>
      <c r="M8" s="13">
        <f>SUMIF(Mercado_Receita!$S$2:$S$505,"44562A4AzulNão se aplicaNão se aplicaNão se aplicaNão se aplicaPonta",Mercado_Receita!$L$2:$L$505)+SUMIF(Mercado_Receita!$S$2:$S$505,"44562A4AzulNão se aplicaNão se aplicaNão se aplicaNão se aplicaFora ponta",Mercado_Receita!$L$2:$L$505)+SUMIF(Mercado_Receita!$S$2:$S$505,"44562A4AzulNão se aplicaNão se aplicaNão se aplicaNão se aplicaIntermediário",Mercado_Receita!$L$2:$L$505)+SUMIF(Mercado_Receita!$S$2:$S$505,"44562A4AzulNão se aplicaNão se aplicaNão se aplicaNão se aplicaNão se aplica",Mercado_Receita!$L$2:$L$505)</f>
        <v>3707.9969999999998</v>
      </c>
      <c r="N8" s="13">
        <f>SUMIF(Mercado_Receita!$S$2:$S$505,"44593A4AzulNão se aplicaNão se aplicaNão se aplicaNão se aplicaPonta",Mercado_Receita!$L$2:$L$505)+SUMIF(Mercado_Receita!$S$2:$S$505,"44593A4AzulNão se aplicaNão se aplicaNão se aplicaNão se aplicaFora ponta",Mercado_Receita!$L$2:$L$505)+SUMIF(Mercado_Receita!$S$2:$S$505,"44593A4AzulNão se aplicaNão se aplicaNão se aplicaNão se aplicaIntermediário",Mercado_Receita!$L$2:$L$505)+SUMIF(Mercado_Receita!$S$2:$S$505,"44593A4AzulNão se aplicaNão se aplicaNão se aplicaNão se aplicaNão se aplica",Mercado_Receita!$L$2:$L$505)</f>
        <v>3488.991</v>
      </c>
      <c r="O8" s="13">
        <f>SUMIF(Mercado_Receita!$S$2:$S$505,"44621A4AzulNão se aplicaNão se aplicaNão se aplicaNão se aplicaPonta",Mercado_Receita!$L$2:$L$505)+SUMIF(Mercado_Receita!$S$2:$S$505,"44621A4AzulNão se aplicaNão se aplicaNão se aplicaNão se aplicaFora ponta",Mercado_Receita!$L$2:$L$505)+SUMIF(Mercado_Receita!$S$2:$S$505,"44621A4AzulNão se aplicaNão se aplicaNão se aplicaNão se aplicaIntermediário",Mercado_Receita!$L$2:$L$505)+SUMIF(Mercado_Receita!$S$2:$S$505,"44621A4AzulNão se aplicaNão se aplicaNão se aplicaNão se aplicaNão se aplica",Mercado_Receita!$L$2:$L$505)</f>
        <v>3920.5069999999996</v>
      </c>
      <c r="P8" s="13">
        <f>SUMIF(Mercado_Receita!$S$2:$S$505,"44652A4AzulNão se aplicaNão se aplicaNão se aplicaNão se aplicaPonta",Mercado_Receita!$L$2:$L$505)+SUMIF(Mercado_Receita!$S$2:$S$505,"44652A4AzulNão se aplicaNão se aplicaNão se aplicaNão se aplicaFora ponta",Mercado_Receita!$L$2:$L$505)+SUMIF(Mercado_Receita!$S$2:$S$505,"44652A4AzulNão se aplicaNão se aplicaNão se aplicaNão se aplicaIntermediário",Mercado_Receita!$L$2:$L$505)+SUMIF(Mercado_Receita!$S$2:$S$505,"44652A4AzulNão se aplicaNão se aplicaNão se aplicaNão se aplicaNão se aplica",Mercado_Receita!$L$2:$L$505)</f>
        <v>3323.1</v>
      </c>
      <c r="Q8" s="13">
        <f>SUMIF(Mercado_Receita!$S$2:$S$505,"44682A4AzulNão se aplicaNão se aplicaNão se aplicaNão se aplicaPonta",Mercado_Receita!$L$2:$L$505)+SUMIF(Mercado_Receita!$S$2:$S$505,"44682A4AzulNão se aplicaNão se aplicaNão se aplicaNão se aplicaFora ponta",Mercado_Receita!$L$2:$L$505)+SUMIF(Mercado_Receita!$S$2:$S$505,"44682A4AzulNão se aplicaNão se aplicaNão se aplicaNão se aplicaIntermediário",Mercado_Receita!$L$2:$L$505)+SUMIF(Mercado_Receita!$S$2:$S$505,"44682A4AzulNão se aplicaNão se aplicaNão se aplicaNão se aplicaNão se aplica",Mercado_Receita!$L$2:$L$505)</f>
        <v>3540.4880000000003</v>
      </c>
      <c r="R8" s="13">
        <f>SUMIF(Mercado_Receita!$S$2:$S$505,"44713A4AzulNão se aplicaNão se aplicaNão se aplicaNão se aplicaPonta",Mercado_Receita!$L$2:$L$505)+SUMIF(Mercado_Receita!$S$2:$S$505,"44713A4AzulNão se aplicaNão se aplicaNão se aplicaNão se aplicaFora ponta",Mercado_Receita!$L$2:$L$505)+SUMIF(Mercado_Receita!$S$2:$S$505,"44713A4AzulNão se aplicaNão se aplicaNão se aplicaNão se aplicaIntermediário",Mercado_Receita!$L$2:$L$505)+SUMIF(Mercado_Receita!$S$2:$S$505,"44713A4AzulNão se aplicaNão se aplicaNão se aplicaNão se aplicaNão se aplica",Mercado_Receita!$L$2:$L$505)</f>
        <v>3266.8710000000001</v>
      </c>
      <c r="S8" s="13">
        <f>SUMIF(Mercado_Receita!$S$2:$S$505,"44743A4AzulNão se aplicaNão se aplicaNão se aplicaNão se aplicaPonta",Mercado_Receita!$L$2:$L$505)+SUMIF(Mercado_Receita!$S$2:$S$505,"44743A4AzulNão se aplicaNão se aplicaNão se aplicaNão se aplicaFora ponta",Mercado_Receita!$L$2:$L$505)+SUMIF(Mercado_Receita!$S$2:$S$505,"44743A4AzulNão se aplicaNão se aplicaNão se aplicaNão se aplicaIntermediário",Mercado_Receita!$L$2:$L$505)+SUMIF(Mercado_Receita!$S$2:$S$505,"44743A4AzulNão se aplicaNão se aplicaNão se aplicaNão se aplicaNão se aplica",Mercado_Receita!$L$2:$L$505)</f>
        <v>3649.6350000000002</v>
      </c>
      <c r="T8" s="13">
        <f>SUMIF(Mercado_Receita!$S$2:$S$505,"44774A4AzulNão se aplicaNão se aplicaNão se aplicaNão se aplicaPonta",Mercado_Receita!$L$2:$L$505)+SUMIF(Mercado_Receita!$S$2:$S$505,"44774A4AzulNão se aplicaNão se aplicaNão se aplicaNão se aplicaFora ponta",Mercado_Receita!$L$2:$L$505)+SUMIF(Mercado_Receita!$S$2:$S$505,"44774A4AzulNão se aplicaNão se aplicaNão se aplicaNão se aplicaIntermediário",Mercado_Receita!$L$2:$L$505)+SUMIF(Mercado_Receita!$S$2:$S$505,"44774A4AzulNão se aplicaNão se aplicaNão se aplicaNão se aplicaNão se aplica",Mercado_Receita!$L$2:$L$505)</f>
        <v>3649.6350000000002</v>
      </c>
      <c r="U8" s="13">
        <f t="shared" si="0"/>
        <v>42487.271000000008</v>
      </c>
      <c r="V8" s="13"/>
      <c r="W8" s="13"/>
    </row>
    <row r="9" spans="1:30" ht="11.25" customHeight="1" x14ac:dyDescent="0.25">
      <c r="A9" s="77"/>
      <c r="B9" s="77"/>
      <c r="C9" s="77"/>
      <c r="D9" s="77"/>
      <c r="E9" s="12" t="s">
        <v>81</v>
      </c>
      <c r="F9" s="12" t="s">
        <v>25</v>
      </c>
      <c r="G9" s="13" t="s">
        <v>80</v>
      </c>
      <c r="H9" s="13" t="s">
        <v>74</v>
      </c>
      <c r="I9" s="13">
        <f>SUMIF(Mercado_Receita!$S$2:$S$505,"44440A4AzulNão se aplicaNão se aplicaAPENão se aplicaPonta",Mercado_Receita!$L$2:$L$505)+SUMIF(Mercado_Receita!$S$2:$S$505,"44440A4AzulNão se aplicaNão se aplicaAPENão se aplicaFora ponta",Mercado_Receita!$L$2:$L$505)+SUMIF(Mercado_Receita!$S$2:$S$505,"44440A4AzulNão se aplicaNão se aplicaAPENão se aplicaIntermediário",Mercado_Receita!$L$2:$L$505)+SUMIF(Mercado_Receita!$S$2:$S$505,"44440A4AzulNão se aplicaNão se aplicaAPENão se aplicaNão se aplica",Mercado_Receita!$L$2:$L$505)</f>
        <v>0</v>
      </c>
      <c r="J9" s="13">
        <f>SUMIF(Mercado_Receita!$S$2:$S$505,"44470A4AzulNão se aplicaNão se aplicaAPENão se aplicaPonta",Mercado_Receita!$L$2:$L$505)+SUMIF(Mercado_Receita!$S$2:$S$505,"44470A4AzulNão se aplicaNão se aplicaAPENão se aplicaFora ponta",Mercado_Receita!$L$2:$L$505)+SUMIF(Mercado_Receita!$S$2:$S$505,"44470A4AzulNão se aplicaNão se aplicaAPENão se aplicaIntermediário",Mercado_Receita!$L$2:$L$505)+SUMIF(Mercado_Receita!$S$2:$S$505,"44470A4AzulNão se aplicaNão se aplicaAPENão se aplicaNão se aplica",Mercado_Receita!$L$2:$L$505)</f>
        <v>0</v>
      </c>
      <c r="K9" s="13">
        <f>SUMIF(Mercado_Receita!$S$2:$S$505,"44501A4AzulNão se aplicaNão se aplicaAPENão se aplicaPonta",Mercado_Receita!$L$2:$L$505)+SUMIF(Mercado_Receita!$S$2:$S$505,"44501A4AzulNão se aplicaNão se aplicaAPENão se aplicaFora ponta",Mercado_Receita!$L$2:$L$505)+SUMIF(Mercado_Receita!$S$2:$S$505,"44501A4AzulNão se aplicaNão se aplicaAPENão se aplicaIntermediário",Mercado_Receita!$L$2:$L$505)+SUMIF(Mercado_Receita!$S$2:$S$505,"44501A4AzulNão se aplicaNão se aplicaAPENão se aplicaNão se aplica",Mercado_Receita!$L$2:$L$505)</f>
        <v>0</v>
      </c>
      <c r="L9" s="13">
        <f>SUMIF(Mercado_Receita!$S$2:$S$505,"44531A4AzulNão se aplicaNão se aplicaAPENão se aplicaPonta",Mercado_Receita!$L$2:$L$505)+SUMIF(Mercado_Receita!$S$2:$S$505,"44531A4AzulNão se aplicaNão se aplicaAPENão se aplicaFora ponta",Mercado_Receita!$L$2:$L$505)+SUMIF(Mercado_Receita!$S$2:$S$505,"44531A4AzulNão se aplicaNão se aplicaAPENão se aplicaIntermediário",Mercado_Receita!$L$2:$L$505)+SUMIF(Mercado_Receita!$S$2:$S$505,"44531A4AzulNão se aplicaNão se aplicaAPENão se aplicaNão se aplica",Mercado_Receita!$L$2:$L$505)</f>
        <v>0</v>
      </c>
      <c r="M9" s="13">
        <f>SUMIF(Mercado_Receita!$S$2:$S$505,"44562A4AzulNão se aplicaNão se aplicaAPENão se aplicaPonta",Mercado_Receita!$L$2:$L$505)+SUMIF(Mercado_Receita!$S$2:$S$505,"44562A4AzulNão se aplicaNão se aplicaAPENão se aplicaFora ponta",Mercado_Receita!$L$2:$L$505)+SUMIF(Mercado_Receita!$S$2:$S$505,"44562A4AzulNão se aplicaNão se aplicaAPENão se aplicaIntermediário",Mercado_Receita!$L$2:$L$505)+SUMIF(Mercado_Receita!$S$2:$S$505,"44562A4AzulNão se aplicaNão se aplicaAPENão se aplicaNão se aplica",Mercado_Receita!$L$2:$L$505)</f>
        <v>0</v>
      </c>
      <c r="N9" s="13">
        <f>SUMIF(Mercado_Receita!$S$2:$S$505,"44593A4AzulNão se aplicaNão se aplicaAPENão se aplicaPonta",Mercado_Receita!$L$2:$L$505)+SUMIF(Mercado_Receita!$S$2:$S$505,"44593A4AzulNão se aplicaNão se aplicaAPENão se aplicaFora ponta",Mercado_Receita!$L$2:$L$505)+SUMIF(Mercado_Receita!$S$2:$S$505,"44593A4AzulNão se aplicaNão se aplicaAPENão se aplicaIntermediário",Mercado_Receita!$L$2:$L$505)+SUMIF(Mercado_Receita!$S$2:$S$505,"44593A4AzulNão se aplicaNão se aplicaAPENão se aplicaNão se aplica",Mercado_Receita!$L$2:$L$505)</f>
        <v>0</v>
      </c>
      <c r="O9" s="13">
        <f>SUMIF(Mercado_Receita!$S$2:$S$505,"44621A4AzulNão se aplicaNão se aplicaAPENão se aplicaPonta",Mercado_Receita!$L$2:$L$505)+SUMIF(Mercado_Receita!$S$2:$S$505,"44621A4AzulNão se aplicaNão se aplicaAPENão se aplicaFora ponta",Mercado_Receita!$L$2:$L$505)+SUMIF(Mercado_Receita!$S$2:$S$505,"44621A4AzulNão se aplicaNão se aplicaAPENão se aplicaIntermediário",Mercado_Receita!$L$2:$L$505)+SUMIF(Mercado_Receita!$S$2:$S$505,"44621A4AzulNão se aplicaNão se aplicaAPENão se aplicaNão se aplica",Mercado_Receita!$L$2:$L$505)</f>
        <v>0</v>
      </c>
      <c r="P9" s="13">
        <f>SUMIF(Mercado_Receita!$S$2:$S$505,"44652A4AzulNão se aplicaNão se aplicaAPENão se aplicaPonta",Mercado_Receita!$L$2:$L$505)+SUMIF(Mercado_Receita!$S$2:$S$505,"44652A4AzulNão se aplicaNão se aplicaAPENão se aplicaFora ponta",Mercado_Receita!$L$2:$L$505)+SUMIF(Mercado_Receita!$S$2:$S$505,"44652A4AzulNão se aplicaNão se aplicaAPENão se aplicaIntermediário",Mercado_Receita!$L$2:$L$505)+SUMIF(Mercado_Receita!$S$2:$S$505,"44652A4AzulNão se aplicaNão se aplicaAPENão se aplicaNão se aplica",Mercado_Receita!$L$2:$L$505)</f>
        <v>0</v>
      </c>
      <c r="Q9" s="13">
        <f>SUMIF(Mercado_Receita!$S$2:$S$505,"44682A4AzulNão se aplicaNão se aplicaAPENão se aplicaPonta",Mercado_Receita!$L$2:$L$505)+SUMIF(Mercado_Receita!$S$2:$S$505,"44682A4AzulNão se aplicaNão se aplicaAPENão se aplicaFora ponta",Mercado_Receita!$L$2:$L$505)+SUMIF(Mercado_Receita!$S$2:$S$505,"44682A4AzulNão se aplicaNão se aplicaAPENão se aplicaIntermediário",Mercado_Receita!$L$2:$L$505)+SUMIF(Mercado_Receita!$S$2:$S$505,"44682A4AzulNão se aplicaNão se aplicaAPENão se aplicaNão se aplica",Mercado_Receita!$L$2:$L$505)</f>
        <v>0</v>
      </c>
      <c r="R9" s="13">
        <f>SUMIF(Mercado_Receita!$S$2:$S$505,"44713A4AzulNão se aplicaNão se aplicaAPENão se aplicaPonta",Mercado_Receita!$L$2:$L$505)+SUMIF(Mercado_Receita!$S$2:$S$505,"44713A4AzulNão se aplicaNão se aplicaAPENão se aplicaFora ponta",Mercado_Receita!$L$2:$L$505)+SUMIF(Mercado_Receita!$S$2:$S$505,"44713A4AzulNão se aplicaNão se aplicaAPENão se aplicaIntermediário",Mercado_Receita!$L$2:$L$505)+SUMIF(Mercado_Receita!$S$2:$S$505,"44713A4AzulNão se aplicaNão se aplicaAPENão se aplicaNão se aplica",Mercado_Receita!$L$2:$L$505)</f>
        <v>0</v>
      </c>
      <c r="S9" s="13">
        <f>SUMIF(Mercado_Receita!$S$2:$S$505,"44743A4AzulNão se aplicaNão se aplicaAPENão se aplicaPonta",Mercado_Receita!$L$2:$L$505)+SUMIF(Mercado_Receita!$S$2:$S$505,"44743A4AzulNão se aplicaNão se aplicaAPENão se aplicaFora ponta",Mercado_Receita!$L$2:$L$505)+SUMIF(Mercado_Receita!$S$2:$S$505,"44743A4AzulNão se aplicaNão se aplicaAPENão se aplicaIntermediário",Mercado_Receita!$L$2:$L$505)+SUMIF(Mercado_Receita!$S$2:$S$505,"44743A4AzulNão se aplicaNão se aplicaAPENão se aplicaNão se aplica",Mercado_Receita!$L$2:$L$505)</f>
        <v>0</v>
      </c>
      <c r="T9" s="13">
        <f>SUMIF(Mercado_Receita!$S$2:$S$505,"44774A4AzulNão se aplicaNão se aplicaAPENão se aplicaPonta",Mercado_Receita!$L$2:$L$505)+SUMIF(Mercado_Receita!$S$2:$S$505,"44774A4AzulNão se aplicaNão se aplicaAPENão se aplicaFora ponta",Mercado_Receita!$L$2:$L$505)+SUMIF(Mercado_Receita!$S$2:$S$505,"44774A4AzulNão se aplicaNão se aplicaAPENão se aplicaIntermediário",Mercado_Receita!$L$2:$L$505)+SUMIF(Mercado_Receita!$S$2:$S$505,"44774A4AzulNão se aplicaNão se aplicaAPENão se aplicaNão se aplica",Mercado_Receita!$L$2:$L$505)</f>
        <v>0</v>
      </c>
      <c r="U9" s="13">
        <f t="shared" si="0"/>
        <v>0</v>
      </c>
      <c r="V9" s="13"/>
      <c r="W9" s="13"/>
    </row>
    <row r="10" spans="1:30" ht="11.25" customHeight="1" x14ac:dyDescent="0.25">
      <c r="A10" s="77"/>
      <c r="B10" s="12" t="s">
        <v>82</v>
      </c>
      <c r="C10" s="12" t="s">
        <v>25</v>
      </c>
      <c r="D10" s="12" t="s">
        <v>25</v>
      </c>
      <c r="E10" s="12" t="s">
        <v>25</v>
      </c>
      <c r="F10" s="12" t="s">
        <v>25</v>
      </c>
      <c r="G10" s="13" t="s">
        <v>9</v>
      </c>
      <c r="H10" s="13" t="s">
        <v>77</v>
      </c>
      <c r="I10" s="13">
        <f>SUMIF(Mercado_Receita!$S$2:$S$505,"44440A4GeraçãoNão se aplicaNão se aplicaNão se aplicaNão se aplicaNão se aplica",Mercado_Receita!$J$2:$J$505)+SUMIF(Mercado_Receita!$S$2:$S$505,"44440A4GeraçãoNão se aplicaNão se aplicaAPENão se aplicaNão se aplica",Mercado_Receita!$J$2:$J$505)</f>
        <v>0</v>
      </c>
      <c r="J10" s="13">
        <f>SUMIF(Mercado_Receita!$S$2:$S$505,"44470A4GeraçãoNão se aplicaNão se aplicaNão se aplicaNão se aplicaNão se aplica",Mercado_Receita!$J$2:$J$505)+SUMIF(Mercado_Receita!$S$2:$S$505,"44470A4GeraçãoNão se aplicaNão se aplicaAPENão se aplicaNão se aplica",Mercado_Receita!$J$2:$J$505)</f>
        <v>0</v>
      </c>
      <c r="K10" s="13">
        <f>SUMIF(Mercado_Receita!$S$2:$S$505,"44501A4GeraçãoNão se aplicaNão se aplicaNão se aplicaNão se aplicaNão se aplica",Mercado_Receita!$J$2:$J$505)+SUMIF(Mercado_Receita!$S$2:$S$505,"44501A4GeraçãoNão se aplicaNão se aplicaAPENão se aplicaNão se aplica",Mercado_Receita!$J$2:$J$505)</f>
        <v>0</v>
      </c>
      <c r="L10" s="13">
        <f>SUMIF(Mercado_Receita!$S$2:$S$505,"44531A4GeraçãoNão se aplicaNão se aplicaNão se aplicaNão se aplicaNão se aplica",Mercado_Receita!$J$2:$J$505)+SUMIF(Mercado_Receita!$S$2:$S$505,"44531A4GeraçãoNão se aplicaNão se aplicaAPENão se aplicaNão se aplica",Mercado_Receita!$J$2:$J$505)</f>
        <v>0</v>
      </c>
      <c r="M10" s="13">
        <f>SUMIF(Mercado_Receita!$S$2:$S$505,"44562A4GeraçãoNão se aplicaNão se aplicaNão se aplicaNão se aplicaNão se aplica",Mercado_Receita!$J$2:$J$505)+SUMIF(Mercado_Receita!$S$2:$S$505,"44562A4GeraçãoNão se aplicaNão se aplicaAPENão se aplicaNão se aplica",Mercado_Receita!$J$2:$J$505)</f>
        <v>0</v>
      </c>
      <c r="N10" s="13">
        <f>SUMIF(Mercado_Receita!$S$2:$S$505,"44593A4GeraçãoNão se aplicaNão se aplicaNão se aplicaNão se aplicaNão se aplica",Mercado_Receita!$J$2:$J$505)+SUMIF(Mercado_Receita!$S$2:$S$505,"44593A4GeraçãoNão se aplicaNão se aplicaAPENão se aplicaNão se aplica",Mercado_Receita!$J$2:$J$505)</f>
        <v>0</v>
      </c>
      <c r="O10" s="13">
        <f>SUMIF(Mercado_Receita!$S$2:$S$505,"44621A4GeraçãoNão se aplicaNão se aplicaNão se aplicaNão se aplicaNão se aplica",Mercado_Receita!$J$2:$J$505)+SUMIF(Mercado_Receita!$S$2:$S$505,"44621A4GeraçãoNão se aplicaNão se aplicaAPENão se aplicaNão se aplica",Mercado_Receita!$J$2:$J$505)</f>
        <v>0</v>
      </c>
      <c r="P10" s="13">
        <f>SUMIF(Mercado_Receita!$S$2:$S$505,"44652A4GeraçãoNão se aplicaNão se aplicaNão se aplicaNão se aplicaNão se aplica",Mercado_Receita!$J$2:$J$505)+SUMIF(Mercado_Receita!$S$2:$S$505,"44652A4GeraçãoNão se aplicaNão se aplicaAPENão se aplicaNão se aplica",Mercado_Receita!$J$2:$J$505)</f>
        <v>0</v>
      </c>
      <c r="Q10" s="13">
        <f>SUMIF(Mercado_Receita!$S$2:$S$505,"44682A4GeraçãoNão se aplicaNão se aplicaNão se aplicaNão se aplicaNão se aplica",Mercado_Receita!$J$2:$J$505)+SUMIF(Mercado_Receita!$S$2:$S$505,"44682A4GeraçãoNão se aplicaNão se aplicaAPENão se aplicaNão se aplica",Mercado_Receita!$J$2:$J$505)</f>
        <v>0</v>
      </c>
      <c r="R10" s="13">
        <f>SUMIF(Mercado_Receita!$S$2:$S$505,"44713A4GeraçãoNão se aplicaNão se aplicaNão se aplicaNão se aplicaNão se aplica",Mercado_Receita!$J$2:$J$505)+SUMIF(Mercado_Receita!$S$2:$S$505,"44713A4GeraçãoNão se aplicaNão se aplicaAPENão se aplicaNão se aplica",Mercado_Receita!$J$2:$J$505)</f>
        <v>0</v>
      </c>
      <c r="S10" s="13">
        <f>SUMIF(Mercado_Receita!$S$2:$S$505,"44743A4GeraçãoNão se aplicaNão se aplicaNão se aplicaNão se aplicaNão se aplica",Mercado_Receita!$J$2:$J$505)+SUMIF(Mercado_Receita!$S$2:$S$505,"44743A4GeraçãoNão se aplicaNão se aplicaAPENão se aplicaNão se aplica",Mercado_Receita!$J$2:$J$505)</f>
        <v>0</v>
      </c>
      <c r="T10" s="13">
        <f>SUMIF(Mercado_Receita!$S$2:$S$505,"44774A4GeraçãoNão se aplicaNão se aplicaNão se aplicaNão se aplicaNão se aplica",Mercado_Receita!$J$2:$J$505)+SUMIF(Mercado_Receita!$S$2:$S$505,"44774A4GeraçãoNão se aplicaNão se aplicaAPENão se aplicaNão se aplica",Mercado_Receita!$J$2:$J$505)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7"/>
      <c r="B11" s="76" t="s">
        <v>40</v>
      </c>
      <c r="C11" s="76" t="s">
        <v>25</v>
      </c>
      <c r="D11" s="76" t="s">
        <v>25</v>
      </c>
      <c r="E11" s="76" t="s">
        <v>25</v>
      </c>
      <c r="F11" s="76" t="s">
        <v>25</v>
      </c>
      <c r="G11" s="13" t="s">
        <v>9</v>
      </c>
      <c r="H11" s="13" t="s">
        <v>77</v>
      </c>
      <c r="I11" s="13">
        <f>SUMIF(Mercado_Receita!$S$2:$S$505,"44440A4VerdeNão se aplicaNão se aplicaNão se aplicaNão se aplicaNão se aplica",Mercado_Receita!$J$2:$J$505)+SUMIF(Mercado_Receita!$S$2:$S$505,"44440A4VerdeNão se aplicaNão se aplicaAPENão se aplicaNão se aplica",Mercado_Receita!$J$2:$J$505)</f>
        <v>52044</v>
      </c>
      <c r="J11" s="13">
        <f>SUMIF(Mercado_Receita!$S$2:$S$505,"44470A4VerdeNão se aplicaNão se aplicaNão se aplicaNão se aplicaNão se aplica",Mercado_Receita!$J$2:$J$505)+SUMIF(Mercado_Receita!$S$2:$S$505,"44470A4VerdeNão se aplicaNão se aplicaAPENão se aplicaNão se aplica",Mercado_Receita!$J$2:$J$505)</f>
        <v>52458</v>
      </c>
      <c r="K11" s="13">
        <f>SUMIF(Mercado_Receita!$S$2:$S$505,"44501A4VerdeNão se aplicaNão se aplicaNão se aplicaNão se aplicaNão se aplica",Mercado_Receita!$J$2:$J$505)+SUMIF(Mercado_Receita!$S$2:$S$505,"44501A4VerdeNão se aplicaNão se aplicaAPENão se aplicaNão se aplica",Mercado_Receita!$J$2:$J$505)</f>
        <v>51887</v>
      </c>
      <c r="L11" s="13">
        <f>SUMIF(Mercado_Receita!$S$2:$S$505,"44531A4VerdeNão se aplicaNão se aplicaNão se aplicaNão se aplicaNão se aplica",Mercado_Receita!$J$2:$J$505)+SUMIF(Mercado_Receita!$S$2:$S$505,"44531A4VerdeNão se aplicaNão se aplicaAPENão se aplicaNão se aplica",Mercado_Receita!$J$2:$J$505)</f>
        <v>52062</v>
      </c>
      <c r="M11" s="13">
        <f>SUMIF(Mercado_Receita!$S$2:$S$505,"44562A4VerdeNão se aplicaNão se aplicaNão se aplicaNão se aplicaNão se aplica",Mercado_Receita!$J$2:$J$505)+SUMIF(Mercado_Receita!$S$2:$S$505,"44562A4VerdeNão se aplicaNão se aplicaAPENão se aplicaNão se aplica",Mercado_Receita!$J$2:$J$505)</f>
        <v>52128</v>
      </c>
      <c r="N11" s="13">
        <f>SUMIF(Mercado_Receita!$S$2:$S$505,"44593A4VerdeNão se aplicaNão se aplicaNão se aplicaNão se aplicaNão se aplica",Mercado_Receita!$J$2:$J$505)+SUMIF(Mercado_Receita!$S$2:$S$505,"44593A4VerdeNão se aplicaNão se aplicaAPENão se aplicaNão se aplica",Mercado_Receita!$J$2:$J$505)</f>
        <v>53124</v>
      </c>
      <c r="O11" s="13">
        <f>SUMIF(Mercado_Receita!$S$2:$S$505,"44621A4VerdeNão se aplicaNão se aplicaNão se aplicaNão se aplicaNão se aplica",Mercado_Receita!$J$2:$J$505)+SUMIF(Mercado_Receita!$S$2:$S$505,"44621A4VerdeNão se aplicaNão se aplicaAPENão se aplicaNão se aplica",Mercado_Receita!$J$2:$J$505)</f>
        <v>53484</v>
      </c>
      <c r="P11" s="13">
        <f>SUMIF(Mercado_Receita!$S$2:$S$505,"44652A4VerdeNão se aplicaNão se aplicaNão se aplicaNão se aplicaNão se aplica",Mercado_Receita!$J$2:$J$505)+SUMIF(Mercado_Receita!$S$2:$S$505,"44652A4VerdeNão se aplicaNão se aplicaAPENão se aplicaNão se aplica",Mercado_Receita!$J$2:$J$505)</f>
        <v>53262</v>
      </c>
      <c r="Q11" s="13">
        <f>SUMIF(Mercado_Receita!$S$2:$S$505,"44682A4VerdeNão se aplicaNão se aplicaNão se aplicaNão se aplicaNão se aplica",Mercado_Receita!$J$2:$J$505)+SUMIF(Mercado_Receita!$S$2:$S$505,"44682A4VerdeNão se aplicaNão se aplicaAPENão se aplicaNão se aplica",Mercado_Receita!$J$2:$J$505)</f>
        <v>52989</v>
      </c>
      <c r="R11" s="13">
        <f>SUMIF(Mercado_Receita!$S$2:$S$505,"44713A4VerdeNão se aplicaNão se aplicaNão se aplicaNão se aplicaNão se aplica",Mercado_Receita!$J$2:$J$505)+SUMIF(Mercado_Receita!$S$2:$S$505,"44713A4VerdeNão se aplicaNão se aplicaAPENão se aplicaNão se aplica",Mercado_Receita!$J$2:$J$505)</f>
        <v>52362</v>
      </c>
      <c r="S11" s="13">
        <f>SUMIF(Mercado_Receita!$S$2:$S$505,"44743A4VerdeNão se aplicaNão se aplicaNão se aplicaNão se aplicaNão se aplica",Mercado_Receita!$J$2:$J$505)+SUMIF(Mercado_Receita!$S$2:$S$505,"44743A4VerdeNão se aplicaNão se aplicaAPENão se aplicaNão se aplica",Mercado_Receita!$J$2:$J$505)</f>
        <v>52786</v>
      </c>
      <c r="T11" s="13">
        <f>SUMIF(Mercado_Receita!$S$2:$S$505,"44774A4VerdeNão se aplicaNão se aplicaNão se aplicaNão se aplicaNão se aplica",Mercado_Receita!$J$2:$J$505)+SUMIF(Mercado_Receita!$S$2:$S$505,"44774A4VerdeNão se aplicaNão se aplicaAPENão se aplicaNão se aplica",Mercado_Receita!$J$2:$J$505)</f>
        <v>52786</v>
      </c>
      <c r="U11" s="13">
        <f t="shared" si="0"/>
        <v>631372</v>
      </c>
      <c r="V11" s="13"/>
      <c r="W11" s="13"/>
    </row>
    <row r="12" spans="1:30" ht="11.25" customHeight="1" x14ac:dyDescent="0.25">
      <c r="A12" s="77"/>
      <c r="B12" s="77"/>
      <c r="C12" s="77"/>
      <c r="D12" s="77"/>
      <c r="E12" s="77"/>
      <c r="F12" s="77"/>
      <c r="G12" s="13" t="s">
        <v>75</v>
      </c>
      <c r="H12" s="13" t="s">
        <v>74</v>
      </c>
      <c r="I12" s="13">
        <f>SUMIF(Mercado_Receita!$S$2:$S$505,"44440A4VerdeNão se aplicaNão se aplicaNão se aplicaNão se aplicaPonta",Mercado_Receita!$L$2:$L$505)</f>
        <v>848.9129999999999</v>
      </c>
      <c r="J12" s="13">
        <f>SUMIF(Mercado_Receita!$S$2:$S$505,"44470A4VerdeNão se aplicaNão se aplicaNão se aplicaNão se aplicaPonta",Mercado_Receita!$L$2:$L$505)</f>
        <v>828.39599999999996</v>
      </c>
      <c r="K12" s="13">
        <f>SUMIF(Mercado_Receita!$S$2:$S$505,"44501A4VerdeNão se aplicaNão se aplicaNão se aplicaNão se aplicaPonta",Mercado_Receita!$L$2:$L$505)</f>
        <v>848.86300000000006</v>
      </c>
      <c r="L12" s="13">
        <f>SUMIF(Mercado_Receita!$S$2:$S$505,"44531A4VerdeNão se aplicaNão se aplicaNão se aplicaNão se aplicaPonta",Mercado_Receita!$L$2:$L$505)</f>
        <v>870.548</v>
      </c>
      <c r="M12" s="13">
        <f>SUMIF(Mercado_Receita!$S$2:$S$505,"44562A4VerdeNão se aplicaNão se aplicaNão se aplicaNão se aplicaPonta",Mercado_Receita!$L$2:$L$505)</f>
        <v>825.95400000000006</v>
      </c>
      <c r="N12" s="13">
        <f>SUMIF(Mercado_Receita!$S$2:$S$505,"44593A4VerdeNão se aplicaNão se aplicaNão se aplicaNão se aplicaPonta",Mercado_Receita!$L$2:$L$505)</f>
        <v>822.24300000000005</v>
      </c>
      <c r="O12" s="13">
        <f>SUMIF(Mercado_Receita!$S$2:$S$505,"44621A4VerdeNão se aplicaNão se aplicaNão se aplicaNão se aplicaPonta",Mercado_Receita!$L$2:$L$505)</f>
        <v>904.87799999999993</v>
      </c>
      <c r="P12" s="13">
        <f>SUMIF(Mercado_Receita!$S$2:$S$505,"44652A4VerdeNão se aplicaNão se aplicaNão se aplicaNão se aplicaPonta",Mercado_Receita!$L$2:$L$505)</f>
        <v>806.88699999999994</v>
      </c>
      <c r="Q12" s="13">
        <f>SUMIF(Mercado_Receita!$S$2:$S$505,"44682A4VerdeNão se aplicaNão se aplicaNão se aplicaNão se aplicaPonta",Mercado_Receita!$L$2:$L$505)</f>
        <v>926.505</v>
      </c>
      <c r="R12" s="13">
        <f>SUMIF(Mercado_Receita!$S$2:$S$505,"44713A4VerdeNão se aplicaNão se aplicaNão se aplicaNão se aplicaPonta",Mercado_Receita!$L$2:$L$505)</f>
        <v>904.89600000000007</v>
      </c>
      <c r="S12" s="13">
        <f>SUMIF(Mercado_Receita!$S$2:$S$505,"44743A4VerdeNão se aplicaNão se aplicaNão se aplicaNão se aplicaPonta",Mercado_Receita!$L$2:$L$505)</f>
        <v>932.56799999999998</v>
      </c>
      <c r="T12" s="13">
        <f>SUMIF(Mercado_Receita!$S$2:$S$505,"44774A4VerdeNão se aplicaNão se aplicaNão se aplicaNão se aplicaPonta",Mercado_Receita!$L$2:$L$505)</f>
        <v>932.56799999999998</v>
      </c>
      <c r="U12" s="13">
        <f t="shared" si="0"/>
        <v>10453.218999999997</v>
      </c>
      <c r="V12" s="13"/>
      <c r="W12" s="13"/>
    </row>
    <row r="13" spans="1:30" ht="11.25" customHeight="1" x14ac:dyDescent="0.25">
      <c r="A13" s="77"/>
      <c r="B13" s="77"/>
      <c r="C13" s="77"/>
      <c r="D13" s="77"/>
      <c r="E13" s="77"/>
      <c r="F13" s="77"/>
      <c r="G13" s="13" t="s">
        <v>76</v>
      </c>
      <c r="H13" s="13" t="s">
        <v>74</v>
      </c>
      <c r="I13" s="13">
        <f>SUMIF(Mercado_Receita!$S$2:$S$505,"44440A4VerdeNão se aplicaNão se aplicaNão se aplicaNão se aplicaFora ponta",Mercado_Receita!$L$2:$L$505)</f>
        <v>13301.899000000001</v>
      </c>
      <c r="J13" s="13">
        <f>SUMIF(Mercado_Receita!$S$2:$S$505,"44470A4VerdeNão se aplicaNão se aplicaNão se aplicaNão se aplicaFora ponta",Mercado_Receita!$L$2:$L$505)</f>
        <v>13668.01</v>
      </c>
      <c r="K13" s="13">
        <f>SUMIF(Mercado_Receita!$S$2:$S$505,"44501A4VerdeNão se aplicaNão se aplicaNão se aplicaNão se aplicaFora ponta",Mercado_Receita!$L$2:$L$505)</f>
        <v>13732.139000000001</v>
      </c>
      <c r="L13" s="13">
        <f>SUMIF(Mercado_Receita!$S$2:$S$505,"44531A4VerdeNão se aplicaNão se aplicaNão se aplicaNão se aplicaFora ponta",Mercado_Receita!$L$2:$L$505)</f>
        <v>12764.883</v>
      </c>
      <c r="M13" s="13">
        <f>SUMIF(Mercado_Receita!$S$2:$S$505,"44562A4VerdeNão se aplicaNão se aplicaNão se aplicaNão se aplicaFora ponta",Mercado_Receita!$L$2:$L$505)</f>
        <v>12848.028</v>
      </c>
      <c r="N13" s="13">
        <f>SUMIF(Mercado_Receita!$S$2:$S$505,"44593A4VerdeNão se aplicaNão se aplicaNão se aplicaNão se aplicaFora ponta",Mercado_Receita!$L$2:$L$505)</f>
        <v>13109.805</v>
      </c>
      <c r="O13" s="13">
        <f>SUMIF(Mercado_Receita!$S$2:$S$505,"44621A4VerdeNão se aplicaNão se aplicaNão se aplicaNão se aplicaFora ponta",Mercado_Receita!$L$2:$L$505)</f>
        <v>15122.786</v>
      </c>
      <c r="P13" s="13">
        <f>SUMIF(Mercado_Receita!$S$2:$S$505,"44652A4VerdeNão se aplicaNão se aplicaNão se aplicaNão se aplicaFora ponta",Mercado_Receita!$L$2:$L$505)</f>
        <v>13766.004000000001</v>
      </c>
      <c r="Q13" s="13">
        <f>SUMIF(Mercado_Receita!$S$2:$S$505,"44682A4VerdeNão se aplicaNão se aplicaNão se aplicaNão se aplicaFora ponta",Mercado_Receita!$L$2:$L$505)</f>
        <v>14262.68</v>
      </c>
      <c r="R13" s="13">
        <f>SUMIF(Mercado_Receita!$S$2:$S$505,"44713A4VerdeNão se aplicaNão se aplicaNão se aplicaNão se aplicaFora ponta",Mercado_Receita!$L$2:$L$505)</f>
        <v>13404.397000000001</v>
      </c>
      <c r="S13" s="13">
        <f>SUMIF(Mercado_Receita!$S$2:$S$505,"44743A4VerdeNão se aplicaNão se aplicaNão se aplicaNão se aplicaFora ponta",Mercado_Receita!$L$2:$L$505)</f>
        <v>13271.489</v>
      </c>
      <c r="T13" s="13">
        <f>SUMIF(Mercado_Receita!$S$2:$S$505,"44774A4VerdeNão se aplicaNão se aplicaNão se aplicaNão se aplicaFora ponta",Mercado_Receita!$L$2:$L$505)</f>
        <v>13271.489</v>
      </c>
      <c r="U13" s="13">
        <f t="shared" si="0"/>
        <v>162523.609</v>
      </c>
      <c r="V13" s="13"/>
      <c r="W13" s="13"/>
    </row>
    <row r="14" spans="1:30" ht="11.25" customHeight="1" x14ac:dyDescent="0.25">
      <c r="A14" s="77"/>
      <c r="B14" s="77"/>
      <c r="C14" s="77"/>
      <c r="D14" s="77"/>
      <c r="E14" s="76" t="s">
        <v>81</v>
      </c>
      <c r="F14" s="76" t="s">
        <v>25</v>
      </c>
      <c r="G14" s="13" t="s">
        <v>75</v>
      </c>
      <c r="H14" s="13" t="s">
        <v>74</v>
      </c>
      <c r="I14" s="13">
        <f>SUMIF(Mercado_Receita!$S$2:$S$505,"44440A4VerdeNão se aplicaNão se aplicaAPENão se aplicaPonta",Mercado_Receita!$L$2:$L$505)</f>
        <v>0</v>
      </c>
      <c r="J14" s="13">
        <f>SUMIF(Mercado_Receita!$S$2:$S$505,"44470A4VerdeNão se aplicaNão se aplicaAPENão se aplicaPonta",Mercado_Receita!$L$2:$L$505)</f>
        <v>0</v>
      </c>
      <c r="K14" s="13">
        <f>SUMIF(Mercado_Receita!$S$2:$S$505,"44501A4VerdeNão se aplicaNão se aplicaAPENão se aplicaPonta",Mercado_Receita!$L$2:$L$505)</f>
        <v>0</v>
      </c>
      <c r="L14" s="13">
        <f>SUMIF(Mercado_Receita!$S$2:$S$505,"44531A4VerdeNão se aplicaNão se aplicaAPENão se aplicaPonta",Mercado_Receita!$L$2:$L$505)</f>
        <v>0</v>
      </c>
      <c r="M14" s="13">
        <f>SUMIF(Mercado_Receita!$S$2:$S$505,"44562A4VerdeNão se aplicaNão se aplicaAPENão se aplicaPonta",Mercado_Receita!$L$2:$L$505)</f>
        <v>0</v>
      </c>
      <c r="N14" s="13">
        <f>SUMIF(Mercado_Receita!$S$2:$S$505,"44593A4VerdeNão se aplicaNão se aplicaAPENão se aplicaPonta",Mercado_Receita!$L$2:$L$505)</f>
        <v>0</v>
      </c>
      <c r="O14" s="13">
        <f>SUMIF(Mercado_Receita!$S$2:$S$505,"44621A4VerdeNão se aplicaNão se aplicaAPENão se aplicaPonta",Mercado_Receita!$L$2:$L$505)</f>
        <v>0</v>
      </c>
      <c r="P14" s="13">
        <f>SUMIF(Mercado_Receita!$S$2:$S$505,"44652A4VerdeNão se aplicaNão se aplicaAPENão se aplicaPonta",Mercado_Receita!$L$2:$L$505)</f>
        <v>0</v>
      </c>
      <c r="Q14" s="13">
        <f>SUMIF(Mercado_Receita!$S$2:$S$505,"44682A4VerdeNão se aplicaNão se aplicaAPENão se aplicaPonta",Mercado_Receita!$L$2:$L$505)</f>
        <v>0</v>
      </c>
      <c r="R14" s="13">
        <f>SUMIF(Mercado_Receita!$S$2:$S$505,"44713A4VerdeNão se aplicaNão se aplicaAPENão se aplicaPonta",Mercado_Receita!$L$2:$L$505)</f>
        <v>0</v>
      </c>
      <c r="S14" s="13">
        <f>SUMIF(Mercado_Receita!$S$2:$S$505,"44743A4VerdeNão se aplicaNão se aplicaAPENão se aplicaPonta",Mercado_Receita!$L$2:$L$505)</f>
        <v>0</v>
      </c>
      <c r="T14" s="13">
        <f>SUMIF(Mercado_Receita!$S$2:$S$505,"44774A4VerdeNão se aplicaNão se aplicaAPENão se aplicaPonta",Mercado_Receita!$L$2:$L$505)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77"/>
      <c r="E15" s="77"/>
      <c r="F15" s="77"/>
      <c r="G15" s="13" t="s">
        <v>76</v>
      </c>
      <c r="H15" s="13" t="s">
        <v>74</v>
      </c>
      <c r="I15" s="13">
        <f>SUMIF(Mercado_Receita!$S$2:$S$505,"44440A4VerdeNão se aplicaNão se aplicaAPENão se aplicaFora ponta",Mercado_Receita!$L$2:$L$505)</f>
        <v>0</v>
      </c>
      <c r="J15" s="13">
        <f>SUMIF(Mercado_Receita!$S$2:$S$505,"44470A4VerdeNão se aplicaNão se aplicaAPENão se aplicaFora ponta",Mercado_Receita!$L$2:$L$505)</f>
        <v>0</v>
      </c>
      <c r="K15" s="13">
        <f>SUMIF(Mercado_Receita!$S$2:$S$505,"44501A4VerdeNão se aplicaNão se aplicaAPENão se aplicaFora ponta",Mercado_Receita!$L$2:$L$505)</f>
        <v>0</v>
      </c>
      <c r="L15" s="13">
        <f>SUMIF(Mercado_Receita!$S$2:$S$505,"44531A4VerdeNão se aplicaNão se aplicaAPENão se aplicaFora ponta",Mercado_Receita!$L$2:$L$505)</f>
        <v>0</v>
      </c>
      <c r="M15" s="13">
        <f>SUMIF(Mercado_Receita!$S$2:$S$505,"44562A4VerdeNão se aplicaNão se aplicaAPENão se aplicaFora ponta",Mercado_Receita!$L$2:$L$505)</f>
        <v>0</v>
      </c>
      <c r="N15" s="13">
        <f>SUMIF(Mercado_Receita!$S$2:$S$505,"44593A4VerdeNão se aplicaNão se aplicaAPENão se aplicaFora ponta",Mercado_Receita!$L$2:$L$505)</f>
        <v>0</v>
      </c>
      <c r="O15" s="13">
        <f>SUMIF(Mercado_Receita!$S$2:$S$505,"44621A4VerdeNão se aplicaNão se aplicaAPENão se aplicaFora ponta",Mercado_Receita!$L$2:$L$505)</f>
        <v>0</v>
      </c>
      <c r="P15" s="13">
        <f>SUMIF(Mercado_Receita!$S$2:$S$505,"44652A4VerdeNão se aplicaNão se aplicaAPENão se aplicaFora ponta",Mercado_Receita!$L$2:$L$505)</f>
        <v>0</v>
      </c>
      <c r="Q15" s="13">
        <f>SUMIF(Mercado_Receita!$S$2:$S$505,"44682A4VerdeNão se aplicaNão se aplicaAPENão se aplicaFora ponta",Mercado_Receita!$L$2:$L$505)</f>
        <v>0</v>
      </c>
      <c r="R15" s="13">
        <f>SUMIF(Mercado_Receita!$S$2:$S$505,"44713A4VerdeNão se aplicaNão se aplicaAPENão se aplicaFora ponta",Mercado_Receita!$L$2:$L$505)</f>
        <v>0</v>
      </c>
      <c r="S15" s="13">
        <f>SUMIF(Mercado_Receita!$S$2:$S$505,"44743A4VerdeNão se aplicaNão se aplicaAPENão se aplicaFora ponta",Mercado_Receita!$L$2:$L$505)</f>
        <v>0</v>
      </c>
      <c r="T15" s="13">
        <f>SUMIF(Mercado_Receita!$S$2:$S$505,"44774A4VerdeNão se aplicaNão se aplicaAPENão se aplicaFora ponta",Mercado_Receita!$L$2:$L$505)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6" t="s">
        <v>83</v>
      </c>
      <c r="B16" s="76" t="s">
        <v>82</v>
      </c>
      <c r="C16" s="76" t="s">
        <v>25</v>
      </c>
      <c r="D16" s="76" t="s">
        <v>25</v>
      </c>
      <c r="E16" s="12" t="s">
        <v>84</v>
      </c>
      <c r="F16" s="12" t="s">
        <v>25</v>
      </c>
      <c r="G16" s="13" t="s">
        <v>9</v>
      </c>
      <c r="H16" s="13" t="s">
        <v>77</v>
      </c>
      <c r="I16" s="13">
        <f>SUMIF(Mercado_Receita!$S$2:$S$505,"44440BGeraçãoNão se aplicaNão se aplicaTIPO 01Não se aplicaNão se aplica",Mercado_Receita!$J$2:$J$505)+SUMIF(Mercado_Receita!$S$2:$S$505,"44440BGeraçãoNão se aplicaNão se aplicaAPENão se aplicaNão se aplica",Mercado_Receita!$J$2:$J$505)</f>
        <v>0</v>
      </c>
      <c r="J16" s="13">
        <f>SUMIF(Mercado_Receita!$S$2:$S$505,"44470BGeraçãoNão se aplicaNão se aplicaTIPO 01Não se aplicaNão se aplica",Mercado_Receita!$J$2:$J$505)+SUMIF(Mercado_Receita!$S$2:$S$505,"44470BGeraçãoNão se aplicaNão se aplicaAPENão se aplicaNão se aplica",Mercado_Receita!$J$2:$J$505)</f>
        <v>0</v>
      </c>
      <c r="K16" s="13">
        <f>SUMIF(Mercado_Receita!$S$2:$S$505,"44501BGeraçãoNão se aplicaNão se aplicaTIPO 01Não se aplicaNão se aplica",Mercado_Receita!$J$2:$J$505)+SUMIF(Mercado_Receita!$S$2:$S$505,"44501BGeraçãoNão se aplicaNão se aplicaAPENão se aplicaNão se aplica",Mercado_Receita!$J$2:$J$505)</f>
        <v>0</v>
      </c>
      <c r="L16" s="13">
        <f>SUMIF(Mercado_Receita!$S$2:$S$505,"44531BGeraçãoNão se aplicaNão se aplicaTIPO 01Não se aplicaNão se aplica",Mercado_Receita!$J$2:$J$505)+SUMIF(Mercado_Receita!$S$2:$S$505,"44531BGeraçãoNão se aplicaNão se aplicaAPENão se aplicaNão se aplica",Mercado_Receita!$J$2:$J$505)</f>
        <v>0</v>
      </c>
      <c r="M16" s="13">
        <f>SUMIF(Mercado_Receita!$S$2:$S$505,"44562BGeraçãoNão se aplicaNão se aplicaTIPO 01Não se aplicaNão se aplica",Mercado_Receita!$J$2:$J$505)+SUMIF(Mercado_Receita!$S$2:$S$505,"44562BGeraçãoNão se aplicaNão se aplicaAPENão se aplicaNão se aplica",Mercado_Receita!$J$2:$J$505)</f>
        <v>0</v>
      </c>
      <c r="N16" s="13">
        <f>SUMIF(Mercado_Receita!$S$2:$S$505,"44593BGeraçãoNão se aplicaNão se aplicaTIPO 01Não se aplicaNão se aplica",Mercado_Receita!$J$2:$J$505)+SUMIF(Mercado_Receita!$S$2:$S$505,"44593BGeraçãoNão se aplicaNão se aplicaAPENão se aplicaNão se aplica",Mercado_Receita!$J$2:$J$505)</f>
        <v>0</v>
      </c>
      <c r="O16" s="13">
        <f>SUMIF(Mercado_Receita!$S$2:$S$505,"44621BGeraçãoNão se aplicaNão se aplicaTIPO 01Não se aplicaNão se aplica",Mercado_Receita!$J$2:$J$505)+SUMIF(Mercado_Receita!$S$2:$S$505,"44621BGeraçãoNão se aplicaNão se aplicaAPENão se aplicaNão se aplica",Mercado_Receita!$J$2:$J$505)</f>
        <v>0</v>
      </c>
      <c r="P16" s="13">
        <f>SUMIF(Mercado_Receita!$S$2:$S$505,"44652BGeraçãoNão se aplicaNão se aplicaTIPO 01Não se aplicaNão se aplica",Mercado_Receita!$J$2:$J$505)+SUMIF(Mercado_Receita!$S$2:$S$505,"44652BGeraçãoNão se aplicaNão se aplicaAPENão se aplicaNão se aplica",Mercado_Receita!$J$2:$J$505)</f>
        <v>0</v>
      </c>
      <c r="Q16" s="13">
        <f>SUMIF(Mercado_Receita!$S$2:$S$505,"44682BGeraçãoNão se aplicaNão se aplicaTIPO 01Não se aplicaNão se aplica",Mercado_Receita!$J$2:$J$505)+SUMIF(Mercado_Receita!$S$2:$S$505,"44682BGeraçãoNão se aplicaNão se aplicaAPENão se aplicaNão se aplica",Mercado_Receita!$J$2:$J$505)</f>
        <v>0</v>
      </c>
      <c r="R16" s="13">
        <f>SUMIF(Mercado_Receita!$S$2:$S$505,"44713BGeraçãoNão se aplicaNão se aplicaTIPO 01Não se aplicaNão se aplica",Mercado_Receita!$J$2:$J$505)+SUMIF(Mercado_Receita!$S$2:$S$505,"44713BGeraçãoNão se aplicaNão se aplicaAPENão se aplicaNão se aplica",Mercado_Receita!$J$2:$J$505)</f>
        <v>0</v>
      </c>
      <c r="S16" s="13">
        <f>SUMIF(Mercado_Receita!$S$2:$S$505,"44743BGeraçãoNão se aplicaNão se aplicaTIPO 01Não se aplicaNão se aplica",Mercado_Receita!$J$2:$J$505)+SUMIF(Mercado_Receita!$S$2:$S$505,"44743BGeraçãoNão se aplicaNão se aplicaAPENão se aplicaNão se aplica",Mercado_Receita!$J$2:$J$505)</f>
        <v>0</v>
      </c>
      <c r="T16" s="13">
        <f>SUMIF(Mercado_Receita!$S$2:$S$505,"44774BGeraçãoNão se aplicaNão se aplicaTIPO 01Não se aplicaNão se aplica",Mercado_Receita!$J$2:$J$505)+SUMIF(Mercado_Receita!$S$2:$S$505,"44774BGeraçãoNão se aplicaNão se aplicaAPENão se aplicaNão se aplica",Mercado_Receita!$J$2:$J$505)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/>
      <c r="B17" s="77"/>
      <c r="C17" s="77"/>
      <c r="D17" s="77"/>
      <c r="E17" s="12" t="s">
        <v>85</v>
      </c>
      <c r="F17" s="12" t="s">
        <v>25</v>
      </c>
      <c r="G17" s="13" t="s">
        <v>9</v>
      </c>
      <c r="H17" s="13" t="s">
        <v>77</v>
      </c>
      <c r="I17" s="13">
        <f>SUMIF(Mercado_Receita!$S$2:$S$505,"44440BGeraçãoNão se aplicaNão se aplicaTIPO 02Não se aplicaNão se aplica",Mercado_Receita!$J$2:$J$505)+SUMIF(Mercado_Receita!$S$2:$S$505,"44440BGeraçãoNão se aplicaNão se aplicaAPENão se aplicaNão se aplica",Mercado_Receita!$J$2:$J$505)</f>
        <v>0</v>
      </c>
      <c r="J17" s="13">
        <f>SUMIF(Mercado_Receita!$S$2:$S$505,"44470BGeraçãoNão se aplicaNão se aplicaTIPO 02Não se aplicaNão se aplica",Mercado_Receita!$J$2:$J$505)+SUMIF(Mercado_Receita!$S$2:$S$505,"44470BGeraçãoNão se aplicaNão se aplicaAPENão se aplicaNão se aplica",Mercado_Receita!$J$2:$J$505)</f>
        <v>0</v>
      </c>
      <c r="K17" s="13">
        <f>SUMIF(Mercado_Receita!$S$2:$S$505,"44501BGeraçãoNão se aplicaNão se aplicaTIPO 02Não se aplicaNão se aplica",Mercado_Receita!$J$2:$J$505)+SUMIF(Mercado_Receita!$S$2:$S$505,"44501BGeraçãoNão se aplicaNão se aplicaAPENão se aplicaNão se aplica",Mercado_Receita!$J$2:$J$505)</f>
        <v>0</v>
      </c>
      <c r="L17" s="13">
        <f>SUMIF(Mercado_Receita!$S$2:$S$505,"44531BGeraçãoNão se aplicaNão se aplicaTIPO 02Não se aplicaNão se aplica",Mercado_Receita!$J$2:$J$505)+SUMIF(Mercado_Receita!$S$2:$S$505,"44531BGeraçãoNão se aplicaNão se aplicaAPENão se aplicaNão se aplica",Mercado_Receita!$J$2:$J$505)</f>
        <v>0</v>
      </c>
      <c r="M17" s="13">
        <f>SUMIF(Mercado_Receita!$S$2:$S$505,"44562BGeraçãoNão se aplicaNão se aplicaTIPO 02Não se aplicaNão se aplica",Mercado_Receita!$J$2:$J$505)+SUMIF(Mercado_Receita!$S$2:$S$505,"44562BGeraçãoNão se aplicaNão se aplicaAPENão se aplicaNão se aplica",Mercado_Receita!$J$2:$J$505)</f>
        <v>0</v>
      </c>
      <c r="N17" s="13">
        <f>SUMIF(Mercado_Receita!$S$2:$S$505,"44593BGeraçãoNão se aplicaNão se aplicaTIPO 02Não se aplicaNão se aplica",Mercado_Receita!$J$2:$J$505)+SUMIF(Mercado_Receita!$S$2:$S$505,"44593BGeraçãoNão se aplicaNão se aplicaAPENão se aplicaNão se aplica",Mercado_Receita!$J$2:$J$505)</f>
        <v>0</v>
      </c>
      <c r="O17" s="13">
        <f>SUMIF(Mercado_Receita!$S$2:$S$505,"44621BGeraçãoNão se aplicaNão se aplicaTIPO 02Não se aplicaNão se aplica",Mercado_Receita!$J$2:$J$505)+SUMIF(Mercado_Receita!$S$2:$S$505,"44621BGeraçãoNão se aplicaNão se aplicaAPENão se aplicaNão se aplica",Mercado_Receita!$J$2:$J$505)</f>
        <v>0</v>
      </c>
      <c r="P17" s="13">
        <f>SUMIF(Mercado_Receita!$S$2:$S$505,"44652BGeraçãoNão se aplicaNão se aplicaTIPO 02Não se aplicaNão se aplica",Mercado_Receita!$J$2:$J$505)+SUMIF(Mercado_Receita!$S$2:$S$505,"44652BGeraçãoNão se aplicaNão se aplicaAPENão se aplicaNão se aplica",Mercado_Receita!$J$2:$J$505)</f>
        <v>0</v>
      </c>
      <c r="Q17" s="13">
        <f>SUMIF(Mercado_Receita!$S$2:$S$505,"44682BGeraçãoNão se aplicaNão se aplicaTIPO 02Não se aplicaNão se aplica",Mercado_Receita!$J$2:$J$505)+SUMIF(Mercado_Receita!$S$2:$S$505,"44682BGeraçãoNão se aplicaNão se aplicaAPENão se aplicaNão se aplica",Mercado_Receita!$J$2:$J$505)</f>
        <v>0</v>
      </c>
      <c r="R17" s="13">
        <f>SUMIF(Mercado_Receita!$S$2:$S$505,"44713BGeraçãoNão se aplicaNão se aplicaTIPO 02Não se aplicaNão se aplica",Mercado_Receita!$J$2:$J$505)+SUMIF(Mercado_Receita!$S$2:$S$505,"44713BGeraçãoNão se aplicaNão se aplicaAPENão se aplicaNão se aplica",Mercado_Receita!$J$2:$J$505)</f>
        <v>0</v>
      </c>
      <c r="S17" s="13">
        <f>SUMIF(Mercado_Receita!$S$2:$S$505,"44743BGeraçãoNão se aplicaNão se aplicaTIPO 02Não se aplicaNão se aplica",Mercado_Receita!$J$2:$J$505)+SUMIF(Mercado_Receita!$S$2:$S$505,"44743BGeraçãoNão se aplicaNão se aplicaAPENão se aplicaNão se aplica",Mercado_Receita!$J$2:$J$505)</f>
        <v>0</v>
      </c>
      <c r="T17" s="13">
        <f>SUMIF(Mercado_Receita!$S$2:$S$505,"44774BGeraçãoNão se aplicaNão se aplicaTIPO 02Não se aplicaNão se aplica",Mercado_Receita!$J$2:$J$505)+SUMIF(Mercado_Receita!$S$2:$S$505,"44774BGeraçãoNão se aplicaNão se aplicaAPENão se aplicaNão se aplica",Mercado_Receita!$J$2:$J$505)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6" t="s">
        <v>22</v>
      </c>
      <c r="B18" s="76" t="s">
        <v>55</v>
      </c>
      <c r="C18" s="76" t="s">
        <v>24</v>
      </c>
      <c r="D18" s="76" t="s">
        <v>24</v>
      </c>
      <c r="E18" s="76" t="s">
        <v>25</v>
      </c>
      <c r="F18" s="76" t="s">
        <v>25</v>
      </c>
      <c r="G18" s="13" t="s">
        <v>75</v>
      </c>
      <c r="H18" s="13" t="s">
        <v>74</v>
      </c>
      <c r="I18" s="13">
        <f>SUMIF(Mercado_Receita!$S$2:$S$505,"44440B1BrancaResidencialResidencialNão se aplicaNão se aplicaPonta",Mercado_Receita!$L$2:$L$505)</f>
        <v>0</v>
      </c>
      <c r="J18" s="13">
        <f>SUMIF(Mercado_Receita!$S$2:$S$505,"44470B1BrancaResidencialResidencialNão se aplicaNão se aplicaPonta",Mercado_Receita!$L$2:$L$505)</f>
        <v>0</v>
      </c>
      <c r="K18" s="13">
        <f>SUMIF(Mercado_Receita!$S$2:$S$505,"44501B1BrancaResidencialResidencialNão se aplicaNão se aplicaPonta",Mercado_Receita!$L$2:$L$505)</f>
        <v>0</v>
      </c>
      <c r="L18" s="13">
        <f>SUMIF(Mercado_Receita!$S$2:$S$505,"44531B1BrancaResidencialResidencialNão se aplicaNão se aplicaPonta",Mercado_Receita!$L$2:$L$505)</f>
        <v>0</v>
      </c>
      <c r="M18" s="13">
        <f>SUMIF(Mercado_Receita!$S$2:$S$505,"44562B1BrancaResidencialResidencialNão se aplicaNão se aplicaPonta",Mercado_Receita!$L$2:$L$505)</f>
        <v>0</v>
      </c>
      <c r="N18" s="13">
        <f>SUMIF(Mercado_Receita!$S$2:$S$505,"44593B1BrancaResidencialResidencialNão se aplicaNão se aplicaPonta",Mercado_Receita!$L$2:$L$505)</f>
        <v>0</v>
      </c>
      <c r="O18" s="13">
        <f>SUMIF(Mercado_Receita!$S$2:$S$505,"44621B1BrancaResidencialResidencialNão se aplicaNão se aplicaPonta",Mercado_Receita!$L$2:$L$505)</f>
        <v>0</v>
      </c>
      <c r="P18" s="13">
        <f>SUMIF(Mercado_Receita!$S$2:$S$505,"44652B1BrancaResidencialResidencialNão se aplicaNão se aplicaPonta",Mercado_Receita!$L$2:$L$505)</f>
        <v>0</v>
      </c>
      <c r="Q18" s="13">
        <f>SUMIF(Mercado_Receita!$S$2:$S$505,"44682B1BrancaResidencialResidencialNão se aplicaNão se aplicaPonta",Mercado_Receita!$L$2:$L$505)</f>
        <v>0.02</v>
      </c>
      <c r="R18" s="13">
        <f>SUMIF(Mercado_Receita!$S$2:$S$505,"44713B1BrancaResidencialResidencialNão se aplicaNão se aplicaPonta",Mercado_Receita!$L$2:$L$505)</f>
        <v>4.5999999999999999E-2</v>
      </c>
      <c r="S18" s="13">
        <f>SUMIF(Mercado_Receita!$S$2:$S$505,"44743B1BrancaResidencialResidencialNão se aplicaNão se aplicaPonta",Mercado_Receita!$L$2:$L$505)</f>
        <v>4.3999999999999997E-2</v>
      </c>
      <c r="T18" s="13">
        <f>SUMIF(Mercado_Receita!$S$2:$S$505,"44774B1BrancaResidencialResidencialNão se aplicaNão se aplicaPonta",Mercado_Receita!$L$2:$L$505)</f>
        <v>4.3999999999999997E-2</v>
      </c>
      <c r="U18" s="13">
        <f t="shared" si="0"/>
        <v>0.154</v>
      </c>
      <c r="V18" s="13"/>
      <c r="W18" s="13"/>
    </row>
    <row r="19" spans="1:23" ht="11.25" customHeight="1" x14ac:dyDescent="0.25">
      <c r="A19" s="77"/>
      <c r="B19" s="77"/>
      <c r="C19" s="77"/>
      <c r="D19" s="77"/>
      <c r="E19" s="77"/>
      <c r="F19" s="77"/>
      <c r="G19" s="13" t="s">
        <v>86</v>
      </c>
      <c r="H19" s="13" t="s">
        <v>74</v>
      </c>
      <c r="I19" s="13">
        <f>SUMIF(Mercado_Receita!$S$2:$S$505,"44440B1BrancaResidencialResidencialNão se aplicaNão se aplicaIntermediário",Mercado_Receita!$L$2:$L$505)</f>
        <v>0</v>
      </c>
      <c r="J19" s="13">
        <f>SUMIF(Mercado_Receita!$S$2:$S$505,"44470B1BrancaResidencialResidencialNão se aplicaNão se aplicaIntermediário",Mercado_Receita!$L$2:$L$505)</f>
        <v>0</v>
      </c>
      <c r="K19" s="13">
        <f>SUMIF(Mercado_Receita!$S$2:$S$505,"44501B1BrancaResidencialResidencialNão se aplicaNão se aplicaIntermediário",Mercado_Receita!$L$2:$L$505)</f>
        <v>0</v>
      </c>
      <c r="L19" s="13">
        <f>SUMIF(Mercado_Receita!$S$2:$S$505,"44531B1BrancaResidencialResidencialNão se aplicaNão se aplicaIntermediário",Mercado_Receita!$L$2:$L$505)</f>
        <v>0</v>
      </c>
      <c r="M19" s="13">
        <f>SUMIF(Mercado_Receita!$S$2:$S$505,"44562B1BrancaResidencialResidencialNão se aplicaNão se aplicaIntermediário",Mercado_Receita!$L$2:$L$505)</f>
        <v>0</v>
      </c>
      <c r="N19" s="13">
        <f>SUMIF(Mercado_Receita!$S$2:$S$505,"44593B1BrancaResidencialResidencialNão se aplicaNão se aplicaIntermediário",Mercado_Receita!$L$2:$L$505)</f>
        <v>0</v>
      </c>
      <c r="O19" s="13">
        <f>SUMIF(Mercado_Receita!$S$2:$S$505,"44621B1BrancaResidencialResidencialNão se aplicaNão se aplicaIntermediário",Mercado_Receita!$L$2:$L$505)</f>
        <v>0</v>
      </c>
      <c r="P19" s="13">
        <f>SUMIF(Mercado_Receita!$S$2:$S$505,"44652B1BrancaResidencialResidencialNão se aplicaNão se aplicaIntermediário",Mercado_Receita!$L$2:$L$505)</f>
        <v>0</v>
      </c>
      <c r="Q19" s="13">
        <f>SUMIF(Mercado_Receita!$S$2:$S$505,"44682B1BrancaResidencialResidencialNão se aplicaNão se aplicaIntermediário",Mercado_Receita!$L$2:$L$505)</f>
        <v>6.0000000000000001E-3</v>
      </c>
      <c r="R19" s="13">
        <f>SUMIF(Mercado_Receita!$S$2:$S$505,"44713B1BrancaResidencialResidencialNão se aplicaNão se aplicaIntermediário",Mercado_Receita!$L$2:$L$505)</f>
        <v>3.2000000000000001E-2</v>
      </c>
      <c r="S19" s="13">
        <f>SUMIF(Mercado_Receita!$S$2:$S$505,"44743B1BrancaResidencialResidencialNão se aplicaNão se aplicaIntermediário",Mercado_Receita!$L$2:$L$505)</f>
        <v>2.4E-2</v>
      </c>
      <c r="T19" s="13">
        <f>SUMIF(Mercado_Receita!$S$2:$S$505,"44774B1BrancaResidencialResidencialNão se aplicaNão se aplicaIntermediário",Mercado_Receita!$L$2:$L$505)</f>
        <v>2.4E-2</v>
      </c>
      <c r="U19" s="13">
        <f t="shared" si="0"/>
        <v>8.5999999999999993E-2</v>
      </c>
      <c r="V19" s="13"/>
      <c r="W19" s="13"/>
    </row>
    <row r="20" spans="1:23" ht="11.25" customHeight="1" x14ac:dyDescent="0.25">
      <c r="A20" s="77"/>
      <c r="B20" s="77"/>
      <c r="C20" s="77"/>
      <c r="D20" s="77"/>
      <c r="E20" s="77"/>
      <c r="F20" s="77"/>
      <c r="G20" s="13" t="s">
        <v>76</v>
      </c>
      <c r="H20" s="13" t="s">
        <v>74</v>
      </c>
      <c r="I20" s="13">
        <f>SUMIF(Mercado_Receita!$S$2:$S$505,"44440B1BrancaResidencialResidencialNão se aplicaNão se aplicaFora ponta",Mercado_Receita!$L$2:$L$505)</f>
        <v>0</v>
      </c>
      <c r="J20" s="13">
        <f>SUMIF(Mercado_Receita!$S$2:$S$505,"44470B1BrancaResidencialResidencialNão se aplicaNão se aplicaFora ponta",Mercado_Receita!$L$2:$L$505)</f>
        <v>0</v>
      </c>
      <c r="K20" s="13">
        <f>SUMIF(Mercado_Receita!$S$2:$S$505,"44501B1BrancaResidencialResidencialNão se aplicaNão se aplicaFora ponta",Mercado_Receita!$L$2:$L$505)</f>
        <v>0</v>
      </c>
      <c r="L20" s="13">
        <f>SUMIF(Mercado_Receita!$S$2:$S$505,"44531B1BrancaResidencialResidencialNão se aplicaNão se aplicaFora ponta",Mercado_Receita!$L$2:$L$505)</f>
        <v>0</v>
      </c>
      <c r="M20" s="13">
        <f>SUMIF(Mercado_Receita!$S$2:$S$505,"44562B1BrancaResidencialResidencialNão se aplicaNão se aplicaFora ponta",Mercado_Receita!$L$2:$L$505)</f>
        <v>0</v>
      </c>
      <c r="N20" s="13">
        <f>SUMIF(Mercado_Receita!$S$2:$S$505,"44593B1BrancaResidencialResidencialNão se aplicaNão se aplicaFora ponta",Mercado_Receita!$L$2:$L$505)</f>
        <v>0</v>
      </c>
      <c r="O20" s="13">
        <f>SUMIF(Mercado_Receita!$S$2:$S$505,"44621B1BrancaResidencialResidencialNão se aplicaNão se aplicaFora ponta",Mercado_Receita!$L$2:$L$505)</f>
        <v>0</v>
      </c>
      <c r="P20" s="13">
        <f>SUMIF(Mercado_Receita!$S$2:$S$505,"44652B1BrancaResidencialResidencialNão se aplicaNão se aplicaFora ponta",Mercado_Receita!$L$2:$L$505)</f>
        <v>0</v>
      </c>
      <c r="Q20" s="13">
        <f>SUMIF(Mercado_Receita!$S$2:$S$505,"44682B1BrancaResidencialResidencialNão se aplicaNão se aplicaFora ponta",Mercado_Receita!$L$2:$L$505)</f>
        <v>0.113</v>
      </c>
      <c r="R20" s="13">
        <f>SUMIF(Mercado_Receita!$S$2:$S$505,"44713B1BrancaResidencialResidencialNão se aplicaNão se aplicaFora ponta",Mercado_Receita!$L$2:$L$505)</f>
        <v>0.35199999999999998</v>
      </c>
      <c r="S20" s="13">
        <f>SUMIF(Mercado_Receita!$S$2:$S$505,"44743B1BrancaResidencialResidencialNão se aplicaNão se aplicaFora ponta",Mercado_Receita!$L$2:$L$505)</f>
        <v>0.24299999999999999</v>
      </c>
      <c r="T20" s="13">
        <f>SUMIF(Mercado_Receita!$S$2:$S$505,"44774B1BrancaResidencialResidencialNão se aplicaNão se aplicaFora ponta",Mercado_Receita!$L$2:$L$505)</f>
        <v>0.24299999999999999</v>
      </c>
      <c r="U20" s="13">
        <f t="shared" si="0"/>
        <v>0.95099999999999996</v>
      </c>
      <c r="V20" s="13"/>
      <c r="W20" s="13"/>
    </row>
    <row r="21" spans="1:23" ht="11.25" customHeight="1" x14ac:dyDescent="0.25">
      <c r="A21" s="77"/>
      <c r="B21" s="76" t="s">
        <v>23</v>
      </c>
      <c r="C21" s="76" t="s">
        <v>24</v>
      </c>
      <c r="D21" s="12" t="s">
        <v>24</v>
      </c>
      <c r="E21" s="12" t="s">
        <v>25</v>
      </c>
      <c r="F21" s="12" t="s">
        <v>25</v>
      </c>
      <c r="G21" s="13" t="s">
        <v>80</v>
      </c>
      <c r="H21" s="13" t="s">
        <v>74</v>
      </c>
      <c r="I21" s="13">
        <f>SUMIF(Mercado_Receita!$S$2:$S$505,"44440B1ConvencionalResidencialResidencialNão se aplicaNão se aplicaPonta",Mercado_Receita!$L$2:$L$505)+SUMIF(Mercado_Receita!$S$2:$S$505,"44440B1ConvencionalResidencialResidencialNão se aplicaNão se aplicaFora ponta",Mercado_Receita!$L$2:$L$505)+SUMIF(Mercado_Receita!$S$2:$S$505,"44440B1ConvencionalResidencialResidencialNão se aplicaNão se aplicaIntermediário",Mercado_Receita!$L$2:$L$505)+SUMIF(Mercado_Receita!$S$2:$S$505,"44440B1ConvencionalResidencialResidencialNão se aplicaNão se aplicaNão se aplica",Mercado_Receita!$L$2:$L$505)</f>
        <v>4612.8760000000002</v>
      </c>
      <c r="J21" s="13">
        <f>SUMIF(Mercado_Receita!$S$2:$S$505,"44470B1ConvencionalResidencialResidencialNão se aplicaNão se aplicaPonta",Mercado_Receita!$L$2:$L$505)+SUMIF(Mercado_Receita!$S$2:$S$505,"44470B1ConvencionalResidencialResidencialNão se aplicaNão se aplicaFora ponta",Mercado_Receita!$L$2:$L$505)+SUMIF(Mercado_Receita!$S$2:$S$505,"44470B1ConvencionalResidencialResidencialNão se aplicaNão se aplicaIntermediário",Mercado_Receita!$L$2:$L$505)+SUMIF(Mercado_Receita!$S$2:$S$505,"44470B1ConvencionalResidencialResidencialNão se aplicaNão se aplicaNão se aplica",Mercado_Receita!$L$2:$L$505)</f>
        <v>4525.2919999999995</v>
      </c>
      <c r="K21" s="13">
        <f>SUMIF(Mercado_Receita!$S$2:$S$505,"44501B1ConvencionalResidencialResidencialNão se aplicaNão se aplicaPonta",Mercado_Receita!$L$2:$L$505)+SUMIF(Mercado_Receita!$S$2:$S$505,"44501B1ConvencionalResidencialResidencialNão se aplicaNão se aplicaFora ponta",Mercado_Receita!$L$2:$L$505)+SUMIF(Mercado_Receita!$S$2:$S$505,"44501B1ConvencionalResidencialResidencialNão se aplicaNão se aplicaIntermediário",Mercado_Receita!$L$2:$L$505)+SUMIF(Mercado_Receita!$S$2:$S$505,"44501B1ConvencionalResidencialResidencialNão se aplicaNão se aplicaNão se aplica",Mercado_Receita!$L$2:$L$505)</f>
        <v>4393.5640000000003</v>
      </c>
      <c r="L21" s="13">
        <f>SUMIF(Mercado_Receita!$S$2:$S$505,"44531B1ConvencionalResidencialResidencialNão se aplicaNão se aplicaPonta",Mercado_Receita!$L$2:$L$505)+SUMIF(Mercado_Receita!$S$2:$S$505,"44531B1ConvencionalResidencialResidencialNão se aplicaNão se aplicaFora ponta",Mercado_Receita!$L$2:$L$505)+SUMIF(Mercado_Receita!$S$2:$S$505,"44531B1ConvencionalResidencialResidencialNão se aplicaNão se aplicaIntermediário",Mercado_Receita!$L$2:$L$505)+SUMIF(Mercado_Receita!$S$2:$S$505,"44531B1ConvencionalResidencialResidencialNão se aplicaNão se aplicaNão se aplica",Mercado_Receita!$L$2:$L$505)</f>
        <v>4595.4199999999992</v>
      </c>
      <c r="M21" s="13">
        <f>SUMIF(Mercado_Receita!$S$2:$S$505,"44562B1ConvencionalResidencialResidencialNão se aplicaNão se aplicaPonta",Mercado_Receita!$L$2:$L$505)+SUMIF(Mercado_Receita!$S$2:$S$505,"44562B1ConvencionalResidencialResidencialNão se aplicaNão se aplicaFora ponta",Mercado_Receita!$L$2:$L$505)+SUMIF(Mercado_Receita!$S$2:$S$505,"44562B1ConvencionalResidencialResidencialNão se aplicaNão se aplicaIntermediário",Mercado_Receita!$L$2:$L$505)+SUMIF(Mercado_Receita!$S$2:$S$505,"44562B1ConvencionalResidencialResidencialNão se aplicaNão se aplicaNão se aplica",Mercado_Receita!$L$2:$L$505)</f>
        <v>5805.1419999999998</v>
      </c>
      <c r="N21" s="13">
        <f>SUMIF(Mercado_Receita!$S$2:$S$505,"44593B1ConvencionalResidencialResidencialNão se aplicaNão se aplicaPonta",Mercado_Receita!$L$2:$L$505)+SUMIF(Mercado_Receita!$S$2:$S$505,"44593B1ConvencionalResidencialResidencialNão se aplicaNão se aplicaFora ponta",Mercado_Receita!$L$2:$L$505)+SUMIF(Mercado_Receita!$S$2:$S$505,"44593B1ConvencionalResidencialResidencialNão se aplicaNão se aplicaIntermediário",Mercado_Receita!$L$2:$L$505)+SUMIF(Mercado_Receita!$S$2:$S$505,"44593B1ConvencionalResidencialResidencialNão se aplicaNão se aplicaNão se aplica",Mercado_Receita!$L$2:$L$505)</f>
        <v>6093.8149999999996</v>
      </c>
      <c r="O21" s="13">
        <f>SUMIF(Mercado_Receita!$S$2:$S$505,"44621B1ConvencionalResidencialResidencialNão se aplicaNão se aplicaPonta",Mercado_Receita!$L$2:$L$505)+SUMIF(Mercado_Receita!$S$2:$S$505,"44621B1ConvencionalResidencialResidencialNão se aplicaNão se aplicaFora ponta",Mercado_Receita!$L$2:$L$505)+SUMIF(Mercado_Receita!$S$2:$S$505,"44621B1ConvencionalResidencialResidencialNão se aplicaNão se aplicaIntermediário",Mercado_Receita!$L$2:$L$505)+SUMIF(Mercado_Receita!$S$2:$S$505,"44621B1ConvencionalResidencialResidencialNão se aplicaNão se aplicaNão se aplica",Mercado_Receita!$L$2:$L$505)</f>
        <v>5641.8530000000001</v>
      </c>
      <c r="P21" s="13">
        <f>SUMIF(Mercado_Receita!$S$2:$S$505,"44652B1ConvencionalResidencialResidencialNão se aplicaNão se aplicaPonta",Mercado_Receita!$L$2:$L$505)+SUMIF(Mercado_Receita!$S$2:$S$505,"44652B1ConvencionalResidencialResidencialNão se aplicaNão se aplicaFora ponta",Mercado_Receita!$L$2:$L$505)+SUMIF(Mercado_Receita!$S$2:$S$505,"44652B1ConvencionalResidencialResidencialNão se aplicaNão se aplicaIntermediário",Mercado_Receita!$L$2:$L$505)+SUMIF(Mercado_Receita!$S$2:$S$505,"44652B1ConvencionalResidencialResidencialNão se aplicaNão se aplicaNão se aplica",Mercado_Receita!$L$2:$L$505)</f>
        <v>4760.0790000000006</v>
      </c>
      <c r="Q21" s="13">
        <f>SUMIF(Mercado_Receita!$S$2:$S$505,"44682B1ConvencionalResidencialResidencialNão se aplicaNão se aplicaPonta",Mercado_Receita!$L$2:$L$505)+SUMIF(Mercado_Receita!$S$2:$S$505,"44682B1ConvencionalResidencialResidencialNão se aplicaNão se aplicaFora ponta",Mercado_Receita!$L$2:$L$505)+SUMIF(Mercado_Receita!$S$2:$S$505,"44682B1ConvencionalResidencialResidencialNão se aplicaNão se aplicaIntermediário",Mercado_Receita!$L$2:$L$505)+SUMIF(Mercado_Receita!$S$2:$S$505,"44682B1ConvencionalResidencialResidencialNão se aplicaNão se aplicaNão se aplica",Mercado_Receita!$L$2:$L$505)</f>
        <v>4270.5949999999993</v>
      </c>
      <c r="R21" s="13">
        <f>SUMIF(Mercado_Receita!$S$2:$S$505,"44713B1ConvencionalResidencialResidencialNão se aplicaNão se aplicaPonta",Mercado_Receita!$L$2:$L$505)+SUMIF(Mercado_Receita!$S$2:$S$505,"44713B1ConvencionalResidencialResidencialNão se aplicaNão se aplicaFora ponta",Mercado_Receita!$L$2:$L$505)+SUMIF(Mercado_Receita!$S$2:$S$505,"44713B1ConvencionalResidencialResidencialNão se aplicaNão se aplicaIntermediário",Mercado_Receita!$L$2:$L$505)+SUMIF(Mercado_Receita!$S$2:$S$505,"44713B1ConvencionalResidencialResidencialNão se aplicaNão se aplicaNão se aplica",Mercado_Receita!$L$2:$L$505)</f>
        <v>4558.3890000000001</v>
      </c>
      <c r="S21" s="13">
        <f>SUMIF(Mercado_Receita!$S$2:$S$505,"44743B1ConvencionalResidencialResidencialNão se aplicaNão se aplicaPonta",Mercado_Receita!$L$2:$L$505)+SUMIF(Mercado_Receita!$S$2:$S$505,"44743B1ConvencionalResidencialResidencialNão se aplicaNão se aplicaFora ponta",Mercado_Receita!$L$2:$L$505)+SUMIF(Mercado_Receita!$S$2:$S$505,"44743B1ConvencionalResidencialResidencialNão se aplicaNão se aplicaIntermediário",Mercado_Receita!$L$2:$L$505)+SUMIF(Mercado_Receita!$S$2:$S$505,"44743B1ConvencionalResidencialResidencialNão se aplicaNão se aplicaNão se aplica",Mercado_Receita!$L$2:$L$505)</f>
        <v>4642.7289999999994</v>
      </c>
      <c r="T21" s="13">
        <f>SUMIF(Mercado_Receita!$S$2:$S$505,"44774B1ConvencionalResidencialResidencialNão se aplicaNão se aplicaPonta",Mercado_Receita!$L$2:$L$505)+SUMIF(Mercado_Receita!$S$2:$S$505,"44774B1ConvencionalResidencialResidencialNão se aplicaNão se aplicaFora ponta",Mercado_Receita!$L$2:$L$505)+SUMIF(Mercado_Receita!$S$2:$S$505,"44774B1ConvencionalResidencialResidencialNão se aplicaNão se aplicaIntermediário",Mercado_Receita!$L$2:$L$505)+SUMIF(Mercado_Receita!$S$2:$S$505,"44774B1ConvencionalResidencialResidencialNão se aplicaNão se aplicaNão se aplica",Mercado_Receita!$L$2:$L$505)</f>
        <v>4642.7289999999994</v>
      </c>
      <c r="U21" s="13">
        <f t="shared" si="0"/>
        <v>58542.483</v>
      </c>
      <c r="V21" s="13"/>
      <c r="W21" s="13"/>
    </row>
    <row r="22" spans="1:23" ht="11.25" customHeight="1" x14ac:dyDescent="0.25">
      <c r="A22" s="77"/>
      <c r="B22" s="77"/>
      <c r="C22" s="77"/>
      <c r="D22" s="12" t="s">
        <v>29</v>
      </c>
      <c r="E22" s="12" t="s">
        <v>25</v>
      </c>
      <c r="F22" s="12" t="s">
        <v>25</v>
      </c>
      <c r="G22" s="13" t="s">
        <v>80</v>
      </c>
      <c r="H22" s="13" t="s">
        <v>74</v>
      </c>
      <c r="I22" s="13">
        <f>SUMIF(Mercado_Receita!$S$2:$S$505,"44440B1ConvencionalResidencialResidencial baixa renda – faixa 01Não se aplicaNão se aplicaPonta",Mercado_Receita!$L$2:$L$505)+SUMIF(Mercado_Receita!$S$2:$S$505,"44440B1ConvencionalResidencialResidencial baixa renda – faixa 01Não se aplicaNão se aplicaFora ponta",Mercado_Receita!$L$2:$L$505)+SUMIF(Mercado_Receita!$S$2:$S$505,"44440B1ConvencionalResidencialResidencial baixa renda – faixa 01Não se aplicaNão se aplicaIntermediário",Mercado_Receita!$L$2:$L$505)+SUMIF(Mercado_Receita!$S$2:$S$505,"44440B1ConvencionalResidencialResidencial baixa renda – faixa 01Não se aplicaNão se aplicaNão se aplica",Mercado_Receita!$L$2:$L$505)</f>
        <v>12.63</v>
      </c>
      <c r="J22" s="13">
        <f>SUMIF(Mercado_Receita!$S$2:$S$505,"44470B1ConvencionalResidencialResidencial baixa renda – faixa 01Não se aplicaNão se aplicaPonta",Mercado_Receita!$L$2:$L$505)+SUMIF(Mercado_Receita!$S$2:$S$505,"44470B1ConvencionalResidencialResidencial baixa renda – faixa 01Não se aplicaNão se aplicaFora ponta",Mercado_Receita!$L$2:$L$505)+SUMIF(Mercado_Receita!$S$2:$S$505,"44470B1ConvencionalResidencialResidencial baixa renda – faixa 01Não se aplicaNão se aplicaIntermediário",Mercado_Receita!$L$2:$L$505)+SUMIF(Mercado_Receita!$S$2:$S$505,"44470B1ConvencionalResidencialResidencial baixa renda – faixa 01Não se aplicaNão se aplicaNão se aplica",Mercado_Receita!$L$2:$L$505)</f>
        <v>12.9</v>
      </c>
      <c r="K22" s="13">
        <f>SUMIF(Mercado_Receita!$S$2:$S$505,"44501B1ConvencionalResidencialResidencial baixa renda – faixa 01Não se aplicaNão se aplicaPonta",Mercado_Receita!$L$2:$L$505)+SUMIF(Mercado_Receita!$S$2:$S$505,"44501B1ConvencionalResidencialResidencial baixa renda – faixa 01Não se aplicaNão se aplicaFora ponta",Mercado_Receita!$L$2:$L$505)+SUMIF(Mercado_Receita!$S$2:$S$505,"44501B1ConvencionalResidencialResidencial baixa renda – faixa 01Não se aplicaNão se aplicaIntermediário",Mercado_Receita!$L$2:$L$505)+SUMIF(Mercado_Receita!$S$2:$S$505,"44501B1ConvencionalResidencialResidencial baixa renda – faixa 01Não se aplicaNão se aplicaNão se aplica",Mercado_Receita!$L$2:$L$505)</f>
        <v>13.145</v>
      </c>
      <c r="L22" s="13">
        <f>SUMIF(Mercado_Receita!$S$2:$S$505,"44531B1ConvencionalResidencialResidencial baixa renda – faixa 01Não se aplicaNão se aplicaPonta",Mercado_Receita!$L$2:$L$505)+SUMIF(Mercado_Receita!$S$2:$S$505,"44531B1ConvencionalResidencialResidencial baixa renda – faixa 01Não se aplicaNão se aplicaFora ponta",Mercado_Receita!$L$2:$L$505)+SUMIF(Mercado_Receita!$S$2:$S$505,"44531B1ConvencionalResidencialResidencial baixa renda – faixa 01Não se aplicaNão se aplicaIntermediário",Mercado_Receita!$L$2:$L$505)+SUMIF(Mercado_Receita!$S$2:$S$505,"44531B1ConvencionalResidencialResidencial baixa renda – faixa 01Não se aplicaNão se aplicaNão se aplica",Mercado_Receita!$L$2:$L$505)</f>
        <v>13.44</v>
      </c>
      <c r="M22" s="13">
        <f>SUMIF(Mercado_Receita!$S$2:$S$505,"44562B1ConvencionalResidencialResidencial baixa renda – faixa 01Não se aplicaNão se aplicaPonta",Mercado_Receita!$L$2:$L$505)+SUMIF(Mercado_Receita!$S$2:$S$505,"44562B1ConvencionalResidencialResidencial baixa renda – faixa 01Não se aplicaNão se aplicaFora ponta",Mercado_Receita!$L$2:$L$505)+SUMIF(Mercado_Receita!$S$2:$S$505,"44562B1ConvencionalResidencialResidencial baixa renda – faixa 01Não se aplicaNão se aplicaIntermediário",Mercado_Receita!$L$2:$L$505)+SUMIF(Mercado_Receita!$S$2:$S$505,"44562B1ConvencionalResidencialResidencial baixa renda – faixa 01Não se aplicaNão se aplicaNão se aplica",Mercado_Receita!$L$2:$L$505)</f>
        <v>13.53</v>
      </c>
      <c r="N22" s="13">
        <f>SUMIF(Mercado_Receita!$S$2:$S$505,"44593B1ConvencionalResidencialResidencial baixa renda – faixa 01Não se aplicaNão se aplicaPonta",Mercado_Receita!$L$2:$L$505)+SUMIF(Mercado_Receita!$S$2:$S$505,"44593B1ConvencionalResidencialResidencial baixa renda – faixa 01Não se aplicaNão se aplicaFora ponta",Mercado_Receita!$L$2:$L$505)+SUMIF(Mercado_Receita!$S$2:$S$505,"44593B1ConvencionalResidencialResidencial baixa renda – faixa 01Não se aplicaNão se aplicaIntermediário",Mercado_Receita!$L$2:$L$505)+SUMIF(Mercado_Receita!$S$2:$S$505,"44593B1ConvencionalResidencialResidencial baixa renda – faixa 01Não se aplicaNão se aplicaNão se aplica",Mercado_Receita!$L$2:$L$505)</f>
        <v>14.97</v>
      </c>
      <c r="O22" s="13">
        <f>SUMIF(Mercado_Receita!$S$2:$S$505,"44621B1ConvencionalResidencialResidencial baixa renda – faixa 01Não se aplicaNão se aplicaPonta",Mercado_Receita!$L$2:$L$505)+SUMIF(Mercado_Receita!$S$2:$S$505,"44621B1ConvencionalResidencialResidencial baixa renda – faixa 01Não se aplicaNão se aplicaFora ponta",Mercado_Receita!$L$2:$L$505)+SUMIF(Mercado_Receita!$S$2:$S$505,"44621B1ConvencionalResidencialResidencial baixa renda – faixa 01Não se aplicaNão se aplicaIntermediário",Mercado_Receita!$L$2:$L$505)+SUMIF(Mercado_Receita!$S$2:$S$505,"44621B1ConvencionalResidencialResidencial baixa renda – faixa 01Não se aplicaNão se aplicaNão se aplica",Mercado_Receita!$L$2:$L$505)</f>
        <v>19.440000000000001</v>
      </c>
      <c r="P22" s="13">
        <f>SUMIF(Mercado_Receita!$S$2:$S$505,"44652B1ConvencionalResidencialResidencial baixa renda – faixa 01Não se aplicaNão se aplicaPonta",Mercado_Receita!$L$2:$L$505)+SUMIF(Mercado_Receita!$S$2:$S$505,"44652B1ConvencionalResidencialResidencial baixa renda – faixa 01Não se aplicaNão se aplicaFora ponta",Mercado_Receita!$L$2:$L$505)+SUMIF(Mercado_Receita!$S$2:$S$505,"44652B1ConvencionalResidencialResidencial baixa renda – faixa 01Não se aplicaNão se aplicaIntermediário",Mercado_Receita!$L$2:$L$505)+SUMIF(Mercado_Receita!$S$2:$S$505,"44652B1ConvencionalResidencialResidencial baixa renda – faixa 01Não se aplicaNão se aplicaNão se aplica",Mercado_Receita!$L$2:$L$505)</f>
        <v>21.99</v>
      </c>
      <c r="Q22" s="13">
        <f>SUMIF(Mercado_Receita!$S$2:$S$505,"44682B1ConvencionalResidencialResidencial baixa renda – faixa 01Não se aplicaNão se aplicaPonta",Mercado_Receita!$L$2:$L$505)+SUMIF(Mercado_Receita!$S$2:$S$505,"44682B1ConvencionalResidencialResidencial baixa renda – faixa 01Não se aplicaNão se aplicaFora ponta",Mercado_Receita!$L$2:$L$505)+SUMIF(Mercado_Receita!$S$2:$S$505,"44682B1ConvencionalResidencialResidencial baixa renda – faixa 01Não se aplicaNão se aplicaIntermediário",Mercado_Receita!$L$2:$L$505)+SUMIF(Mercado_Receita!$S$2:$S$505,"44682B1ConvencionalResidencialResidencial baixa renda – faixa 01Não se aplicaNão se aplicaNão se aplica",Mercado_Receita!$L$2:$L$505)</f>
        <v>22.77</v>
      </c>
      <c r="R22" s="13">
        <f>SUMIF(Mercado_Receita!$S$2:$S$505,"44713B1ConvencionalResidencialResidencial baixa renda – faixa 01Não se aplicaNão se aplicaPonta",Mercado_Receita!$L$2:$L$505)+SUMIF(Mercado_Receita!$S$2:$S$505,"44713B1ConvencionalResidencialResidencial baixa renda – faixa 01Não se aplicaNão se aplicaFora ponta",Mercado_Receita!$L$2:$L$505)+SUMIF(Mercado_Receita!$S$2:$S$505,"44713B1ConvencionalResidencialResidencial baixa renda – faixa 01Não se aplicaNão se aplicaIntermediário",Mercado_Receita!$L$2:$L$505)+SUMIF(Mercado_Receita!$S$2:$S$505,"44713B1ConvencionalResidencialResidencial baixa renda – faixa 01Não se aplicaNão se aplicaNão se aplica",Mercado_Receita!$L$2:$L$505)</f>
        <v>22.44</v>
      </c>
      <c r="S22" s="13">
        <f>SUMIF(Mercado_Receita!$S$2:$S$505,"44743B1ConvencionalResidencialResidencial baixa renda – faixa 01Não se aplicaNão se aplicaPonta",Mercado_Receita!$L$2:$L$505)+SUMIF(Mercado_Receita!$S$2:$S$505,"44743B1ConvencionalResidencialResidencial baixa renda – faixa 01Não se aplicaNão se aplicaFora ponta",Mercado_Receita!$L$2:$L$505)+SUMIF(Mercado_Receita!$S$2:$S$505,"44743B1ConvencionalResidencialResidencial baixa renda – faixa 01Não se aplicaNão se aplicaIntermediário",Mercado_Receita!$L$2:$L$505)+SUMIF(Mercado_Receita!$S$2:$S$505,"44743B1ConvencionalResidencialResidencial baixa renda – faixa 01Não se aplicaNão se aplicaNão se aplica",Mercado_Receita!$L$2:$L$505)</f>
        <v>21.09</v>
      </c>
      <c r="T22" s="13">
        <f>SUMIF(Mercado_Receita!$S$2:$S$505,"44774B1ConvencionalResidencialResidencial baixa renda – faixa 01Não se aplicaNão se aplicaPonta",Mercado_Receita!$L$2:$L$505)+SUMIF(Mercado_Receita!$S$2:$S$505,"44774B1ConvencionalResidencialResidencial baixa renda – faixa 01Não se aplicaNão se aplicaFora ponta",Mercado_Receita!$L$2:$L$505)+SUMIF(Mercado_Receita!$S$2:$S$505,"44774B1ConvencionalResidencialResidencial baixa renda – faixa 01Não se aplicaNão se aplicaIntermediário",Mercado_Receita!$L$2:$L$505)+SUMIF(Mercado_Receita!$S$2:$S$505,"44774B1ConvencionalResidencialResidencial baixa renda – faixa 01Não se aplicaNão se aplicaNão se aplica",Mercado_Receita!$L$2:$L$505)</f>
        <v>21.09</v>
      </c>
      <c r="U22" s="13">
        <f t="shared" si="0"/>
        <v>209.435</v>
      </c>
      <c r="V22" s="13"/>
      <c r="W22" s="13"/>
    </row>
    <row r="23" spans="1:23" ht="11.25" customHeight="1" x14ac:dyDescent="0.25">
      <c r="A23" s="77"/>
      <c r="B23" s="77"/>
      <c r="C23" s="77"/>
      <c r="D23" s="12" t="s">
        <v>30</v>
      </c>
      <c r="E23" s="12" t="s">
        <v>25</v>
      </c>
      <c r="F23" s="12" t="s">
        <v>25</v>
      </c>
      <c r="G23" s="13" t="s">
        <v>80</v>
      </c>
      <c r="H23" s="13" t="s">
        <v>74</v>
      </c>
      <c r="I23" s="13">
        <f>SUMIF(Mercado_Receita!$S$2:$S$505,"44440B1ConvencionalResidencialResidencial baixa renda – faixa 02Não se aplicaNão se aplicaPonta",Mercado_Receita!$L$2:$L$505)+SUMIF(Mercado_Receita!$S$2:$S$505,"44440B1ConvencionalResidencialResidencial baixa renda – faixa 02Não se aplicaNão se aplicaFora ponta",Mercado_Receita!$L$2:$L$505)+SUMIF(Mercado_Receita!$S$2:$S$505,"44440B1ConvencionalResidencialResidencial baixa renda – faixa 02Não se aplicaNão se aplicaIntermediário",Mercado_Receita!$L$2:$L$505)+SUMIF(Mercado_Receita!$S$2:$S$505,"44440B1ConvencionalResidencialResidencial baixa renda – faixa 02Não se aplicaNão se aplicaNão se aplica",Mercado_Receita!$L$2:$L$505)</f>
        <v>27.273</v>
      </c>
      <c r="J23" s="13">
        <f>SUMIF(Mercado_Receita!$S$2:$S$505,"44470B1ConvencionalResidencialResidencial baixa renda – faixa 02Não se aplicaNão se aplicaPonta",Mercado_Receita!$L$2:$L$505)+SUMIF(Mercado_Receita!$S$2:$S$505,"44470B1ConvencionalResidencialResidencial baixa renda – faixa 02Não se aplicaNão se aplicaFora ponta",Mercado_Receita!$L$2:$L$505)+SUMIF(Mercado_Receita!$S$2:$S$505,"44470B1ConvencionalResidencialResidencial baixa renda – faixa 02Não se aplicaNão se aplicaIntermediário",Mercado_Receita!$L$2:$L$505)+SUMIF(Mercado_Receita!$S$2:$S$505,"44470B1ConvencionalResidencialResidencial baixa renda – faixa 02Não se aplicaNão se aplicaNão se aplica",Mercado_Receita!$L$2:$L$505)</f>
        <v>27.638999999999999</v>
      </c>
      <c r="K23" s="13">
        <f>SUMIF(Mercado_Receita!$S$2:$S$505,"44501B1ConvencionalResidencialResidencial baixa renda – faixa 02Não se aplicaNão se aplicaPonta",Mercado_Receita!$L$2:$L$505)+SUMIF(Mercado_Receita!$S$2:$S$505,"44501B1ConvencionalResidencialResidencial baixa renda – faixa 02Não se aplicaNão se aplicaFora ponta",Mercado_Receita!$L$2:$L$505)+SUMIF(Mercado_Receita!$S$2:$S$505,"44501B1ConvencionalResidencialResidencial baixa renda – faixa 02Não se aplicaNão se aplicaIntermediário",Mercado_Receita!$L$2:$L$505)+SUMIF(Mercado_Receita!$S$2:$S$505,"44501B1ConvencionalResidencialResidencial baixa renda – faixa 02Não se aplicaNão se aplicaNão se aplica",Mercado_Receita!$L$2:$L$505)</f>
        <v>28.382000000000001</v>
      </c>
      <c r="L23" s="13">
        <f>SUMIF(Mercado_Receita!$S$2:$S$505,"44531B1ConvencionalResidencialResidencial baixa renda – faixa 02Não se aplicaNão se aplicaPonta",Mercado_Receita!$L$2:$L$505)+SUMIF(Mercado_Receita!$S$2:$S$505,"44531B1ConvencionalResidencialResidencial baixa renda – faixa 02Não se aplicaNão se aplicaFora ponta",Mercado_Receita!$L$2:$L$505)+SUMIF(Mercado_Receita!$S$2:$S$505,"44531B1ConvencionalResidencialResidencial baixa renda – faixa 02Não se aplicaNão se aplicaIntermediário",Mercado_Receita!$L$2:$L$505)+SUMIF(Mercado_Receita!$S$2:$S$505,"44531B1ConvencionalResidencialResidencial baixa renda – faixa 02Não se aplicaNão se aplicaNão se aplica",Mercado_Receita!$L$2:$L$505)</f>
        <v>28.824999999999999</v>
      </c>
      <c r="M23" s="13">
        <f>SUMIF(Mercado_Receita!$S$2:$S$505,"44562B1ConvencionalResidencialResidencial baixa renda – faixa 02Não se aplicaNão se aplicaPonta",Mercado_Receita!$L$2:$L$505)+SUMIF(Mercado_Receita!$S$2:$S$505,"44562B1ConvencionalResidencialResidencial baixa renda – faixa 02Não se aplicaNão se aplicaFora ponta",Mercado_Receita!$L$2:$L$505)+SUMIF(Mercado_Receita!$S$2:$S$505,"44562B1ConvencionalResidencialResidencial baixa renda – faixa 02Não se aplicaNão se aplicaIntermediário",Mercado_Receita!$L$2:$L$505)+SUMIF(Mercado_Receita!$S$2:$S$505,"44562B1ConvencionalResidencialResidencial baixa renda – faixa 02Não se aplicaNão se aplicaNão se aplica",Mercado_Receita!$L$2:$L$505)</f>
        <v>29.748000000000001</v>
      </c>
      <c r="N23" s="13">
        <f>SUMIF(Mercado_Receita!$S$2:$S$505,"44593B1ConvencionalResidencialResidencial baixa renda – faixa 02Não se aplicaNão se aplicaPonta",Mercado_Receita!$L$2:$L$505)+SUMIF(Mercado_Receita!$S$2:$S$505,"44593B1ConvencionalResidencialResidencial baixa renda – faixa 02Não se aplicaNão se aplicaFora ponta",Mercado_Receita!$L$2:$L$505)+SUMIF(Mercado_Receita!$S$2:$S$505,"44593B1ConvencionalResidencialResidencial baixa renda – faixa 02Não se aplicaNão se aplicaIntermediário",Mercado_Receita!$L$2:$L$505)+SUMIF(Mercado_Receita!$S$2:$S$505,"44593B1ConvencionalResidencialResidencial baixa renda – faixa 02Não se aplicaNão se aplicaNão se aplica",Mercado_Receita!$L$2:$L$505)</f>
        <v>33.079000000000001</v>
      </c>
      <c r="O23" s="13">
        <f>SUMIF(Mercado_Receita!$S$2:$S$505,"44621B1ConvencionalResidencialResidencial baixa renda – faixa 02Não se aplicaNão se aplicaPonta",Mercado_Receita!$L$2:$L$505)+SUMIF(Mercado_Receita!$S$2:$S$505,"44621B1ConvencionalResidencialResidencial baixa renda – faixa 02Não se aplicaNão se aplicaFora ponta",Mercado_Receita!$L$2:$L$505)+SUMIF(Mercado_Receita!$S$2:$S$505,"44621B1ConvencionalResidencialResidencial baixa renda – faixa 02Não se aplicaNão se aplicaIntermediário",Mercado_Receita!$L$2:$L$505)+SUMIF(Mercado_Receita!$S$2:$S$505,"44621B1ConvencionalResidencialResidencial baixa renda – faixa 02Não se aplicaNão se aplicaNão se aplica",Mercado_Receita!$L$2:$L$505)</f>
        <v>42.780999999999999</v>
      </c>
      <c r="P23" s="13">
        <f>SUMIF(Mercado_Receita!$S$2:$S$505,"44652B1ConvencionalResidencialResidencial baixa renda – faixa 02Não se aplicaNão se aplicaPonta",Mercado_Receita!$L$2:$L$505)+SUMIF(Mercado_Receita!$S$2:$S$505,"44652B1ConvencionalResidencialResidencial baixa renda – faixa 02Não se aplicaNão se aplicaFora ponta",Mercado_Receita!$L$2:$L$505)+SUMIF(Mercado_Receita!$S$2:$S$505,"44652B1ConvencionalResidencialResidencial baixa renda – faixa 02Não se aplicaNão se aplicaIntermediário",Mercado_Receita!$L$2:$L$505)+SUMIF(Mercado_Receita!$S$2:$S$505,"44652B1ConvencionalResidencialResidencial baixa renda – faixa 02Não se aplicaNão se aplicaNão se aplica",Mercado_Receita!$L$2:$L$505)</f>
        <v>47.735999999999997</v>
      </c>
      <c r="Q23" s="13">
        <f>SUMIF(Mercado_Receita!$S$2:$S$505,"44682B1ConvencionalResidencialResidencial baixa renda – faixa 02Não se aplicaNão se aplicaPonta",Mercado_Receita!$L$2:$L$505)+SUMIF(Mercado_Receita!$S$2:$S$505,"44682B1ConvencionalResidencialResidencial baixa renda – faixa 02Não se aplicaNão se aplicaFora ponta",Mercado_Receita!$L$2:$L$505)+SUMIF(Mercado_Receita!$S$2:$S$505,"44682B1ConvencionalResidencialResidencial baixa renda – faixa 02Não se aplicaNão se aplicaIntermediário",Mercado_Receita!$L$2:$L$505)+SUMIF(Mercado_Receita!$S$2:$S$505,"44682B1ConvencionalResidencialResidencial baixa renda – faixa 02Não se aplicaNão se aplicaNão se aplica",Mercado_Receita!$L$2:$L$505)</f>
        <v>48.088000000000001</v>
      </c>
      <c r="R23" s="13">
        <f>SUMIF(Mercado_Receita!$S$2:$S$505,"44713B1ConvencionalResidencialResidencial baixa renda – faixa 02Não se aplicaNão se aplicaPonta",Mercado_Receita!$L$2:$L$505)+SUMIF(Mercado_Receita!$S$2:$S$505,"44713B1ConvencionalResidencialResidencial baixa renda – faixa 02Não se aplicaNão se aplicaFora ponta",Mercado_Receita!$L$2:$L$505)+SUMIF(Mercado_Receita!$S$2:$S$505,"44713B1ConvencionalResidencialResidencial baixa renda – faixa 02Não se aplicaNão se aplicaIntermediário",Mercado_Receita!$L$2:$L$505)+SUMIF(Mercado_Receita!$S$2:$S$505,"44713B1ConvencionalResidencialResidencial baixa renda – faixa 02Não se aplicaNão se aplicaNão se aplica",Mercado_Receita!$L$2:$L$505)</f>
        <v>47.252000000000002</v>
      </c>
      <c r="S23" s="13">
        <f>SUMIF(Mercado_Receita!$S$2:$S$505,"44743B1ConvencionalResidencialResidencial baixa renda – faixa 02Não se aplicaNão se aplicaPonta",Mercado_Receita!$L$2:$L$505)+SUMIF(Mercado_Receita!$S$2:$S$505,"44743B1ConvencionalResidencialResidencial baixa renda – faixa 02Não se aplicaNão se aplicaFora ponta",Mercado_Receita!$L$2:$L$505)+SUMIF(Mercado_Receita!$S$2:$S$505,"44743B1ConvencionalResidencialResidencial baixa renda – faixa 02Não se aplicaNão se aplicaIntermediário",Mercado_Receita!$L$2:$L$505)+SUMIF(Mercado_Receita!$S$2:$S$505,"44743B1ConvencionalResidencialResidencial baixa renda – faixa 02Não se aplicaNão se aplicaNão se aplica",Mercado_Receita!$L$2:$L$505)</f>
        <v>44.747999999999998</v>
      </c>
      <c r="T23" s="13">
        <f>SUMIF(Mercado_Receita!$S$2:$S$505,"44774B1ConvencionalResidencialResidencial baixa renda – faixa 02Não se aplicaNão se aplicaPonta",Mercado_Receita!$L$2:$L$505)+SUMIF(Mercado_Receita!$S$2:$S$505,"44774B1ConvencionalResidencialResidencial baixa renda – faixa 02Não se aplicaNão se aplicaFora ponta",Mercado_Receita!$L$2:$L$505)+SUMIF(Mercado_Receita!$S$2:$S$505,"44774B1ConvencionalResidencialResidencial baixa renda – faixa 02Não se aplicaNão se aplicaIntermediário",Mercado_Receita!$L$2:$L$505)+SUMIF(Mercado_Receita!$S$2:$S$505,"44774B1ConvencionalResidencialResidencial baixa renda – faixa 02Não se aplicaNão se aplicaNão se aplica",Mercado_Receita!$L$2:$L$505)</f>
        <v>44.747999999999998</v>
      </c>
      <c r="U23" s="13">
        <f t="shared" si="0"/>
        <v>450.29900000000004</v>
      </c>
      <c r="V23" s="13"/>
      <c r="W23" s="13"/>
    </row>
    <row r="24" spans="1:23" ht="11.25" customHeight="1" x14ac:dyDescent="0.25">
      <c r="A24" s="77"/>
      <c r="B24" s="77"/>
      <c r="C24" s="77"/>
      <c r="D24" s="12" t="s">
        <v>31</v>
      </c>
      <c r="E24" s="12" t="s">
        <v>25</v>
      </c>
      <c r="F24" s="12" t="s">
        <v>25</v>
      </c>
      <c r="G24" s="13" t="s">
        <v>80</v>
      </c>
      <c r="H24" s="13" t="s">
        <v>74</v>
      </c>
      <c r="I24" s="13">
        <f>SUMIF(Mercado_Receita!$S$2:$S$505,"44440B1ConvencionalResidencialResidencial baixa renda – faixa 03Não se aplicaNão se aplicaPonta",Mercado_Receita!$L$2:$L$505)+SUMIF(Mercado_Receita!$S$2:$S$505,"44440B1ConvencionalResidencialResidencial baixa renda – faixa 03Não se aplicaNão se aplicaFora ponta",Mercado_Receita!$L$2:$L$505)+SUMIF(Mercado_Receita!$S$2:$S$505,"44440B1ConvencionalResidencialResidencial baixa renda – faixa 03Não se aplicaNão se aplicaIntermediário",Mercado_Receita!$L$2:$L$505)+SUMIF(Mercado_Receita!$S$2:$S$505,"44440B1ConvencionalResidencialResidencial baixa renda – faixa 03Não se aplicaNão se aplicaNão se aplica",Mercado_Receita!$L$2:$L$505)</f>
        <v>31.975999999999999</v>
      </c>
      <c r="J24" s="13">
        <f>SUMIF(Mercado_Receita!$S$2:$S$505,"44470B1ConvencionalResidencialResidencial baixa renda – faixa 03Não se aplicaNão se aplicaPonta",Mercado_Receita!$L$2:$L$505)+SUMIF(Mercado_Receita!$S$2:$S$505,"44470B1ConvencionalResidencialResidencial baixa renda – faixa 03Não se aplicaNão se aplicaFora ponta",Mercado_Receita!$L$2:$L$505)+SUMIF(Mercado_Receita!$S$2:$S$505,"44470B1ConvencionalResidencialResidencial baixa renda – faixa 03Não se aplicaNão se aplicaIntermediário",Mercado_Receita!$L$2:$L$505)+SUMIF(Mercado_Receita!$S$2:$S$505,"44470B1ConvencionalResidencialResidencial baixa renda – faixa 03Não se aplicaNão se aplicaNão se aplica",Mercado_Receita!$L$2:$L$505)</f>
        <v>32.045999999999999</v>
      </c>
      <c r="K24" s="13">
        <f>SUMIF(Mercado_Receita!$S$2:$S$505,"44501B1ConvencionalResidencialResidencial baixa renda – faixa 03Não se aplicaNão se aplicaPonta",Mercado_Receita!$L$2:$L$505)+SUMIF(Mercado_Receita!$S$2:$S$505,"44501B1ConvencionalResidencialResidencial baixa renda – faixa 03Não se aplicaNão se aplicaFora ponta",Mercado_Receita!$L$2:$L$505)+SUMIF(Mercado_Receita!$S$2:$S$505,"44501B1ConvencionalResidencialResidencial baixa renda – faixa 03Não se aplicaNão se aplicaIntermediário",Mercado_Receita!$L$2:$L$505)+SUMIF(Mercado_Receita!$S$2:$S$505,"44501B1ConvencionalResidencialResidencial baixa renda – faixa 03Não se aplicaNão se aplicaNão se aplica",Mercado_Receita!$L$2:$L$505)</f>
        <v>32.201000000000001</v>
      </c>
      <c r="L24" s="13">
        <f>SUMIF(Mercado_Receita!$S$2:$S$505,"44531B1ConvencionalResidencialResidencial baixa renda – faixa 03Não se aplicaNão se aplicaPonta",Mercado_Receita!$L$2:$L$505)+SUMIF(Mercado_Receita!$S$2:$S$505,"44531B1ConvencionalResidencialResidencial baixa renda – faixa 03Não se aplicaNão se aplicaFora ponta",Mercado_Receita!$L$2:$L$505)+SUMIF(Mercado_Receita!$S$2:$S$505,"44531B1ConvencionalResidencialResidencial baixa renda – faixa 03Não se aplicaNão se aplicaIntermediário",Mercado_Receita!$L$2:$L$505)+SUMIF(Mercado_Receita!$S$2:$S$505,"44531B1ConvencionalResidencialResidencial baixa renda – faixa 03Não se aplicaNão se aplicaNão se aplica",Mercado_Receita!$L$2:$L$505)</f>
        <v>33.396999999999998</v>
      </c>
      <c r="M24" s="13">
        <f>SUMIF(Mercado_Receita!$S$2:$S$505,"44562B1ConvencionalResidencialResidencial baixa renda – faixa 03Não se aplicaNão se aplicaPonta",Mercado_Receita!$L$2:$L$505)+SUMIF(Mercado_Receita!$S$2:$S$505,"44562B1ConvencionalResidencialResidencial baixa renda – faixa 03Não se aplicaNão se aplicaFora ponta",Mercado_Receita!$L$2:$L$505)+SUMIF(Mercado_Receita!$S$2:$S$505,"44562B1ConvencionalResidencialResidencial baixa renda – faixa 03Não se aplicaNão se aplicaIntermediário",Mercado_Receita!$L$2:$L$505)+SUMIF(Mercado_Receita!$S$2:$S$505,"44562B1ConvencionalResidencialResidencial baixa renda – faixa 03Não se aplicaNão se aplicaNão se aplica",Mercado_Receita!$L$2:$L$505)</f>
        <v>39.515000000000001</v>
      </c>
      <c r="N24" s="13">
        <f>SUMIF(Mercado_Receita!$S$2:$S$505,"44593B1ConvencionalResidencialResidencial baixa renda – faixa 03Não se aplicaNão se aplicaPonta",Mercado_Receita!$L$2:$L$505)+SUMIF(Mercado_Receita!$S$2:$S$505,"44593B1ConvencionalResidencialResidencial baixa renda – faixa 03Não se aplicaNão se aplicaFora ponta",Mercado_Receita!$L$2:$L$505)+SUMIF(Mercado_Receita!$S$2:$S$505,"44593B1ConvencionalResidencialResidencial baixa renda – faixa 03Não se aplicaNão se aplicaIntermediário",Mercado_Receita!$L$2:$L$505)+SUMIF(Mercado_Receita!$S$2:$S$505,"44593B1ConvencionalResidencialResidencial baixa renda – faixa 03Não se aplicaNão se aplicaNão se aplica",Mercado_Receita!$L$2:$L$505)</f>
        <v>42.529999999999994</v>
      </c>
      <c r="O24" s="13">
        <f>SUMIF(Mercado_Receita!$S$2:$S$505,"44621B1ConvencionalResidencialResidencial baixa renda – faixa 03Não se aplicaNão se aplicaPonta",Mercado_Receita!$L$2:$L$505)+SUMIF(Mercado_Receita!$S$2:$S$505,"44621B1ConvencionalResidencialResidencial baixa renda – faixa 03Não se aplicaNão se aplicaFora ponta",Mercado_Receita!$L$2:$L$505)+SUMIF(Mercado_Receita!$S$2:$S$505,"44621B1ConvencionalResidencialResidencial baixa renda – faixa 03Não se aplicaNão se aplicaIntermediário",Mercado_Receita!$L$2:$L$505)+SUMIF(Mercado_Receita!$S$2:$S$505,"44621B1ConvencionalResidencialResidencial baixa renda – faixa 03Não se aplicaNão se aplicaNão se aplica",Mercado_Receita!$L$2:$L$505)</f>
        <v>53.284999999999997</v>
      </c>
      <c r="P24" s="13">
        <f>SUMIF(Mercado_Receita!$S$2:$S$505,"44652B1ConvencionalResidencialResidencial baixa renda – faixa 03Não se aplicaNão se aplicaPonta",Mercado_Receita!$L$2:$L$505)+SUMIF(Mercado_Receita!$S$2:$S$505,"44652B1ConvencionalResidencialResidencial baixa renda – faixa 03Não se aplicaNão se aplicaFora ponta",Mercado_Receita!$L$2:$L$505)+SUMIF(Mercado_Receita!$S$2:$S$505,"44652B1ConvencionalResidencialResidencial baixa renda – faixa 03Não se aplicaNão se aplicaIntermediário",Mercado_Receita!$L$2:$L$505)+SUMIF(Mercado_Receita!$S$2:$S$505,"44652B1ConvencionalResidencialResidencial baixa renda – faixa 03Não se aplicaNão se aplicaNão se aplica",Mercado_Receita!$L$2:$L$505)</f>
        <v>54.87</v>
      </c>
      <c r="Q24" s="13">
        <f>SUMIF(Mercado_Receita!$S$2:$S$505,"44682B1ConvencionalResidencialResidencial baixa renda – faixa 03Não se aplicaNão se aplicaPonta",Mercado_Receita!$L$2:$L$505)+SUMIF(Mercado_Receita!$S$2:$S$505,"44682B1ConvencionalResidencialResidencial baixa renda – faixa 03Não se aplicaNão se aplicaFora ponta",Mercado_Receita!$L$2:$L$505)+SUMIF(Mercado_Receita!$S$2:$S$505,"44682B1ConvencionalResidencialResidencial baixa renda – faixa 03Não se aplicaNão se aplicaIntermediário",Mercado_Receita!$L$2:$L$505)+SUMIF(Mercado_Receita!$S$2:$S$505,"44682B1ConvencionalResidencialResidencial baixa renda – faixa 03Não se aplicaNão se aplicaNão se aplica",Mercado_Receita!$L$2:$L$505)</f>
        <v>48.58</v>
      </c>
      <c r="R24" s="13">
        <f>SUMIF(Mercado_Receita!$S$2:$S$505,"44713B1ConvencionalResidencialResidencial baixa renda – faixa 03Não se aplicaNão se aplicaPonta",Mercado_Receita!$L$2:$L$505)+SUMIF(Mercado_Receita!$S$2:$S$505,"44713B1ConvencionalResidencialResidencial baixa renda – faixa 03Não se aplicaNão se aplicaFora ponta",Mercado_Receita!$L$2:$L$505)+SUMIF(Mercado_Receita!$S$2:$S$505,"44713B1ConvencionalResidencialResidencial baixa renda – faixa 03Não se aplicaNão se aplicaIntermediário",Mercado_Receita!$L$2:$L$505)+SUMIF(Mercado_Receita!$S$2:$S$505,"44713B1ConvencionalResidencialResidencial baixa renda – faixa 03Não se aplicaNão se aplicaNão se aplica",Mercado_Receita!$L$2:$L$505)</f>
        <v>49.460999999999999</v>
      </c>
      <c r="S24" s="13">
        <f>SUMIF(Mercado_Receita!$S$2:$S$505,"44743B1ConvencionalResidencialResidencial baixa renda – faixa 03Não se aplicaNão se aplicaPonta",Mercado_Receita!$L$2:$L$505)+SUMIF(Mercado_Receita!$S$2:$S$505,"44743B1ConvencionalResidencialResidencial baixa renda – faixa 03Não se aplicaNão se aplicaFora ponta",Mercado_Receita!$L$2:$L$505)+SUMIF(Mercado_Receita!$S$2:$S$505,"44743B1ConvencionalResidencialResidencial baixa renda – faixa 03Não se aplicaNão se aplicaIntermediário",Mercado_Receita!$L$2:$L$505)+SUMIF(Mercado_Receita!$S$2:$S$505,"44743B1ConvencionalResidencialResidencial baixa renda – faixa 03Não se aplicaNão se aplicaNão se aplica",Mercado_Receita!$L$2:$L$505)</f>
        <v>48.317999999999998</v>
      </c>
      <c r="T24" s="13">
        <f>SUMIF(Mercado_Receita!$S$2:$S$505,"44774B1ConvencionalResidencialResidencial baixa renda – faixa 03Não se aplicaNão se aplicaPonta",Mercado_Receita!$L$2:$L$505)+SUMIF(Mercado_Receita!$S$2:$S$505,"44774B1ConvencionalResidencialResidencial baixa renda – faixa 03Não se aplicaNão se aplicaFora ponta",Mercado_Receita!$L$2:$L$505)+SUMIF(Mercado_Receita!$S$2:$S$505,"44774B1ConvencionalResidencialResidencial baixa renda – faixa 03Não se aplicaNão se aplicaIntermediário",Mercado_Receita!$L$2:$L$505)+SUMIF(Mercado_Receita!$S$2:$S$505,"44774B1ConvencionalResidencialResidencial baixa renda – faixa 03Não se aplicaNão se aplicaNão se aplica",Mercado_Receita!$L$2:$L$505)</f>
        <v>48.317999999999998</v>
      </c>
      <c r="U24" s="13">
        <f t="shared" si="0"/>
        <v>514.49699999999996</v>
      </c>
      <c r="V24" s="13"/>
      <c r="W24" s="13"/>
    </row>
    <row r="25" spans="1:23" ht="11.25" customHeight="1" x14ac:dyDescent="0.25">
      <c r="A25" s="77"/>
      <c r="B25" s="77"/>
      <c r="C25" s="77"/>
      <c r="D25" s="12" t="s">
        <v>32</v>
      </c>
      <c r="E25" s="12" t="s">
        <v>25</v>
      </c>
      <c r="F25" s="12" t="s">
        <v>25</v>
      </c>
      <c r="G25" s="13" t="s">
        <v>80</v>
      </c>
      <c r="H25" s="13" t="s">
        <v>74</v>
      </c>
      <c r="I25" s="13">
        <f>SUMIF(Mercado_Receita!$S$2:$S$505,"44440B1ConvencionalResidencialResidencial baixa renda – faixa 04Não se aplicaNão se aplicaPonta",Mercado_Receita!$L$2:$L$505)+SUMIF(Mercado_Receita!$S$2:$S$505,"44440B1ConvencionalResidencialResidencial baixa renda – faixa 04Não se aplicaNão se aplicaFora ponta",Mercado_Receita!$L$2:$L$505)+SUMIF(Mercado_Receita!$S$2:$S$505,"44440B1ConvencionalResidencialResidencial baixa renda – faixa 04Não se aplicaNão se aplicaIntermediário",Mercado_Receita!$L$2:$L$505)+SUMIF(Mercado_Receita!$S$2:$S$505,"44440B1ConvencionalResidencialResidencial baixa renda – faixa 04Não se aplicaNão se aplicaNão se aplica",Mercado_Receita!$L$2:$L$505)</f>
        <v>11.452</v>
      </c>
      <c r="J25" s="13">
        <f>SUMIF(Mercado_Receita!$S$2:$S$505,"44470B1ConvencionalResidencialResidencial baixa renda – faixa 04Não se aplicaNão se aplicaPonta",Mercado_Receita!$L$2:$L$505)+SUMIF(Mercado_Receita!$S$2:$S$505,"44470B1ConvencionalResidencialResidencial baixa renda – faixa 04Não se aplicaNão se aplicaFora ponta",Mercado_Receita!$L$2:$L$505)+SUMIF(Mercado_Receita!$S$2:$S$505,"44470B1ConvencionalResidencialResidencial baixa renda – faixa 04Não se aplicaNão se aplicaIntermediário",Mercado_Receita!$L$2:$L$505)+SUMIF(Mercado_Receita!$S$2:$S$505,"44470B1ConvencionalResidencialResidencial baixa renda – faixa 04Não se aplicaNão se aplicaNão se aplica",Mercado_Receita!$L$2:$L$505)</f>
        <v>11.125999999999999</v>
      </c>
      <c r="K25" s="13">
        <f>SUMIF(Mercado_Receita!$S$2:$S$505,"44501B1ConvencionalResidencialResidencial baixa renda – faixa 04Não se aplicaNão se aplicaPonta",Mercado_Receita!$L$2:$L$505)+SUMIF(Mercado_Receita!$S$2:$S$505,"44501B1ConvencionalResidencialResidencial baixa renda – faixa 04Não se aplicaNão se aplicaFora ponta",Mercado_Receita!$L$2:$L$505)+SUMIF(Mercado_Receita!$S$2:$S$505,"44501B1ConvencionalResidencialResidencial baixa renda – faixa 04Não se aplicaNão se aplicaIntermediário",Mercado_Receita!$L$2:$L$505)+SUMIF(Mercado_Receita!$S$2:$S$505,"44501B1ConvencionalResidencialResidencial baixa renda – faixa 04Não se aplicaNão se aplicaNão se aplica",Mercado_Receita!$L$2:$L$505)</f>
        <v>11.003</v>
      </c>
      <c r="L25" s="13">
        <f>SUMIF(Mercado_Receita!$S$2:$S$505,"44531B1ConvencionalResidencialResidencial baixa renda – faixa 04Não se aplicaNão se aplicaPonta",Mercado_Receita!$L$2:$L$505)+SUMIF(Mercado_Receita!$S$2:$S$505,"44531B1ConvencionalResidencialResidencial baixa renda – faixa 04Não se aplicaNão se aplicaFora ponta",Mercado_Receita!$L$2:$L$505)+SUMIF(Mercado_Receita!$S$2:$S$505,"44531B1ConvencionalResidencialResidencial baixa renda – faixa 04Não se aplicaNão se aplicaIntermediário",Mercado_Receita!$L$2:$L$505)+SUMIF(Mercado_Receita!$S$2:$S$505,"44531B1ConvencionalResidencialResidencial baixa renda – faixa 04Não se aplicaNão se aplicaNão se aplica",Mercado_Receita!$L$2:$L$505)</f>
        <v>13.891</v>
      </c>
      <c r="M25" s="13">
        <f>SUMIF(Mercado_Receita!$S$2:$S$505,"44562B1ConvencionalResidencialResidencial baixa renda – faixa 04Não se aplicaNão se aplicaPonta",Mercado_Receita!$L$2:$L$505)+SUMIF(Mercado_Receita!$S$2:$S$505,"44562B1ConvencionalResidencialResidencial baixa renda – faixa 04Não se aplicaNão se aplicaFora ponta",Mercado_Receita!$L$2:$L$505)+SUMIF(Mercado_Receita!$S$2:$S$505,"44562B1ConvencionalResidencialResidencial baixa renda – faixa 04Não se aplicaNão se aplicaIntermediário",Mercado_Receita!$L$2:$L$505)+SUMIF(Mercado_Receita!$S$2:$S$505,"44562B1ConvencionalResidencialResidencial baixa renda – faixa 04Não se aplicaNão se aplicaNão se aplica",Mercado_Receita!$L$2:$L$505)</f>
        <v>31.126999999999999</v>
      </c>
      <c r="N25" s="13">
        <f>SUMIF(Mercado_Receita!$S$2:$S$505,"44593B1ConvencionalResidencialResidencial baixa renda – faixa 04Não se aplicaNão se aplicaPonta",Mercado_Receita!$L$2:$L$505)+SUMIF(Mercado_Receita!$S$2:$S$505,"44593B1ConvencionalResidencialResidencial baixa renda – faixa 04Não se aplicaNão se aplicaFora ponta",Mercado_Receita!$L$2:$L$505)+SUMIF(Mercado_Receita!$S$2:$S$505,"44593B1ConvencionalResidencialResidencial baixa renda – faixa 04Não se aplicaNão se aplicaIntermediário",Mercado_Receita!$L$2:$L$505)+SUMIF(Mercado_Receita!$S$2:$S$505,"44593B1ConvencionalResidencialResidencial baixa renda – faixa 04Não se aplicaNão se aplicaNão se aplica",Mercado_Receita!$L$2:$L$505)</f>
        <v>35.084999999999994</v>
      </c>
      <c r="O25" s="13">
        <f>SUMIF(Mercado_Receita!$S$2:$S$505,"44621B1ConvencionalResidencialResidencial baixa renda – faixa 04Não se aplicaNão se aplicaPonta",Mercado_Receita!$L$2:$L$505)+SUMIF(Mercado_Receita!$S$2:$S$505,"44621B1ConvencionalResidencialResidencial baixa renda – faixa 04Não se aplicaNão se aplicaFora ponta",Mercado_Receita!$L$2:$L$505)+SUMIF(Mercado_Receita!$S$2:$S$505,"44621B1ConvencionalResidencialResidencial baixa renda – faixa 04Não se aplicaNão se aplicaIntermediário",Mercado_Receita!$L$2:$L$505)+SUMIF(Mercado_Receita!$S$2:$S$505,"44621B1ConvencionalResidencialResidencial baixa renda – faixa 04Não se aplicaNão se aplicaNão se aplica",Mercado_Receita!$L$2:$L$505)</f>
        <v>40.997999999999998</v>
      </c>
      <c r="P25" s="13">
        <f>SUMIF(Mercado_Receita!$S$2:$S$505,"44652B1ConvencionalResidencialResidencial baixa renda – faixa 04Não se aplicaNão se aplicaPonta",Mercado_Receita!$L$2:$L$505)+SUMIF(Mercado_Receita!$S$2:$S$505,"44652B1ConvencionalResidencialResidencial baixa renda – faixa 04Não se aplicaNão se aplicaFora ponta",Mercado_Receita!$L$2:$L$505)+SUMIF(Mercado_Receita!$S$2:$S$505,"44652B1ConvencionalResidencialResidencial baixa renda – faixa 04Não se aplicaNão se aplicaIntermediário",Mercado_Receita!$L$2:$L$505)+SUMIF(Mercado_Receita!$S$2:$S$505,"44652B1ConvencionalResidencialResidencial baixa renda – faixa 04Não se aplicaNão se aplicaNão se aplica",Mercado_Receita!$L$2:$L$505)</f>
        <v>28.201000000000001</v>
      </c>
      <c r="Q25" s="13">
        <f>SUMIF(Mercado_Receita!$S$2:$S$505,"44682B1ConvencionalResidencialResidencial baixa renda – faixa 04Não se aplicaNão se aplicaPonta",Mercado_Receita!$L$2:$L$505)+SUMIF(Mercado_Receita!$S$2:$S$505,"44682B1ConvencionalResidencialResidencial baixa renda – faixa 04Não se aplicaNão se aplicaFora ponta",Mercado_Receita!$L$2:$L$505)+SUMIF(Mercado_Receita!$S$2:$S$505,"44682B1ConvencionalResidencialResidencial baixa renda – faixa 04Não se aplicaNão se aplicaIntermediário",Mercado_Receita!$L$2:$L$505)+SUMIF(Mercado_Receita!$S$2:$S$505,"44682B1ConvencionalResidencialResidencial baixa renda – faixa 04Não se aplicaNão se aplicaNão se aplica",Mercado_Receita!$L$2:$L$505)</f>
        <v>19.608000000000001</v>
      </c>
      <c r="R25" s="13">
        <f>SUMIF(Mercado_Receita!$S$2:$S$505,"44713B1ConvencionalResidencialResidencial baixa renda – faixa 04Não se aplicaNão se aplicaPonta",Mercado_Receita!$L$2:$L$505)+SUMIF(Mercado_Receita!$S$2:$S$505,"44713B1ConvencionalResidencialResidencial baixa renda – faixa 04Não se aplicaNão se aplicaFora ponta",Mercado_Receita!$L$2:$L$505)+SUMIF(Mercado_Receita!$S$2:$S$505,"44713B1ConvencionalResidencialResidencial baixa renda – faixa 04Não se aplicaNão se aplicaIntermediário",Mercado_Receita!$L$2:$L$505)+SUMIF(Mercado_Receita!$S$2:$S$505,"44713B1ConvencionalResidencialResidencial baixa renda – faixa 04Não se aplicaNão se aplicaNão se aplica",Mercado_Receita!$L$2:$L$505)</f>
        <v>25.545999999999999</v>
      </c>
      <c r="S25" s="13">
        <f>SUMIF(Mercado_Receita!$S$2:$S$505,"44743B1ConvencionalResidencialResidencial baixa renda – faixa 04Não se aplicaNão se aplicaPonta",Mercado_Receita!$L$2:$L$505)+SUMIF(Mercado_Receita!$S$2:$S$505,"44743B1ConvencionalResidencialResidencial baixa renda – faixa 04Não se aplicaNão se aplicaFora ponta",Mercado_Receita!$L$2:$L$505)+SUMIF(Mercado_Receita!$S$2:$S$505,"44743B1ConvencionalResidencialResidencial baixa renda – faixa 04Não se aplicaNão se aplicaIntermediário",Mercado_Receita!$L$2:$L$505)+SUMIF(Mercado_Receita!$S$2:$S$505,"44743B1ConvencionalResidencialResidencial baixa renda – faixa 04Não se aplicaNão se aplicaNão se aplica",Mercado_Receita!$L$2:$L$505)</f>
        <v>24.925999999999998</v>
      </c>
      <c r="T25" s="13">
        <f>SUMIF(Mercado_Receita!$S$2:$S$505,"44774B1ConvencionalResidencialResidencial baixa renda – faixa 04Não se aplicaNão se aplicaPonta",Mercado_Receita!$L$2:$L$505)+SUMIF(Mercado_Receita!$S$2:$S$505,"44774B1ConvencionalResidencialResidencial baixa renda – faixa 04Não se aplicaNão se aplicaFora ponta",Mercado_Receita!$L$2:$L$505)+SUMIF(Mercado_Receita!$S$2:$S$505,"44774B1ConvencionalResidencialResidencial baixa renda – faixa 04Não se aplicaNão se aplicaIntermediário",Mercado_Receita!$L$2:$L$505)+SUMIF(Mercado_Receita!$S$2:$S$505,"44774B1ConvencionalResidencialResidencial baixa renda – faixa 04Não se aplicaNão se aplicaNão se aplica",Mercado_Receita!$L$2:$L$505)</f>
        <v>24.925999999999998</v>
      </c>
      <c r="U25" s="13">
        <f t="shared" si="0"/>
        <v>277.88899999999995</v>
      </c>
      <c r="V25" s="13"/>
      <c r="W25" s="13"/>
    </row>
    <row r="26" spans="1:23" ht="11.25" customHeight="1" x14ac:dyDescent="0.25">
      <c r="A26" s="77"/>
      <c r="B26" s="76" t="s">
        <v>89</v>
      </c>
      <c r="C26" s="76" t="s">
        <v>24</v>
      </c>
      <c r="D26" s="12" t="s">
        <v>24</v>
      </c>
      <c r="E26" s="12" t="s">
        <v>25</v>
      </c>
      <c r="F26" s="12" t="s">
        <v>25</v>
      </c>
      <c r="G26" s="13" t="s">
        <v>80</v>
      </c>
      <c r="H26" s="13" t="s">
        <v>74</v>
      </c>
      <c r="I26" s="13">
        <f>SUMIF(Mercado_Receita!$S$2:$S$505,"44440B1Convencional pré-pagamentoResidencialResidencialNão se aplicaNão se aplicaPonta",Mercado_Receita!$L$2:$L$505)+SUMIF(Mercado_Receita!$S$2:$S$505,"44440B1Convencional pré-pagamentoResidencialResidencialNão se aplicaNão se aplicaFora ponta",Mercado_Receita!$L$2:$L$505)+SUMIF(Mercado_Receita!$S$2:$S$505,"44440B1Convencional pré-pagamentoResidencialResidencialNão se aplicaNão se aplicaIntermediário",Mercado_Receita!$L$2:$L$505)+SUMIF(Mercado_Receita!$S$2:$S$505,"44440B1Convencional pré-pagamentoResidencialResidencialNão se aplicaNão se aplicaNão se aplica",Mercado_Receita!$L$2:$L$505)</f>
        <v>0</v>
      </c>
      <c r="J26" s="13">
        <f>SUMIF(Mercado_Receita!$S$2:$S$505,"44470B1Convencional pré-pagamentoResidencialResidencialNão se aplicaNão se aplicaPonta",Mercado_Receita!$L$2:$L$505)+SUMIF(Mercado_Receita!$S$2:$S$505,"44470B1Convencional pré-pagamentoResidencialResidencialNão se aplicaNão se aplicaFora ponta",Mercado_Receita!$L$2:$L$505)+SUMIF(Mercado_Receita!$S$2:$S$505,"44470B1Convencional pré-pagamentoResidencialResidencialNão se aplicaNão se aplicaIntermediário",Mercado_Receita!$L$2:$L$505)+SUMIF(Mercado_Receita!$S$2:$S$505,"44470B1Convencional pré-pagamentoResidencialResidencialNão se aplicaNão se aplicaNão se aplica",Mercado_Receita!$L$2:$L$505)</f>
        <v>0</v>
      </c>
      <c r="K26" s="13">
        <f>SUMIF(Mercado_Receita!$S$2:$S$505,"44501B1Convencional pré-pagamentoResidencialResidencialNão se aplicaNão se aplicaPonta",Mercado_Receita!$L$2:$L$505)+SUMIF(Mercado_Receita!$S$2:$S$505,"44501B1Convencional pré-pagamentoResidencialResidencialNão se aplicaNão se aplicaFora ponta",Mercado_Receita!$L$2:$L$505)+SUMIF(Mercado_Receita!$S$2:$S$505,"44501B1Convencional pré-pagamentoResidencialResidencialNão se aplicaNão se aplicaIntermediário",Mercado_Receita!$L$2:$L$505)+SUMIF(Mercado_Receita!$S$2:$S$505,"44501B1Convencional pré-pagamentoResidencialResidencialNão se aplicaNão se aplicaNão se aplica",Mercado_Receita!$L$2:$L$505)</f>
        <v>0</v>
      </c>
      <c r="L26" s="13">
        <f>SUMIF(Mercado_Receita!$S$2:$S$505,"44531B1Convencional pré-pagamentoResidencialResidencialNão se aplicaNão se aplicaPonta",Mercado_Receita!$L$2:$L$505)+SUMIF(Mercado_Receita!$S$2:$S$505,"44531B1Convencional pré-pagamentoResidencialResidencialNão se aplicaNão se aplicaFora ponta",Mercado_Receita!$L$2:$L$505)+SUMIF(Mercado_Receita!$S$2:$S$505,"44531B1Convencional pré-pagamentoResidencialResidencialNão se aplicaNão se aplicaIntermediário",Mercado_Receita!$L$2:$L$505)+SUMIF(Mercado_Receita!$S$2:$S$505,"44531B1Convencional pré-pagamentoResidencialResidencialNão se aplicaNão se aplicaNão se aplica",Mercado_Receita!$L$2:$L$505)</f>
        <v>0</v>
      </c>
      <c r="M26" s="13">
        <f>SUMIF(Mercado_Receita!$S$2:$S$505,"44562B1Convencional pré-pagamentoResidencialResidencialNão se aplicaNão se aplicaPonta",Mercado_Receita!$L$2:$L$505)+SUMIF(Mercado_Receita!$S$2:$S$505,"44562B1Convencional pré-pagamentoResidencialResidencialNão se aplicaNão se aplicaFora ponta",Mercado_Receita!$L$2:$L$505)+SUMIF(Mercado_Receita!$S$2:$S$505,"44562B1Convencional pré-pagamentoResidencialResidencialNão se aplicaNão se aplicaIntermediário",Mercado_Receita!$L$2:$L$505)+SUMIF(Mercado_Receita!$S$2:$S$505,"44562B1Convencional pré-pagamentoResidencialResidencialNão se aplicaNão se aplicaNão se aplica",Mercado_Receita!$L$2:$L$505)</f>
        <v>0</v>
      </c>
      <c r="N26" s="13">
        <f>SUMIF(Mercado_Receita!$S$2:$S$505,"44593B1Convencional pré-pagamentoResidencialResidencialNão se aplicaNão se aplicaPonta",Mercado_Receita!$L$2:$L$505)+SUMIF(Mercado_Receita!$S$2:$S$505,"44593B1Convencional pré-pagamentoResidencialResidencialNão se aplicaNão se aplicaFora ponta",Mercado_Receita!$L$2:$L$505)+SUMIF(Mercado_Receita!$S$2:$S$505,"44593B1Convencional pré-pagamentoResidencialResidencialNão se aplicaNão se aplicaIntermediário",Mercado_Receita!$L$2:$L$505)+SUMIF(Mercado_Receita!$S$2:$S$505,"44593B1Convencional pré-pagamentoResidencialResidencialNão se aplicaNão se aplicaNão se aplica",Mercado_Receita!$L$2:$L$505)</f>
        <v>0</v>
      </c>
      <c r="O26" s="13">
        <f>SUMIF(Mercado_Receita!$S$2:$S$505,"44621B1Convencional pré-pagamentoResidencialResidencialNão se aplicaNão se aplicaPonta",Mercado_Receita!$L$2:$L$505)+SUMIF(Mercado_Receita!$S$2:$S$505,"44621B1Convencional pré-pagamentoResidencialResidencialNão se aplicaNão se aplicaFora ponta",Mercado_Receita!$L$2:$L$505)+SUMIF(Mercado_Receita!$S$2:$S$505,"44621B1Convencional pré-pagamentoResidencialResidencialNão se aplicaNão se aplicaIntermediário",Mercado_Receita!$L$2:$L$505)+SUMIF(Mercado_Receita!$S$2:$S$505,"44621B1Convencional pré-pagamentoResidencialResidencialNão se aplicaNão se aplicaNão se aplica",Mercado_Receita!$L$2:$L$505)</f>
        <v>0</v>
      </c>
      <c r="P26" s="13">
        <f>SUMIF(Mercado_Receita!$S$2:$S$505,"44652B1Convencional pré-pagamentoResidencialResidencialNão se aplicaNão se aplicaPonta",Mercado_Receita!$L$2:$L$505)+SUMIF(Mercado_Receita!$S$2:$S$505,"44652B1Convencional pré-pagamentoResidencialResidencialNão se aplicaNão se aplicaFora ponta",Mercado_Receita!$L$2:$L$505)+SUMIF(Mercado_Receita!$S$2:$S$505,"44652B1Convencional pré-pagamentoResidencialResidencialNão se aplicaNão se aplicaIntermediário",Mercado_Receita!$L$2:$L$505)+SUMIF(Mercado_Receita!$S$2:$S$505,"44652B1Convencional pré-pagamentoResidencialResidencialNão se aplicaNão se aplicaNão se aplica",Mercado_Receita!$L$2:$L$505)</f>
        <v>0</v>
      </c>
      <c r="Q26" s="13">
        <f>SUMIF(Mercado_Receita!$S$2:$S$505,"44682B1Convencional pré-pagamentoResidencialResidencialNão se aplicaNão se aplicaPonta",Mercado_Receita!$L$2:$L$505)+SUMIF(Mercado_Receita!$S$2:$S$505,"44682B1Convencional pré-pagamentoResidencialResidencialNão se aplicaNão se aplicaFora ponta",Mercado_Receita!$L$2:$L$505)+SUMIF(Mercado_Receita!$S$2:$S$505,"44682B1Convencional pré-pagamentoResidencialResidencialNão se aplicaNão se aplicaIntermediário",Mercado_Receita!$L$2:$L$505)+SUMIF(Mercado_Receita!$S$2:$S$505,"44682B1Convencional pré-pagamentoResidencialResidencialNão se aplicaNão se aplicaNão se aplica",Mercado_Receita!$L$2:$L$505)</f>
        <v>0</v>
      </c>
      <c r="R26" s="13">
        <f>SUMIF(Mercado_Receita!$S$2:$S$505,"44713B1Convencional pré-pagamentoResidencialResidencialNão se aplicaNão se aplicaPonta",Mercado_Receita!$L$2:$L$505)+SUMIF(Mercado_Receita!$S$2:$S$505,"44713B1Convencional pré-pagamentoResidencialResidencialNão se aplicaNão se aplicaFora ponta",Mercado_Receita!$L$2:$L$505)+SUMIF(Mercado_Receita!$S$2:$S$505,"44713B1Convencional pré-pagamentoResidencialResidencialNão se aplicaNão se aplicaIntermediário",Mercado_Receita!$L$2:$L$505)+SUMIF(Mercado_Receita!$S$2:$S$505,"44713B1Convencional pré-pagamentoResidencialResidencialNão se aplicaNão se aplicaNão se aplica",Mercado_Receita!$L$2:$L$505)</f>
        <v>0</v>
      </c>
      <c r="S26" s="13">
        <f>SUMIF(Mercado_Receita!$S$2:$S$505,"44743B1Convencional pré-pagamentoResidencialResidencialNão se aplicaNão se aplicaPonta",Mercado_Receita!$L$2:$L$505)+SUMIF(Mercado_Receita!$S$2:$S$505,"44743B1Convencional pré-pagamentoResidencialResidencialNão se aplicaNão se aplicaFora ponta",Mercado_Receita!$L$2:$L$505)+SUMIF(Mercado_Receita!$S$2:$S$505,"44743B1Convencional pré-pagamentoResidencialResidencialNão se aplicaNão se aplicaIntermediário",Mercado_Receita!$L$2:$L$505)+SUMIF(Mercado_Receita!$S$2:$S$505,"44743B1Convencional pré-pagamentoResidencialResidencialNão se aplicaNão se aplicaNão se aplica",Mercado_Receita!$L$2:$L$505)</f>
        <v>0</v>
      </c>
      <c r="T26" s="13">
        <f>SUMIF(Mercado_Receita!$S$2:$S$505,"44774B1Convencional pré-pagamentoResidencialResidencialNão se aplicaNão se aplicaPonta",Mercado_Receita!$L$2:$L$505)+SUMIF(Mercado_Receita!$S$2:$S$505,"44774B1Convencional pré-pagamentoResidencialResidencialNão se aplicaNão se aplicaFora ponta",Mercado_Receita!$L$2:$L$505)+SUMIF(Mercado_Receita!$S$2:$S$505,"44774B1Convencional pré-pagamentoResidencialResidencialNão se aplicaNão se aplicaIntermediário",Mercado_Receita!$L$2:$L$505)+SUMIF(Mercado_Receita!$S$2:$S$505,"44774B1Convencional pré-pagamentoResidencialResidencialNão se aplicaNão se aplicaNão se aplica",Mercado_Receita!$L$2:$L$505)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/>
      <c r="B27" s="77"/>
      <c r="C27" s="77"/>
      <c r="D27" s="12" t="s">
        <v>29</v>
      </c>
      <c r="E27" s="12" t="s">
        <v>25</v>
      </c>
      <c r="F27" s="12" t="s">
        <v>25</v>
      </c>
      <c r="G27" s="13" t="s">
        <v>80</v>
      </c>
      <c r="H27" s="13" t="s">
        <v>74</v>
      </c>
      <c r="I27" s="13">
        <f>SUMIF(Mercado_Receita!$S$2:$S$505,"44440B1Convencional pré-pagamentoResidencialResidencial baixa renda – faixa 01Não se aplicaNão se aplicaPonta",Mercado_Receita!$L$2:$L$505)+SUMIF(Mercado_Receita!$S$2:$S$505,"44440B1Convencional pré-pagamentoResidencialResidencial baixa renda – faixa 01Não se aplicaNão se aplicaFora ponta",Mercado_Receita!$L$2:$L$505)+SUMIF(Mercado_Receita!$S$2:$S$505,"44440B1Convencional pré-pagamentoResidencialResidencial baixa renda – faixa 01Não se aplicaNão se aplicaIntermediário",Mercado_Receita!$L$2:$L$505)+SUMIF(Mercado_Receita!$S$2:$S$505,"44440B1Convencional pré-pagamentoResidencialResidencial baixa renda – faixa 01Não se aplicaNão se aplicaNão se aplica",Mercado_Receita!$L$2:$L$505)</f>
        <v>0</v>
      </c>
      <c r="J27" s="13">
        <f>SUMIF(Mercado_Receita!$S$2:$S$505,"44470B1Convencional pré-pagamentoResidencialResidencial baixa renda – faixa 01Não se aplicaNão se aplicaPonta",Mercado_Receita!$L$2:$L$505)+SUMIF(Mercado_Receita!$S$2:$S$505,"44470B1Convencional pré-pagamentoResidencialResidencial baixa renda – faixa 01Não se aplicaNão se aplicaFora ponta",Mercado_Receita!$L$2:$L$505)+SUMIF(Mercado_Receita!$S$2:$S$505,"44470B1Convencional pré-pagamentoResidencialResidencial baixa renda – faixa 01Não se aplicaNão se aplicaIntermediário",Mercado_Receita!$L$2:$L$505)+SUMIF(Mercado_Receita!$S$2:$S$505,"44470B1Convencional pré-pagamentoResidencialResidencial baixa renda – faixa 01Não se aplicaNão se aplicaNão se aplica",Mercado_Receita!$L$2:$L$505)</f>
        <v>0</v>
      </c>
      <c r="K27" s="13">
        <f>SUMIF(Mercado_Receita!$S$2:$S$505,"44501B1Convencional pré-pagamentoResidencialResidencial baixa renda – faixa 01Não se aplicaNão se aplicaPonta",Mercado_Receita!$L$2:$L$505)+SUMIF(Mercado_Receita!$S$2:$S$505,"44501B1Convencional pré-pagamentoResidencialResidencial baixa renda – faixa 01Não se aplicaNão se aplicaFora ponta",Mercado_Receita!$L$2:$L$505)+SUMIF(Mercado_Receita!$S$2:$S$505,"44501B1Convencional pré-pagamentoResidencialResidencial baixa renda – faixa 01Não se aplicaNão se aplicaIntermediário",Mercado_Receita!$L$2:$L$505)+SUMIF(Mercado_Receita!$S$2:$S$505,"44501B1Convencional pré-pagamentoResidencialResidencial baixa renda – faixa 01Não se aplicaNão se aplicaNão se aplica",Mercado_Receita!$L$2:$L$505)</f>
        <v>0</v>
      </c>
      <c r="L27" s="13">
        <f>SUMIF(Mercado_Receita!$S$2:$S$505,"44531B1Convencional pré-pagamentoResidencialResidencial baixa renda – faixa 01Não se aplicaNão se aplicaPonta",Mercado_Receita!$L$2:$L$505)+SUMIF(Mercado_Receita!$S$2:$S$505,"44531B1Convencional pré-pagamentoResidencialResidencial baixa renda – faixa 01Não se aplicaNão se aplicaFora ponta",Mercado_Receita!$L$2:$L$505)+SUMIF(Mercado_Receita!$S$2:$S$505,"44531B1Convencional pré-pagamentoResidencialResidencial baixa renda – faixa 01Não se aplicaNão se aplicaIntermediário",Mercado_Receita!$L$2:$L$505)+SUMIF(Mercado_Receita!$S$2:$S$505,"44531B1Convencional pré-pagamentoResidencialResidencial baixa renda – faixa 01Não se aplicaNão se aplicaNão se aplica",Mercado_Receita!$L$2:$L$505)</f>
        <v>0</v>
      </c>
      <c r="M27" s="13">
        <f>SUMIF(Mercado_Receita!$S$2:$S$505,"44562B1Convencional pré-pagamentoResidencialResidencial baixa renda – faixa 01Não se aplicaNão se aplicaPonta",Mercado_Receita!$L$2:$L$505)+SUMIF(Mercado_Receita!$S$2:$S$505,"44562B1Convencional pré-pagamentoResidencialResidencial baixa renda – faixa 01Não se aplicaNão se aplicaFora ponta",Mercado_Receita!$L$2:$L$505)+SUMIF(Mercado_Receita!$S$2:$S$505,"44562B1Convencional pré-pagamentoResidencialResidencial baixa renda – faixa 01Não se aplicaNão se aplicaIntermediário",Mercado_Receita!$L$2:$L$505)+SUMIF(Mercado_Receita!$S$2:$S$505,"44562B1Convencional pré-pagamentoResidencialResidencial baixa renda – faixa 01Não se aplicaNão se aplicaNão se aplica",Mercado_Receita!$L$2:$L$505)</f>
        <v>0</v>
      </c>
      <c r="N27" s="13">
        <f>SUMIF(Mercado_Receita!$S$2:$S$505,"44593B1Convencional pré-pagamentoResidencialResidencial baixa renda – faixa 01Não se aplicaNão se aplicaPonta",Mercado_Receita!$L$2:$L$505)+SUMIF(Mercado_Receita!$S$2:$S$505,"44593B1Convencional pré-pagamentoResidencialResidencial baixa renda – faixa 01Não se aplicaNão se aplicaFora ponta",Mercado_Receita!$L$2:$L$505)+SUMIF(Mercado_Receita!$S$2:$S$505,"44593B1Convencional pré-pagamentoResidencialResidencial baixa renda – faixa 01Não se aplicaNão se aplicaIntermediário",Mercado_Receita!$L$2:$L$505)+SUMIF(Mercado_Receita!$S$2:$S$505,"44593B1Convencional pré-pagamentoResidencialResidencial baixa renda – faixa 01Não se aplicaNão se aplicaNão se aplica",Mercado_Receita!$L$2:$L$505)</f>
        <v>0</v>
      </c>
      <c r="O27" s="13">
        <f>SUMIF(Mercado_Receita!$S$2:$S$505,"44621B1Convencional pré-pagamentoResidencialResidencial baixa renda – faixa 01Não se aplicaNão se aplicaPonta",Mercado_Receita!$L$2:$L$505)+SUMIF(Mercado_Receita!$S$2:$S$505,"44621B1Convencional pré-pagamentoResidencialResidencial baixa renda – faixa 01Não se aplicaNão se aplicaFora ponta",Mercado_Receita!$L$2:$L$505)+SUMIF(Mercado_Receita!$S$2:$S$505,"44621B1Convencional pré-pagamentoResidencialResidencial baixa renda – faixa 01Não se aplicaNão se aplicaIntermediário",Mercado_Receita!$L$2:$L$505)+SUMIF(Mercado_Receita!$S$2:$S$505,"44621B1Convencional pré-pagamentoResidencialResidencial baixa renda – faixa 01Não se aplicaNão se aplicaNão se aplica",Mercado_Receita!$L$2:$L$505)</f>
        <v>0</v>
      </c>
      <c r="P27" s="13">
        <f>SUMIF(Mercado_Receita!$S$2:$S$505,"44652B1Convencional pré-pagamentoResidencialResidencial baixa renda – faixa 01Não se aplicaNão se aplicaPonta",Mercado_Receita!$L$2:$L$505)+SUMIF(Mercado_Receita!$S$2:$S$505,"44652B1Convencional pré-pagamentoResidencialResidencial baixa renda – faixa 01Não se aplicaNão se aplicaFora ponta",Mercado_Receita!$L$2:$L$505)+SUMIF(Mercado_Receita!$S$2:$S$505,"44652B1Convencional pré-pagamentoResidencialResidencial baixa renda – faixa 01Não se aplicaNão se aplicaIntermediário",Mercado_Receita!$L$2:$L$505)+SUMIF(Mercado_Receita!$S$2:$S$505,"44652B1Convencional pré-pagamentoResidencialResidencial baixa renda – faixa 01Não se aplicaNão se aplicaNão se aplica",Mercado_Receita!$L$2:$L$505)</f>
        <v>0</v>
      </c>
      <c r="Q27" s="13">
        <f>SUMIF(Mercado_Receita!$S$2:$S$505,"44682B1Convencional pré-pagamentoResidencialResidencial baixa renda – faixa 01Não se aplicaNão se aplicaPonta",Mercado_Receita!$L$2:$L$505)+SUMIF(Mercado_Receita!$S$2:$S$505,"44682B1Convencional pré-pagamentoResidencialResidencial baixa renda – faixa 01Não se aplicaNão se aplicaFora ponta",Mercado_Receita!$L$2:$L$505)+SUMIF(Mercado_Receita!$S$2:$S$505,"44682B1Convencional pré-pagamentoResidencialResidencial baixa renda – faixa 01Não se aplicaNão se aplicaIntermediário",Mercado_Receita!$L$2:$L$505)+SUMIF(Mercado_Receita!$S$2:$S$505,"44682B1Convencional pré-pagamentoResidencialResidencial baixa renda – faixa 01Não se aplicaNão se aplicaNão se aplica",Mercado_Receita!$L$2:$L$505)</f>
        <v>0</v>
      </c>
      <c r="R27" s="13">
        <f>SUMIF(Mercado_Receita!$S$2:$S$505,"44713B1Convencional pré-pagamentoResidencialResidencial baixa renda – faixa 01Não se aplicaNão se aplicaPonta",Mercado_Receita!$L$2:$L$505)+SUMIF(Mercado_Receita!$S$2:$S$505,"44713B1Convencional pré-pagamentoResidencialResidencial baixa renda – faixa 01Não se aplicaNão se aplicaFora ponta",Mercado_Receita!$L$2:$L$505)+SUMIF(Mercado_Receita!$S$2:$S$505,"44713B1Convencional pré-pagamentoResidencialResidencial baixa renda – faixa 01Não se aplicaNão se aplicaIntermediário",Mercado_Receita!$L$2:$L$505)+SUMIF(Mercado_Receita!$S$2:$S$505,"44713B1Convencional pré-pagamentoResidencialResidencial baixa renda – faixa 01Não se aplicaNão se aplicaNão se aplica",Mercado_Receita!$L$2:$L$505)</f>
        <v>0</v>
      </c>
      <c r="S27" s="13">
        <f>SUMIF(Mercado_Receita!$S$2:$S$505,"44743B1Convencional pré-pagamentoResidencialResidencial baixa renda – faixa 01Não se aplicaNão se aplicaPonta",Mercado_Receita!$L$2:$L$505)+SUMIF(Mercado_Receita!$S$2:$S$505,"44743B1Convencional pré-pagamentoResidencialResidencial baixa renda – faixa 01Não se aplicaNão se aplicaFora ponta",Mercado_Receita!$L$2:$L$505)+SUMIF(Mercado_Receita!$S$2:$S$505,"44743B1Convencional pré-pagamentoResidencialResidencial baixa renda – faixa 01Não se aplicaNão se aplicaIntermediário",Mercado_Receita!$L$2:$L$505)+SUMIF(Mercado_Receita!$S$2:$S$505,"44743B1Convencional pré-pagamentoResidencialResidencial baixa renda – faixa 01Não se aplicaNão se aplicaNão se aplica",Mercado_Receita!$L$2:$L$505)</f>
        <v>0</v>
      </c>
      <c r="T27" s="13">
        <f>SUMIF(Mercado_Receita!$S$2:$S$505,"44774B1Convencional pré-pagamentoResidencialResidencial baixa renda – faixa 01Não se aplicaNão se aplicaPonta",Mercado_Receita!$L$2:$L$505)+SUMIF(Mercado_Receita!$S$2:$S$505,"44774B1Convencional pré-pagamentoResidencialResidencial baixa renda – faixa 01Não se aplicaNão se aplicaFora ponta",Mercado_Receita!$L$2:$L$505)+SUMIF(Mercado_Receita!$S$2:$S$505,"44774B1Convencional pré-pagamentoResidencialResidencial baixa renda – faixa 01Não se aplicaNão se aplicaIntermediário",Mercado_Receita!$L$2:$L$505)+SUMIF(Mercado_Receita!$S$2:$S$505,"44774B1Convencional pré-pagamentoResidencialResidencial baixa renda – faixa 01Não se aplicaNão se aplicaNão se aplica",Mercado_Receita!$L$2:$L$505)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77"/>
      <c r="C28" s="77"/>
      <c r="D28" s="12" t="s">
        <v>30</v>
      </c>
      <c r="E28" s="12" t="s">
        <v>25</v>
      </c>
      <c r="F28" s="12" t="s">
        <v>25</v>
      </c>
      <c r="G28" s="13" t="s">
        <v>80</v>
      </c>
      <c r="H28" s="13" t="s">
        <v>74</v>
      </c>
      <c r="I28" s="13">
        <f>SUMIF(Mercado_Receita!$S$2:$S$505,"44440B1Convencional pré-pagamentoResidencialResidencial baixa renda – faixa 02Não se aplicaNão se aplicaPonta",Mercado_Receita!$L$2:$L$505)+SUMIF(Mercado_Receita!$S$2:$S$505,"44440B1Convencional pré-pagamentoResidencialResidencial baixa renda – faixa 02Não se aplicaNão se aplicaFora ponta",Mercado_Receita!$L$2:$L$505)+SUMIF(Mercado_Receita!$S$2:$S$505,"44440B1Convencional pré-pagamentoResidencialResidencial baixa renda – faixa 02Não se aplicaNão se aplicaIntermediário",Mercado_Receita!$L$2:$L$505)+SUMIF(Mercado_Receita!$S$2:$S$505,"44440B1Convencional pré-pagamentoResidencialResidencial baixa renda – faixa 02Não se aplicaNão se aplicaNão se aplica",Mercado_Receita!$L$2:$L$505)</f>
        <v>0</v>
      </c>
      <c r="J28" s="13">
        <f>SUMIF(Mercado_Receita!$S$2:$S$505,"44470B1Convencional pré-pagamentoResidencialResidencial baixa renda – faixa 02Não se aplicaNão se aplicaPonta",Mercado_Receita!$L$2:$L$505)+SUMIF(Mercado_Receita!$S$2:$S$505,"44470B1Convencional pré-pagamentoResidencialResidencial baixa renda – faixa 02Não se aplicaNão se aplicaFora ponta",Mercado_Receita!$L$2:$L$505)+SUMIF(Mercado_Receita!$S$2:$S$505,"44470B1Convencional pré-pagamentoResidencialResidencial baixa renda – faixa 02Não se aplicaNão se aplicaIntermediário",Mercado_Receita!$L$2:$L$505)+SUMIF(Mercado_Receita!$S$2:$S$505,"44470B1Convencional pré-pagamentoResidencialResidencial baixa renda – faixa 02Não se aplicaNão se aplicaNão se aplica",Mercado_Receita!$L$2:$L$505)</f>
        <v>0</v>
      </c>
      <c r="K28" s="13">
        <f>SUMIF(Mercado_Receita!$S$2:$S$505,"44501B1Convencional pré-pagamentoResidencialResidencial baixa renda – faixa 02Não se aplicaNão se aplicaPonta",Mercado_Receita!$L$2:$L$505)+SUMIF(Mercado_Receita!$S$2:$S$505,"44501B1Convencional pré-pagamentoResidencialResidencial baixa renda – faixa 02Não se aplicaNão se aplicaFora ponta",Mercado_Receita!$L$2:$L$505)+SUMIF(Mercado_Receita!$S$2:$S$505,"44501B1Convencional pré-pagamentoResidencialResidencial baixa renda – faixa 02Não se aplicaNão se aplicaIntermediário",Mercado_Receita!$L$2:$L$505)+SUMIF(Mercado_Receita!$S$2:$S$505,"44501B1Convencional pré-pagamentoResidencialResidencial baixa renda – faixa 02Não se aplicaNão se aplicaNão se aplica",Mercado_Receita!$L$2:$L$505)</f>
        <v>0</v>
      </c>
      <c r="L28" s="13">
        <f>SUMIF(Mercado_Receita!$S$2:$S$505,"44531B1Convencional pré-pagamentoResidencialResidencial baixa renda – faixa 02Não se aplicaNão se aplicaPonta",Mercado_Receita!$L$2:$L$505)+SUMIF(Mercado_Receita!$S$2:$S$505,"44531B1Convencional pré-pagamentoResidencialResidencial baixa renda – faixa 02Não se aplicaNão se aplicaFora ponta",Mercado_Receita!$L$2:$L$505)+SUMIF(Mercado_Receita!$S$2:$S$505,"44531B1Convencional pré-pagamentoResidencialResidencial baixa renda – faixa 02Não se aplicaNão se aplicaIntermediário",Mercado_Receita!$L$2:$L$505)+SUMIF(Mercado_Receita!$S$2:$S$505,"44531B1Convencional pré-pagamentoResidencialResidencial baixa renda – faixa 02Não se aplicaNão se aplicaNão se aplica",Mercado_Receita!$L$2:$L$505)</f>
        <v>0</v>
      </c>
      <c r="M28" s="13">
        <f>SUMIF(Mercado_Receita!$S$2:$S$505,"44562B1Convencional pré-pagamentoResidencialResidencial baixa renda – faixa 02Não se aplicaNão se aplicaPonta",Mercado_Receita!$L$2:$L$505)+SUMIF(Mercado_Receita!$S$2:$S$505,"44562B1Convencional pré-pagamentoResidencialResidencial baixa renda – faixa 02Não se aplicaNão se aplicaFora ponta",Mercado_Receita!$L$2:$L$505)+SUMIF(Mercado_Receita!$S$2:$S$505,"44562B1Convencional pré-pagamentoResidencialResidencial baixa renda – faixa 02Não se aplicaNão se aplicaIntermediário",Mercado_Receita!$L$2:$L$505)+SUMIF(Mercado_Receita!$S$2:$S$505,"44562B1Convencional pré-pagamentoResidencialResidencial baixa renda – faixa 02Não se aplicaNão se aplicaNão se aplica",Mercado_Receita!$L$2:$L$505)</f>
        <v>0</v>
      </c>
      <c r="N28" s="13">
        <f>SUMIF(Mercado_Receita!$S$2:$S$505,"44593B1Convencional pré-pagamentoResidencialResidencial baixa renda – faixa 02Não se aplicaNão se aplicaPonta",Mercado_Receita!$L$2:$L$505)+SUMIF(Mercado_Receita!$S$2:$S$505,"44593B1Convencional pré-pagamentoResidencialResidencial baixa renda – faixa 02Não se aplicaNão se aplicaFora ponta",Mercado_Receita!$L$2:$L$505)+SUMIF(Mercado_Receita!$S$2:$S$505,"44593B1Convencional pré-pagamentoResidencialResidencial baixa renda – faixa 02Não se aplicaNão se aplicaIntermediário",Mercado_Receita!$L$2:$L$505)+SUMIF(Mercado_Receita!$S$2:$S$505,"44593B1Convencional pré-pagamentoResidencialResidencial baixa renda – faixa 02Não se aplicaNão se aplicaNão se aplica",Mercado_Receita!$L$2:$L$505)</f>
        <v>0</v>
      </c>
      <c r="O28" s="13">
        <f>SUMIF(Mercado_Receita!$S$2:$S$505,"44621B1Convencional pré-pagamentoResidencialResidencial baixa renda – faixa 02Não se aplicaNão se aplicaPonta",Mercado_Receita!$L$2:$L$505)+SUMIF(Mercado_Receita!$S$2:$S$505,"44621B1Convencional pré-pagamentoResidencialResidencial baixa renda – faixa 02Não se aplicaNão se aplicaFora ponta",Mercado_Receita!$L$2:$L$505)+SUMIF(Mercado_Receita!$S$2:$S$505,"44621B1Convencional pré-pagamentoResidencialResidencial baixa renda – faixa 02Não se aplicaNão se aplicaIntermediário",Mercado_Receita!$L$2:$L$505)+SUMIF(Mercado_Receita!$S$2:$S$505,"44621B1Convencional pré-pagamentoResidencialResidencial baixa renda – faixa 02Não se aplicaNão se aplicaNão se aplica",Mercado_Receita!$L$2:$L$505)</f>
        <v>0</v>
      </c>
      <c r="P28" s="13">
        <f>SUMIF(Mercado_Receita!$S$2:$S$505,"44652B1Convencional pré-pagamentoResidencialResidencial baixa renda – faixa 02Não se aplicaNão se aplicaPonta",Mercado_Receita!$L$2:$L$505)+SUMIF(Mercado_Receita!$S$2:$S$505,"44652B1Convencional pré-pagamentoResidencialResidencial baixa renda – faixa 02Não se aplicaNão se aplicaFora ponta",Mercado_Receita!$L$2:$L$505)+SUMIF(Mercado_Receita!$S$2:$S$505,"44652B1Convencional pré-pagamentoResidencialResidencial baixa renda – faixa 02Não se aplicaNão se aplicaIntermediário",Mercado_Receita!$L$2:$L$505)+SUMIF(Mercado_Receita!$S$2:$S$505,"44652B1Convencional pré-pagamentoResidencialResidencial baixa renda – faixa 02Não se aplicaNão se aplicaNão se aplica",Mercado_Receita!$L$2:$L$505)</f>
        <v>0</v>
      </c>
      <c r="Q28" s="13">
        <f>SUMIF(Mercado_Receita!$S$2:$S$505,"44682B1Convencional pré-pagamentoResidencialResidencial baixa renda – faixa 02Não se aplicaNão se aplicaPonta",Mercado_Receita!$L$2:$L$505)+SUMIF(Mercado_Receita!$S$2:$S$505,"44682B1Convencional pré-pagamentoResidencialResidencial baixa renda – faixa 02Não se aplicaNão se aplicaFora ponta",Mercado_Receita!$L$2:$L$505)+SUMIF(Mercado_Receita!$S$2:$S$505,"44682B1Convencional pré-pagamentoResidencialResidencial baixa renda – faixa 02Não se aplicaNão se aplicaIntermediário",Mercado_Receita!$L$2:$L$505)+SUMIF(Mercado_Receita!$S$2:$S$505,"44682B1Convencional pré-pagamentoResidencialResidencial baixa renda – faixa 02Não se aplicaNão se aplicaNão se aplica",Mercado_Receita!$L$2:$L$505)</f>
        <v>0</v>
      </c>
      <c r="R28" s="13">
        <f>SUMIF(Mercado_Receita!$S$2:$S$505,"44713B1Convencional pré-pagamentoResidencialResidencial baixa renda – faixa 02Não se aplicaNão se aplicaPonta",Mercado_Receita!$L$2:$L$505)+SUMIF(Mercado_Receita!$S$2:$S$505,"44713B1Convencional pré-pagamentoResidencialResidencial baixa renda – faixa 02Não se aplicaNão se aplicaFora ponta",Mercado_Receita!$L$2:$L$505)+SUMIF(Mercado_Receita!$S$2:$S$505,"44713B1Convencional pré-pagamentoResidencialResidencial baixa renda – faixa 02Não se aplicaNão se aplicaIntermediário",Mercado_Receita!$L$2:$L$505)+SUMIF(Mercado_Receita!$S$2:$S$505,"44713B1Convencional pré-pagamentoResidencialResidencial baixa renda – faixa 02Não se aplicaNão se aplicaNão se aplica",Mercado_Receita!$L$2:$L$505)</f>
        <v>0</v>
      </c>
      <c r="S28" s="13">
        <f>SUMIF(Mercado_Receita!$S$2:$S$505,"44743B1Convencional pré-pagamentoResidencialResidencial baixa renda – faixa 02Não se aplicaNão se aplicaPonta",Mercado_Receita!$L$2:$L$505)+SUMIF(Mercado_Receita!$S$2:$S$505,"44743B1Convencional pré-pagamentoResidencialResidencial baixa renda – faixa 02Não se aplicaNão se aplicaFora ponta",Mercado_Receita!$L$2:$L$505)+SUMIF(Mercado_Receita!$S$2:$S$505,"44743B1Convencional pré-pagamentoResidencialResidencial baixa renda – faixa 02Não se aplicaNão se aplicaIntermediário",Mercado_Receita!$L$2:$L$505)+SUMIF(Mercado_Receita!$S$2:$S$505,"44743B1Convencional pré-pagamentoResidencialResidencial baixa renda – faixa 02Não se aplicaNão se aplicaNão se aplica",Mercado_Receita!$L$2:$L$505)</f>
        <v>0</v>
      </c>
      <c r="T28" s="13">
        <f>SUMIF(Mercado_Receita!$S$2:$S$505,"44774B1Convencional pré-pagamentoResidencialResidencial baixa renda – faixa 02Não se aplicaNão se aplicaPonta",Mercado_Receita!$L$2:$L$505)+SUMIF(Mercado_Receita!$S$2:$S$505,"44774B1Convencional pré-pagamentoResidencialResidencial baixa renda – faixa 02Não se aplicaNão se aplicaFora ponta",Mercado_Receita!$L$2:$L$505)+SUMIF(Mercado_Receita!$S$2:$S$505,"44774B1Convencional pré-pagamentoResidencialResidencial baixa renda – faixa 02Não se aplicaNão se aplicaIntermediário",Mercado_Receita!$L$2:$L$505)+SUMIF(Mercado_Receita!$S$2:$S$505,"44774B1Convencional pré-pagamentoResidencialResidencial baixa renda – faixa 02Não se aplicaNão se aplicaNão se aplica",Mercado_Receita!$L$2:$L$505)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7"/>
      <c r="C29" s="77"/>
      <c r="D29" s="12" t="s">
        <v>31</v>
      </c>
      <c r="E29" s="12" t="s">
        <v>25</v>
      </c>
      <c r="F29" s="12" t="s">
        <v>25</v>
      </c>
      <c r="G29" s="13" t="s">
        <v>80</v>
      </c>
      <c r="H29" s="13" t="s">
        <v>74</v>
      </c>
      <c r="I29" s="13">
        <f>SUMIF(Mercado_Receita!$S$2:$S$505,"44440B1Convencional pré-pagamentoResidencialResidencial baixa renda – faixa 03Não se aplicaNão se aplicaPonta",Mercado_Receita!$L$2:$L$505)+SUMIF(Mercado_Receita!$S$2:$S$505,"44440B1Convencional pré-pagamentoResidencialResidencial baixa renda – faixa 03Não se aplicaNão se aplicaFora ponta",Mercado_Receita!$L$2:$L$505)+SUMIF(Mercado_Receita!$S$2:$S$505,"44440B1Convencional pré-pagamentoResidencialResidencial baixa renda – faixa 03Não se aplicaNão se aplicaIntermediário",Mercado_Receita!$L$2:$L$505)+SUMIF(Mercado_Receita!$S$2:$S$505,"44440B1Convencional pré-pagamentoResidencialResidencial baixa renda – faixa 03Não se aplicaNão se aplicaNão se aplica",Mercado_Receita!$L$2:$L$505)</f>
        <v>0</v>
      </c>
      <c r="J29" s="13">
        <f>SUMIF(Mercado_Receita!$S$2:$S$505,"44470B1Convencional pré-pagamentoResidencialResidencial baixa renda – faixa 03Não se aplicaNão se aplicaPonta",Mercado_Receita!$L$2:$L$505)+SUMIF(Mercado_Receita!$S$2:$S$505,"44470B1Convencional pré-pagamentoResidencialResidencial baixa renda – faixa 03Não se aplicaNão se aplicaFora ponta",Mercado_Receita!$L$2:$L$505)+SUMIF(Mercado_Receita!$S$2:$S$505,"44470B1Convencional pré-pagamentoResidencialResidencial baixa renda – faixa 03Não se aplicaNão se aplicaIntermediário",Mercado_Receita!$L$2:$L$505)+SUMIF(Mercado_Receita!$S$2:$S$505,"44470B1Convencional pré-pagamentoResidencialResidencial baixa renda – faixa 03Não se aplicaNão se aplicaNão se aplica",Mercado_Receita!$L$2:$L$505)</f>
        <v>0</v>
      </c>
      <c r="K29" s="13">
        <f>SUMIF(Mercado_Receita!$S$2:$S$505,"44501B1Convencional pré-pagamentoResidencialResidencial baixa renda – faixa 03Não se aplicaNão se aplicaPonta",Mercado_Receita!$L$2:$L$505)+SUMIF(Mercado_Receita!$S$2:$S$505,"44501B1Convencional pré-pagamentoResidencialResidencial baixa renda – faixa 03Não se aplicaNão se aplicaFora ponta",Mercado_Receita!$L$2:$L$505)+SUMIF(Mercado_Receita!$S$2:$S$505,"44501B1Convencional pré-pagamentoResidencialResidencial baixa renda – faixa 03Não se aplicaNão se aplicaIntermediário",Mercado_Receita!$L$2:$L$505)+SUMIF(Mercado_Receita!$S$2:$S$505,"44501B1Convencional pré-pagamentoResidencialResidencial baixa renda – faixa 03Não se aplicaNão se aplicaNão se aplica",Mercado_Receita!$L$2:$L$505)</f>
        <v>0</v>
      </c>
      <c r="L29" s="13">
        <f>SUMIF(Mercado_Receita!$S$2:$S$505,"44531B1Convencional pré-pagamentoResidencialResidencial baixa renda – faixa 03Não se aplicaNão se aplicaPonta",Mercado_Receita!$L$2:$L$505)+SUMIF(Mercado_Receita!$S$2:$S$505,"44531B1Convencional pré-pagamentoResidencialResidencial baixa renda – faixa 03Não se aplicaNão se aplicaFora ponta",Mercado_Receita!$L$2:$L$505)+SUMIF(Mercado_Receita!$S$2:$S$505,"44531B1Convencional pré-pagamentoResidencialResidencial baixa renda – faixa 03Não se aplicaNão se aplicaIntermediário",Mercado_Receita!$L$2:$L$505)+SUMIF(Mercado_Receita!$S$2:$S$505,"44531B1Convencional pré-pagamentoResidencialResidencial baixa renda – faixa 03Não se aplicaNão se aplicaNão se aplica",Mercado_Receita!$L$2:$L$505)</f>
        <v>0</v>
      </c>
      <c r="M29" s="13">
        <f>SUMIF(Mercado_Receita!$S$2:$S$505,"44562B1Convencional pré-pagamentoResidencialResidencial baixa renda – faixa 03Não se aplicaNão se aplicaPonta",Mercado_Receita!$L$2:$L$505)+SUMIF(Mercado_Receita!$S$2:$S$505,"44562B1Convencional pré-pagamentoResidencialResidencial baixa renda – faixa 03Não se aplicaNão se aplicaFora ponta",Mercado_Receita!$L$2:$L$505)+SUMIF(Mercado_Receita!$S$2:$S$505,"44562B1Convencional pré-pagamentoResidencialResidencial baixa renda – faixa 03Não se aplicaNão se aplicaIntermediário",Mercado_Receita!$L$2:$L$505)+SUMIF(Mercado_Receita!$S$2:$S$505,"44562B1Convencional pré-pagamentoResidencialResidencial baixa renda – faixa 03Não se aplicaNão se aplicaNão se aplica",Mercado_Receita!$L$2:$L$505)</f>
        <v>0</v>
      </c>
      <c r="N29" s="13">
        <f>SUMIF(Mercado_Receita!$S$2:$S$505,"44593B1Convencional pré-pagamentoResidencialResidencial baixa renda – faixa 03Não se aplicaNão se aplicaPonta",Mercado_Receita!$L$2:$L$505)+SUMIF(Mercado_Receita!$S$2:$S$505,"44593B1Convencional pré-pagamentoResidencialResidencial baixa renda – faixa 03Não se aplicaNão se aplicaFora ponta",Mercado_Receita!$L$2:$L$505)+SUMIF(Mercado_Receita!$S$2:$S$505,"44593B1Convencional pré-pagamentoResidencialResidencial baixa renda – faixa 03Não se aplicaNão se aplicaIntermediário",Mercado_Receita!$L$2:$L$505)+SUMIF(Mercado_Receita!$S$2:$S$505,"44593B1Convencional pré-pagamentoResidencialResidencial baixa renda – faixa 03Não se aplicaNão se aplicaNão se aplica",Mercado_Receita!$L$2:$L$505)</f>
        <v>0</v>
      </c>
      <c r="O29" s="13">
        <f>SUMIF(Mercado_Receita!$S$2:$S$505,"44621B1Convencional pré-pagamentoResidencialResidencial baixa renda – faixa 03Não se aplicaNão se aplicaPonta",Mercado_Receita!$L$2:$L$505)+SUMIF(Mercado_Receita!$S$2:$S$505,"44621B1Convencional pré-pagamentoResidencialResidencial baixa renda – faixa 03Não se aplicaNão se aplicaFora ponta",Mercado_Receita!$L$2:$L$505)+SUMIF(Mercado_Receita!$S$2:$S$505,"44621B1Convencional pré-pagamentoResidencialResidencial baixa renda – faixa 03Não se aplicaNão se aplicaIntermediário",Mercado_Receita!$L$2:$L$505)+SUMIF(Mercado_Receita!$S$2:$S$505,"44621B1Convencional pré-pagamentoResidencialResidencial baixa renda – faixa 03Não se aplicaNão se aplicaNão se aplica",Mercado_Receita!$L$2:$L$505)</f>
        <v>0</v>
      </c>
      <c r="P29" s="13">
        <f>SUMIF(Mercado_Receita!$S$2:$S$505,"44652B1Convencional pré-pagamentoResidencialResidencial baixa renda – faixa 03Não se aplicaNão se aplicaPonta",Mercado_Receita!$L$2:$L$505)+SUMIF(Mercado_Receita!$S$2:$S$505,"44652B1Convencional pré-pagamentoResidencialResidencial baixa renda – faixa 03Não se aplicaNão se aplicaFora ponta",Mercado_Receita!$L$2:$L$505)+SUMIF(Mercado_Receita!$S$2:$S$505,"44652B1Convencional pré-pagamentoResidencialResidencial baixa renda – faixa 03Não se aplicaNão se aplicaIntermediário",Mercado_Receita!$L$2:$L$505)+SUMIF(Mercado_Receita!$S$2:$S$505,"44652B1Convencional pré-pagamentoResidencialResidencial baixa renda – faixa 03Não se aplicaNão se aplicaNão se aplica",Mercado_Receita!$L$2:$L$505)</f>
        <v>0</v>
      </c>
      <c r="Q29" s="13">
        <f>SUMIF(Mercado_Receita!$S$2:$S$505,"44682B1Convencional pré-pagamentoResidencialResidencial baixa renda – faixa 03Não se aplicaNão se aplicaPonta",Mercado_Receita!$L$2:$L$505)+SUMIF(Mercado_Receita!$S$2:$S$505,"44682B1Convencional pré-pagamentoResidencialResidencial baixa renda – faixa 03Não se aplicaNão se aplicaFora ponta",Mercado_Receita!$L$2:$L$505)+SUMIF(Mercado_Receita!$S$2:$S$505,"44682B1Convencional pré-pagamentoResidencialResidencial baixa renda – faixa 03Não se aplicaNão se aplicaIntermediário",Mercado_Receita!$L$2:$L$505)+SUMIF(Mercado_Receita!$S$2:$S$505,"44682B1Convencional pré-pagamentoResidencialResidencial baixa renda – faixa 03Não se aplicaNão se aplicaNão se aplica",Mercado_Receita!$L$2:$L$505)</f>
        <v>0</v>
      </c>
      <c r="R29" s="13">
        <f>SUMIF(Mercado_Receita!$S$2:$S$505,"44713B1Convencional pré-pagamentoResidencialResidencial baixa renda – faixa 03Não se aplicaNão se aplicaPonta",Mercado_Receita!$L$2:$L$505)+SUMIF(Mercado_Receita!$S$2:$S$505,"44713B1Convencional pré-pagamentoResidencialResidencial baixa renda – faixa 03Não se aplicaNão se aplicaFora ponta",Mercado_Receita!$L$2:$L$505)+SUMIF(Mercado_Receita!$S$2:$S$505,"44713B1Convencional pré-pagamentoResidencialResidencial baixa renda – faixa 03Não se aplicaNão se aplicaIntermediário",Mercado_Receita!$L$2:$L$505)+SUMIF(Mercado_Receita!$S$2:$S$505,"44713B1Convencional pré-pagamentoResidencialResidencial baixa renda – faixa 03Não se aplicaNão se aplicaNão se aplica",Mercado_Receita!$L$2:$L$505)</f>
        <v>0</v>
      </c>
      <c r="S29" s="13">
        <f>SUMIF(Mercado_Receita!$S$2:$S$505,"44743B1Convencional pré-pagamentoResidencialResidencial baixa renda – faixa 03Não se aplicaNão se aplicaPonta",Mercado_Receita!$L$2:$L$505)+SUMIF(Mercado_Receita!$S$2:$S$505,"44743B1Convencional pré-pagamentoResidencialResidencial baixa renda – faixa 03Não se aplicaNão se aplicaFora ponta",Mercado_Receita!$L$2:$L$505)+SUMIF(Mercado_Receita!$S$2:$S$505,"44743B1Convencional pré-pagamentoResidencialResidencial baixa renda – faixa 03Não se aplicaNão se aplicaIntermediário",Mercado_Receita!$L$2:$L$505)+SUMIF(Mercado_Receita!$S$2:$S$505,"44743B1Convencional pré-pagamentoResidencialResidencial baixa renda – faixa 03Não se aplicaNão se aplicaNão se aplica",Mercado_Receita!$L$2:$L$505)</f>
        <v>0</v>
      </c>
      <c r="T29" s="13">
        <f>SUMIF(Mercado_Receita!$S$2:$S$505,"44774B1Convencional pré-pagamentoResidencialResidencial baixa renda – faixa 03Não se aplicaNão se aplicaPonta",Mercado_Receita!$L$2:$L$505)+SUMIF(Mercado_Receita!$S$2:$S$505,"44774B1Convencional pré-pagamentoResidencialResidencial baixa renda – faixa 03Não se aplicaNão se aplicaFora ponta",Mercado_Receita!$L$2:$L$505)+SUMIF(Mercado_Receita!$S$2:$S$505,"44774B1Convencional pré-pagamentoResidencialResidencial baixa renda – faixa 03Não se aplicaNão se aplicaIntermediário",Mercado_Receita!$L$2:$L$505)+SUMIF(Mercado_Receita!$S$2:$S$505,"44774B1Convencional pré-pagamentoResidencialResidencial baixa renda – faixa 03Não se aplicaNão se aplicaNão se aplica",Mercado_Receita!$L$2:$L$505)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77"/>
      <c r="C30" s="77"/>
      <c r="D30" s="12" t="s">
        <v>32</v>
      </c>
      <c r="E30" s="12" t="s">
        <v>25</v>
      </c>
      <c r="F30" s="12" t="s">
        <v>25</v>
      </c>
      <c r="G30" s="13" t="s">
        <v>80</v>
      </c>
      <c r="H30" s="13" t="s">
        <v>74</v>
      </c>
      <c r="I30" s="13">
        <f>SUMIF(Mercado_Receita!$S$2:$S$505,"44440B1Convencional pré-pagamentoResidencialResidencial baixa renda – faixa 04Não se aplicaNão se aplicaPonta",Mercado_Receita!$L$2:$L$505)+SUMIF(Mercado_Receita!$S$2:$S$505,"44440B1Convencional pré-pagamentoResidencialResidencial baixa renda – faixa 04Não se aplicaNão se aplicaFora ponta",Mercado_Receita!$L$2:$L$505)+SUMIF(Mercado_Receita!$S$2:$S$505,"44440B1Convencional pré-pagamentoResidencialResidencial baixa renda – faixa 04Não se aplicaNão se aplicaIntermediário",Mercado_Receita!$L$2:$L$505)+SUMIF(Mercado_Receita!$S$2:$S$505,"44440B1Convencional pré-pagamentoResidencialResidencial baixa renda – faixa 04Não se aplicaNão se aplicaNão se aplica",Mercado_Receita!$L$2:$L$505)</f>
        <v>0</v>
      </c>
      <c r="J30" s="13">
        <f>SUMIF(Mercado_Receita!$S$2:$S$505,"44470B1Convencional pré-pagamentoResidencialResidencial baixa renda – faixa 04Não se aplicaNão se aplicaPonta",Mercado_Receita!$L$2:$L$505)+SUMIF(Mercado_Receita!$S$2:$S$505,"44470B1Convencional pré-pagamentoResidencialResidencial baixa renda – faixa 04Não se aplicaNão se aplicaFora ponta",Mercado_Receita!$L$2:$L$505)+SUMIF(Mercado_Receita!$S$2:$S$505,"44470B1Convencional pré-pagamentoResidencialResidencial baixa renda – faixa 04Não se aplicaNão se aplicaIntermediário",Mercado_Receita!$L$2:$L$505)+SUMIF(Mercado_Receita!$S$2:$S$505,"44470B1Convencional pré-pagamentoResidencialResidencial baixa renda – faixa 04Não se aplicaNão se aplicaNão se aplica",Mercado_Receita!$L$2:$L$505)</f>
        <v>0</v>
      </c>
      <c r="K30" s="13">
        <f>SUMIF(Mercado_Receita!$S$2:$S$505,"44501B1Convencional pré-pagamentoResidencialResidencial baixa renda – faixa 04Não se aplicaNão se aplicaPonta",Mercado_Receita!$L$2:$L$505)+SUMIF(Mercado_Receita!$S$2:$S$505,"44501B1Convencional pré-pagamentoResidencialResidencial baixa renda – faixa 04Não se aplicaNão se aplicaFora ponta",Mercado_Receita!$L$2:$L$505)+SUMIF(Mercado_Receita!$S$2:$S$505,"44501B1Convencional pré-pagamentoResidencialResidencial baixa renda – faixa 04Não se aplicaNão se aplicaIntermediário",Mercado_Receita!$L$2:$L$505)+SUMIF(Mercado_Receita!$S$2:$S$505,"44501B1Convencional pré-pagamentoResidencialResidencial baixa renda – faixa 04Não se aplicaNão se aplicaNão se aplica",Mercado_Receita!$L$2:$L$505)</f>
        <v>0</v>
      </c>
      <c r="L30" s="13">
        <f>SUMIF(Mercado_Receita!$S$2:$S$505,"44531B1Convencional pré-pagamentoResidencialResidencial baixa renda – faixa 04Não se aplicaNão se aplicaPonta",Mercado_Receita!$L$2:$L$505)+SUMIF(Mercado_Receita!$S$2:$S$505,"44531B1Convencional pré-pagamentoResidencialResidencial baixa renda – faixa 04Não se aplicaNão se aplicaFora ponta",Mercado_Receita!$L$2:$L$505)+SUMIF(Mercado_Receita!$S$2:$S$505,"44531B1Convencional pré-pagamentoResidencialResidencial baixa renda – faixa 04Não se aplicaNão se aplicaIntermediário",Mercado_Receita!$L$2:$L$505)+SUMIF(Mercado_Receita!$S$2:$S$505,"44531B1Convencional pré-pagamentoResidencialResidencial baixa renda – faixa 04Não se aplicaNão se aplicaNão se aplica",Mercado_Receita!$L$2:$L$505)</f>
        <v>0</v>
      </c>
      <c r="M30" s="13">
        <f>SUMIF(Mercado_Receita!$S$2:$S$505,"44562B1Convencional pré-pagamentoResidencialResidencial baixa renda – faixa 04Não se aplicaNão se aplicaPonta",Mercado_Receita!$L$2:$L$505)+SUMIF(Mercado_Receita!$S$2:$S$505,"44562B1Convencional pré-pagamentoResidencialResidencial baixa renda – faixa 04Não se aplicaNão se aplicaFora ponta",Mercado_Receita!$L$2:$L$505)+SUMIF(Mercado_Receita!$S$2:$S$505,"44562B1Convencional pré-pagamentoResidencialResidencial baixa renda – faixa 04Não se aplicaNão se aplicaIntermediário",Mercado_Receita!$L$2:$L$505)+SUMIF(Mercado_Receita!$S$2:$S$505,"44562B1Convencional pré-pagamentoResidencialResidencial baixa renda – faixa 04Não se aplicaNão se aplicaNão se aplica",Mercado_Receita!$L$2:$L$505)</f>
        <v>0</v>
      </c>
      <c r="N30" s="13">
        <f>SUMIF(Mercado_Receita!$S$2:$S$505,"44593B1Convencional pré-pagamentoResidencialResidencial baixa renda – faixa 04Não se aplicaNão se aplicaPonta",Mercado_Receita!$L$2:$L$505)+SUMIF(Mercado_Receita!$S$2:$S$505,"44593B1Convencional pré-pagamentoResidencialResidencial baixa renda – faixa 04Não se aplicaNão se aplicaFora ponta",Mercado_Receita!$L$2:$L$505)+SUMIF(Mercado_Receita!$S$2:$S$505,"44593B1Convencional pré-pagamentoResidencialResidencial baixa renda – faixa 04Não se aplicaNão se aplicaIntermediário",Mercado_Receita!$L$2:$L$505)+SUMIF(Mercado_Receita!$S$2:$S$505,"44593B1Convencional pré-pagamentoResidencialResidencial baixa renda – faixa 04Não se aplicaNão se aplicaNão se aplica",Mercado_Receita!$L$2:$L$505)</f>
        <v>0</v>
      </c>
      <c r="O30" s="13">
        <f>SUMIF(Mercado_Receita!$S$2:$S$505,"44621B1Convencional pré-pagamentoResidencialResidencial baixa renda – faixa 04Não se aplicaNão se aplicaPonta",Mercado_Receita!$L$2:$L$505)+SUMIF(Mercado_Receita!$S$2:$S$505,"44621B1Convencional pré-pagamentoResidencialResidencial baixa renda – faixa 04Não se aplicaNão se aplicaFora ponta",Mercado_Receita!$L$2:$L$505)+SUMIF(Mercado_Receita!$S$2:$S$505,"44621B1Convencional pré-pagamentoResidencialResidencial baixa renda – faixa 04Não se aplicaNão se aplicaIntermediário",Mercado_Receita!$L$2:$L$505)+SUMIF(Mercado_Receita!$S$2:$S$505,"44621B1Convencional pré-pagamentoResidencialResidencial baixa renda – faixa 04Não se aplicaNão se aplicaNão se aplica",Mercado_Receita!$L$2:$L$505)</f>
        <v>0</v>
      </c>
      <c r="P30" s="13">
        <f>SUMIF(Mercado_Receita!$S$2:$S$505,"44652B1Convencional pré-pagamentoResidencialResidencial baixa renda – faixa 04Não se aplicaNão se aplicaPonta",Mercado_Receita!$L$2:$L$505)+SUMIF(Mercado_Receita!$S$2:$S$505,"44652B1Convencional pré-pagamentoResidencialResidencial baixa renda – faixa 04Não se aplicaNão se aplicaFora ponta",Mercado_Receita!$L$2:$L$505)+SUMIF(Mercado_Receita!$S$2:$S$505,"44652B1Convencional pré-pagamentoResidencialResidencial baixa renda – faixa 04Não se aplicaNão se aplicaIntermediário",Mercado_Receita!$L$2:$L$505)+SUMIF(Mercado_Receita!$S$2:$S$505,"44652B1Convencional pré-pagamentoResidencialResidencial baixa renda – faixa 04Não se aplicaNão se aplicaNão se aplica",Mercado_Receita!$L$2:$L$505)</f>
        <v>0</v>
      </c>
      <c r="Q30" s="13">
        <f>SUMIF(Mercado_Receita!$S$2:$S$505,"44682B1Convencional pré-pagamentoResidencialResidencial baixa renda – faixa 04Não se aplicaNão se aplicaPonta",Mercado_Receita!$L$2:$L$505)+SUMIF(Mercado_Receita!$S$2:$S$505,"44682B1Convencional pré-pagamentoResidencialResidencial baixa renda – faixa 04Não se aplicaNão se aplicaFora ponta",Mercado_Receita!$L$2:$L$505)+SUMIF(Mercado_Receita!$S$2:$S$505,"44682B1Convencional pré-pagamentoResidencialResidencial baixa renda – faixa 04Não se aplicaNão se aplicaIntermediário",Mercado_Receita!$L$2:$L$505)+SUMIF(Mercado_Receita!$S$2:$S$505,"44682B1Convencional pré-pagamentoResidencialResidencial baixa renda – faixa 04Não se aplicaNão se aplicaNão se aplica",Mercado_Receita!$L$2:$L$505)</f>
        <v>0</v>
      </c>
      <c r="R30" s="13">
        <f>SUMIF(Mercado_Receita!$S$2:$S$505,"44713B1Convencional pré-pagamentoResidencialResidencial baixa renda – faixa 04Não se aplicaNão se aplicaPonta",Mercado_Receita!$L$2:$L$505)+SUMIF(Mercado_Receita!$S$2:$S$505,"44713B1Convencional pré-pagamentoResidencialResidencial baixa renda – faixa 04Não se aplicaNão se aplicaFora ponta",Mercado_Receita!$L$2:$L$505)+SUMIF(Mercado_Receita!$S$2:$S$505,"44713B1Convencional pré-pagamentoResidencialResidencial baixa renda – faixa 04Não se aplicaNão se aplicaIntermediário",Mercado_Receita!$L$2:$L$505)+SUMIF(Mercado_Receita!$S$2:$S$505,"44713B1Convencional pré-pagamentoResidencialResidencial baixa renda – faixa 04Não se aplicaNão se aplicaNão se aplica",Mercado_Receita!$L$2:$L$505)</f>
        <v>0</v>
      </c>
      <c r="S30" s="13">
        <f>SUMIF(Mercado_Receita!$S$2:$S$505,"44743B1Convencional pré-pagamentoResidencialResidencial baixa renda – faixa 04Não se aplicaNão se aplicaPonta",Mercado_Receita!$L$2:$L$505)+SUMIF(Mercado_Receita!$S$2:$S$505,"44743B1Convencional pré-pagamentoResidencialResidencial baixa renda – faixa 04Não se aplicaNão se aplicaFora ponta",Mercado_Receita!$L$2:$L$505)+SUMIF(Mercado_Receita!$S$2:$S$505,"44743B1Convencional pré-pagamentoResidencialResidencial baixa renda – faixa 04Não se aplicaNão se aplicaIntermediário",Mercado_Receita!$L$2:$L$505)+SUMIF(Mercado_Receita!$S$2:$S$505,"44743B1Convencional pré-pagamentoResidencialResidencial baixa renda – faixa 04Não se aplicaNão se aplicaNão se aplica",Mercado_Receita!$L$2:$L$505)</f>
        <v>0</v>
      </c>
      <c r="T30" s="13">
        <f>SUMIF(Mercado_Receita!$S$2:$S$505,"44774B1Convencional pré-pagamentoResidencialResidencial baixa renda – faixa 04Não se aplicaNão se aplicaPonta",Mercado_Receita!$L$2:$L$505)+SUMIF(Mercado_Receita!$S$2:$S$505,"44774B1Convencional pré-pagamentoResidencialResidencial baixa renda – faixa 04Não se aplicaNão se aplicaFora ponta",Mercado_Receita!$L$2:$L$505)+SUMIF(Mercado_Receita!$S$2:$S$505,"44774B1Convencional pré-pagamentoResidencialResidencial baixa renda – faixa 04Não se aplicaNão se aplicaIntermediário",Mercado_Receita!$L$2:$L$505)+SUMIF(Mercado_Receita!$S$2:$S$505,"44774B1Convencional pré-pagamentoResidencialResidencial baixa renda – faixa 04Não se aplicaNão se aplicaNão se aplica",Mercado_Receita!$L$2:$L$505)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6" t="s">
        <v>42</v>
      </c>
      <c r="B31" s="76" t="s">
        <v>55</v>
      </c>
      <c r="C31" s="76" t="s">
        <v>43</v>
      </c>
      <c r="D31" s="76" t="s">
        <v>25</v>
      </c>
      <c r="E31" s="76" t="s">
        <v>25</v>
      </c>
      <c r="F31" s="76" t="s">
        <v>25</v>
      </c>
      <c r="G31" s="13" t="s">
        <v>75</v>
      </c>
      <c r="H31" s="13" t="s">
        <v>74</v>
      </c>
      <c r="I31" s="13">
        <f>SUMIF(Mercado_Receita!$S$2:$S$505,"44440B2BrancaRuralNão se aplicaNão se aplicaNão se aplicaPonta",Mercado_Receita!$L$2:$L$505)</f>
        <v>0</v>
      </c>
      <c r="J31" s="13">
        <f>SUMIF(Mercado_Receita!$S$2:$S$505,"44470B2BrancaRuralNão se aplicaNão se aplicaNão se aplicaPonta",Mercado_Receita!$L$2:$L$505)</f>
        <v>0</v>
      </c>
      <c r="K31" s="13">
        <f>SUMIF(Mercado_Receita!$S$2:$S$505,"44501B2BrancaRuralNão se aplicaNão se aplicaNão se aplicaPonta",Mercado_Receita!$L$2:$L$505)</f>
        <v>0</v>
      </c>
      <c r="L31" s="13">
        <f>SUMIF(Mercado_Receita!$S$2:$S$505,"44531B2BrancaRuralNão se aplicaNão se aplicaNão se aplicaPonta",Mercado_Receita!$L$2:$L$505)</f>
        <v>0</v>
      </c>
      <c r="M31" s="13">
        <f>SUMIF(Mercado_Receita!$S$2:$S$505,"44562B2BrancaRuralNão se aplicaNão se aplicaNão se aplicaPonta",Mercado_Receita!$L$2:$L$505)</f>
        <v>0</v>
      </c>
      <c r="N31" s="13">
        <f>SUMIF(Mercado_Receita!$S$2:$S$505,"44593B2BrancaRuralNão se aplicaNão se aplicaNão se aplicaPonta",Mercado_Receita!$L$2:$L$505)</f>
        <v>0</v>
      </c>
      <c r="O31" s="13">
        <f>SUMIF(Mercado_Receita!$S$2:$S$505,"44621B2BrancaRuralNão se aplicaNão se aplicaNão se aplicaPonta",Mercado_Receita!$L$2:$L$505)</f>
        <v>0</v>
      </c>
      <c r="P31" s="13">
        <f>SUMIF(Mercado_Receita!$S$2:$S$505,"44652B2BrancaRuralNão se aplicaNão se aplicaNão se aplicaPonta",Mercado_Receita!$L$2:$L$505)</f>
        <v>0</v>
      </c>
      <c r="Q31" s="13">
        <f>SUMIF(Mercado_Receita!$S$2:$S$505,"44682B2BrancaRuralNão se aplicaNão se aplicaNão se aplicaPonta",Mercado_Receita!$L$2:$L$505)</f>
        <v>0</v>
      </c>
      <c r="R31" s="13">
        <f>SUMIF(Mercado_Receita!$S$2:$S$505,"44713B2BrancaRuralNão se aplicaNão se aplicaNão se aplicaPonta",Mercado_Receita!$L$2:$L$505)</f>
        <v>0</v>
      </c>
      <c r="S31" s="13">
        <f>SUMIF(Mercado_Receita!$S$2:$S$505,"44743B2BrancaRuralNão se aplicaNão se aplicaNão se aplicaPonta",Mercado_Receita!$L$2:$L$505)</f>
        <v>0</v>
      </c>
      <c r="T31" s="13">
        <f>SUMIF(Mercado_Receita!$S$2:$S$505,"44774B2BrancaRuralNão se aplicaNão se aplicaNão se aplicaPonta",Mercado_Receita!$L$2:$L$505)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/>
      <c r="B32" s="77"/>
      <c r="C32" s="77"/>
      <c r="D32" s="77"/>
      <c r="E32" s="77"/>
      <c r="F32" s="77"/>
      <c r="G32" s="13" t="s">
        <v>86</v>
      </c>
      <c r="H32" s="13" t="s">
        <v>74</v>
      </c>
      <c r="I32" s="13">
        <f>SUMIF(Mercado_Receita!$S$2:$S$505,"44440B2BrancaRuralNão se aplicaNão se aplicaNão se aplicaIntermediário",Mercado_Receita!$L$2:$L$505)</f>
        <v>0</v>
      </c>
      <c r="J32" s="13">
        <f>SUMIF(Mercado_Receita!$S$2:$S$505,"44470B2BrancaRuralNão se aplicaNão se aplicaNão se aplicaIntermediário",Mercado_Receita!$L$2:$L$505)</f>
        <v>0</v>
      </c>
      <c r="K32" s="13">
        <f>SUMIF(Mercado_Receita!$S$2:$S$505,"44501B2BrancaRuralNão se aplicaNão se aplicaNão se aplicaIntermediário",Mercado_Receita!$L$2:$L$505)</f>
        <v>0</v>
      </c>
      <c r="L32" s="13">
        <f>SUMIF(Mercado_Receita!$S$2:$S$505,"44531B2BrancaRuralNão se aplicaNão se aplicaNão se aplicaIntermediário",Mercado_Receita!$L$2:$L$505)</f>
        <v>0</v>
      </c>
      <c r="M32" s="13">
        <f>SUMIF(Mercado_Receita!$S$2:$S$505,"44562B2BrancaRuralNão se aplicaNão se aplicaNão se aplicaIntermediário",Mercado_Receita!$L$2:$L$505)</f>
        <v>0</v>
      </c>
      <c r="N32" s="13">
        <f>SUMIF(Mercado_Receita!$S$2:$S$505,"44593B2BrancaRuralNão se aplicaNão se aplicaNão se aplicaIntermediário",Mercado_Receita!$L$2:$L$505)</f>
        <v>0</v>
      </c>
      <c r="O32" s="13">
        <f>SUMIF(Mercado_Receita!$S$2:$S$505,"44621B2BrancaRuralNão se aplicaNão se aplicaNão se aplicaIntermediário",Mercado_Receita!$L$2:$L$505)</f>
        <v>0</v>
      </c>
      <c r="P32" s="13">
        <f>SUMIF(Mercado_Receita!$S$2:$S$505,"44652B2BrancaRuralNão se aplicaNão se aplicaNão se aplicaIntermediário",Mercado_Receita!$L$2:$L$505)</f>
        <v>0</v>
      </c>
      <c r="Q32" s="13">
        <f>SUMIF(Mercado_Receita!$S$2:$S$505,"44682B2BrancaRuralNão se aplicaNão se aplicaNão se aplicaIntermediário",Mercado_Receita!$L$2:$L$505)</f>
        <v>0</v>
      </c>
      <c r="R32" s="13">
        <f>SUMIF(Mercado_Receita!$S$2:$S$505,"44713B2BrancaRuralNão se aplicaNão se aplicaNão se aplicaIntermediário",Mercado_Receita!$L$2:$L$505)</f>
        <v>0</v>
      </c>
      <c r="S32" s="13">
        <f>SUMIF(Mercado_Receita!$S$2:$S$505,"44743B2BrancaRuralNão se aplicaNão se aplicaNão se aplicaIntermediário",Mercado_Receita!$L$2:$L$505)</f>
        <v>0</v>
      </c>
      <c r="T32" s="13">
        <f>SUMIF(Mercado_Receita!$S$2:$S$505,"44774B2BrancaRuralNão se aplicaNão se aplicaNão se aplicaIntermediário",Mercado_Receita!$L$2:$L$505)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76</v>
      </c>
      <c r="H33" s="13" t="s">
        <v>74</v>
      </c>
      <c r="I33" s="13">
        <f>SUMIF(Mercado_Receita!$S$2:$S$505,"44440B2BrancaRuralNão se aplicaNão se aplicaNão se aplicaFora ponta",Mercado_Receita!$L$2:$L$505)</f>
        <v>0</v>
      </c>
      <c r="J33" s="13">
        <f>SUMIF(Mercado_Receita!$S$2:$S$505,"44470B2BrancaRuralNão se aplicaNão se aplicaNão se aplicaFora ponta",Mercado_Receita!$L$2:$L$505)</f>
        <v>0</v>
      </c>
      <c r="K33" s="13">
        <f>SUMIF(Mercado_Receita!$S$2:$S$505,"44501B2BrancaRuralNão se aplicaNão se aplicaNão se aplicaFora ponta",Mercado_Receita!$L$2:$L$505)</f>
        <v>0</v>
      </c>
      <c r="L33" s="13">
        <f>SUMIF(Mercado_Receita!$S$2:$S$505,"44531B2BrancaRuralNão se aplicaNão se aplicaNão se aplicaFora ponta",Mercado_Receita!$L$2:$L$505)</f>
        <v>0</v>
      </c>
      <c r="M33" s="13">
        <f>SUMIF(Mercado_Receita!$S$2:$S$505,"44562B2BrancaRuralNão se aplicaNão se aplicaNão se aplicaFora ponta",Mercado_Receita!$L$2:$L$505)</f>
        <v>0</v>
      </c>
      <c r="N33" s="13">
        <f>SUMIF(Mercado_Receita!$S$2:$S$505,"44593B2BrancaRuralNão se aplicaNão se aplicaNão se aplicaFora ponta",Mercado_Receita!$L$2:$L$505)</f>
        <v>0</v>
      </c>
      <c r="O33" s="13">
        <f>SUMIF(Mercado_Receita!$S$2:$S$505,"44621B2BrancaRuralNão se aplicaNão se aplicaNão se aplicaFora ponta",Mercado_Receita!$L$2:$L$505)</f>
        <v>0</v>
      </c>
      <c r="P33" s="13">
        <f>SUMIF(Mercado_Receita!$S$2:$S$505,"44652B2BrancaRuralNão se aplicaNão se aplicaNão se aplicaFora ponta",Mercado_Receita!$L$2:$L$505)</f>
        <v>0</v>
      </c>
      <c r="Q33" s="13">
        <f>SUMIF(Mercado_Receita!$S$2:$S$505,"44682B2BrancaRuralNão se aplicaNão se aplicaNão se aplicaFora ponta",Mercado_Receita!$L$2:$L$505)</f>
        <v>0</v>
      </c>
      <c r="R33" s="13">
        <f>SUMIF(Mercado_Receita!$S$2:$S$505,"44713B2BrancaRuralNão se aplicaNão se aplicaNão se aplicaFora ponta",Mercado_Receita!$L$2:$L$505)</f>
        <v>0</v>
      </c>
      <c r="S33" s="13">
        <f>SUMIF(Mercado_Receita!$S$2:$S$505,"44743B2BrancaRuralNão se aplicaNão se aplicaNão se aplicaFora ponta",Mercado_Receita!$L$2:$L$505)</f>
        <v>0</v>
      </c>
      <c r="T33" s="13">
        <f>SUMIF(Mercado_Receita!$S$2:$S$505,"44774B2BrancaRuralNão se aplicaNão se aplicaNão se aplicaFora ponta",Mercado_Receita!$L$2:$L$505)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7"/>
      <c r="B34" s="12" t="s">
        <v>23</v>
      </c>
      <c r="C34" s="12" t="s">
        <v>43</v>
      </c>
      <c r="D34" s="12" t="s">
        <v>25</v>
      </c>
      <c r="E34" s="12" t="s">
        <v>25</v>
      </c>
      <c r="F34" s="12" t="s">
        <v>25</v>
      </c>
      <c r="G34" s="13" t="s">
        <v>80</v>
      </c>
      <c r="H34" s="13" t="s">
        <v>74</v>
      </c>
      <c r="I34" s="13">
        <f>SUMIF(Mercado_Receita!$S$2:$S$505,"44440B2ConvencionalRuralNão se aplicaNão se aplicaNão se aplicaPonta",Mercado_Receita!$L$2:$L$505)+SUMIF(Mercado_Receita!$S$2:$S$505,"44440B2ConvencionalRuralNão se aplicaNão se aplicaNão se aplicaFora ponta",Mercado_Receita!$L$2:$L$505)+SUMIF(Mercado_Receita!$S$2:$S$505,"44440B2ConvencionalRuralNão se aplicaNão se aplicaNão se aplicaIntermediário",Mercado_Receita!$L$2:$L$505)+SUMIF(Mercado_Receita!$S$2:$S$505,"44440B2ConvencionalRuralNão se aplicaNão se aplicaNão se aplicaNão se aplica",Mercado_Receita!$L$2:$L$505)</f>
        <v>1471.3140000000001</v>
      </c>
      <c r="J34" s="13">
        <f>SUMIF(Mercado_Receita!$S$2:$S$505,"44470B2ConvencionalRuralNão se aplicaNão se aplicaNão se aplicaPonta",Mercado_Receita!$L$2:$L$505)+SUMIF(Mercado_Receita!$S$2:$S$505,"44470B2ConvencionalRuralNão se aplicaNão se aplicaNão se aplicaFora ponta",Mercado_Receita!$L$2:$L$505)+SUMIF(Mercado_Receita!$S$2:$S$505,"44470B2ConvencionalRuralNão se aplicaNão se aplicaNão se aplicaIntermediário",Mercado_Receita!$L$2:$L$505)+SUMIF(Mercado_Receita!$S$2:$S$505,"44470B2ConvencionalRuralNão se aplicaNão se aplicaNão se aplicaNão se aplica",Mercado_Receita!$L$2:$L$505)</f>
        <v>1392.752</v>
      </c>
      <c r="K34" s="13">
        <f>SUMIF(Mercado_Receita!$S$2:$S$505,"44501B2ConvencionalRuralNão se aplicaNão se aplicaNão se aplicaPonta",Mercado_Receita!$L$2:$L$505)+SUMIF(Mercado_Receita!$S$2:$S$505,"44501B2ConvencionalRuralNão se aplicaNão se aplicaNão se aplicaFora ponta",Mercado_Receita!$L$2:$L$505)+SUMIF(Mercado_Receita!$S$2:$S$505,"44501B2ConvencionalRuralNão se aplicaNão se aplicaNão se aplicaIntermediário",Mercado_Receita!$L$2:$L$505)+SUMIF(Mercado_Receita!$S$2:$S$505,"44501B2ConvencionalRuralNão se aplicaNão se aplicaNão se aplicaNão se aplica",Mercado_Receita!$L$2:$L$505)</f>
        <v>1535.798</v>
      </c>
      <c r="L34" s="13">
        <f>SUMIF(Mercado_Receita!$S$2:$S$505,"44531B2ConvencionalRuralNão se aplicaNão se aplicaNão se aplicaPonta",Mercado_Receita!$L$2:$L$505)+SUMIF(Mercado_Receita!$S$2:$S$505,"44531B2ConvencionalRuralNão se aplicaNão se aplicaNão se aplicaFora ponta",Mercado_Receita!$L$2:$L$505)+SUMIF(Mercado_Receita!$S$2:$S$505,"44531B2ConvencionalRuralNão se aplicaNão se aplicaNão se aplicaIntermediário",Mercado_Receita!$L$2:$L$505)+SUMIF(Mercado_Receita!$S$2:$S$505,"44531B2ConvencionalRuralNão se aplicaNão se aplicaNão se aplicaNão se aplica",Mercado_Receita!$L$2:$L$505)</f>
        <v>1545.42</v>
      </c>
      <c r="M34" s="13">
        <f>SUMIF(Mercado_Receita!$S$2:$S$505,"44562B2ConvencionalRuralNão se aplicaNão se aplicaNão se aplicaPonta",Mercado_Receita!$L$2:$L$505)+SUMIF(Mercado_Receita!$S$2:$S$505,"44562B2ConvencionalRuralNão se aplicaNão se aplicaNão se aplicaFora ponta",Mercado_Receita!$L$2:$L$505)+SUMIF(Mercado_Receita!$S$2:$S$505,"44562B2ConvencionalRuralNão se aplicaNão se aplicaNão se aplicaIntermediário",Mercado_Receita!$L$2:$L$505)+SUMIF(Mercado_Receita!$S$2:$S$505,"44562B2ConvencionalRuralNão se aplicaNão se aplicaNão se aplicaNão se aplica",Mercado_Receita!$L$2:$L$505)</f>
        <v>1843.6410000000001</v>
      </c>
      <c r="N34" s="13">
        <f>SUMIF(Mercado_Receita!$S$2:$S$505,"44593B2ConvencionalRuralNão se aplicaNão se aplicaNão se aplicaPonta",Mercado_Receita!$L$2:$L$505)+SUMIF(Mercado_Receita!$S$2:$S$505,"44593B2ConvencionalRuralNão se aplicaNão se aplicaNão se aplicaFora ponta",Mercado_Receita!$L$2:$L$505)+SUMIF(Mercado_Receita!$S$2:$S$505,"44593B2ConvencionalRuralNão se aplicaNão se aplicaNão se aplicaIntermediário",Mercado_Receita!$L$2:$L$505)+SUMIF(Mercado_Receita!$S$2:$S$505,"44593B2ConvencionalRuralNão se aplicaNão se aplicaNão se aplicaNão se aplica",Mercado_Receita!$L$2:$L$505)</f>
        <v>1538.5260000000003</v>
      </c>
      <c r="O34" s="13">
        <f>SUMIF(Mercado_Receita!$S$2:$S$505,"44621B2ConvencionalRuralNão se aplicaNão se aplicaNão se aplicaPonta",Mercado_Receita!$L$2:$L$505)+SUMIF(Mercado_Receita!$S$2:$S$505,"44621B2ConvencionalRuralNão se aplicaNão se aplicaNão se aplicaFora ponta",Mercado_Receita!$L$2:$L$505)+SUMIF(Mercado_Receita!$S$2:$S$505,"44621B2ConvencionalRuralNão se aplicaNão se aplicaNão se aplicaIntermediário",Mercado_Receita!$L$2:$L$505)+SUMIF(Mercado_Receita!$S$2:$S$505,"44621B2ConvencionalRuralNão se aplicaNão se aplicaNão se aplicaNão se aplica",Mercado_Receita!$L$2:$L$505)</f>
        <v>1502.7050000000002</v>
      </c>
      <c r="P34" s="13">
        <f>SUMIF(Mercado_Receita!$S$2:$S$505,"44652B2ConvencionalRuralNão se aplicaNão se aplicaNão se aplicaPonta",Mercado_Receita!$L$2:$L$505)+SUMIF(Mercado_Receita!$S$2:$S$505,"44652B2ConvencionalRuralNão se aplicaNão se aplicaNão se aplicaFora ponta",Mercado_Receita!$L$2:$L$505)+SUMIF(Mercado_Receita!$S$2:$S$505,"44652B2ConvencionalRuralNão se aplicaNão se aplicaNão se aplicaIntermediário",Mercado_Receita!$L$2:$L$505)+SUMIF(Mercado_Receita!$S$2:$S$505,"44652B2ConvencionalRuralNão se aplicaNão se aplicaNão se aplicaNão se aplica",Mercado_Receita!$L$2:$L$505)</f>
        <v>1202.615</v>
      </c>
      <c r="Q34" s="13">
        <f>SUMIF(Mercado_Receita!$S$2:$S$505,"44682B2ConvencionalRuralNão se aplicaNão se aplicaNão se aplicaPonta",Mercado_Receita!$L$2:$L$505)+SUMIF(Mercado_Receita!$S$2:$S$505,"44682B2ConvencionalRuralNão se aplicaNão se aplicaNão se aplicaFora ponta",Mercado_Receita!$L$2:$L$505)+SUMIF(Mercado_Receita!$S$2:$S$505,"44682B2ConvencionalRuralNão se aplicaNão se aplicaNão se aplicaIntermediário",Mercado_Receita!$L$2:$L$505)+SUMIF(Mercado_Receita!$S$2:$S$505,"44682B2ConvencionalRuralNão se aplicaNão se aplicaNão se aplicaNão se aplica",Mercado_Receita!$L$2:$L$505)</f>
        <v>1002.2</v>
      </c>
      <c r="R34" s="13">
        <f>SUMIF(Mercado_Receita!$S$2:$S$505,"44713B2ConvencionalRuralNão se aplicaNão se aplicaNão se aplicaPonta",Mercado_Receita!$L$2:$L$505)+SUMIF(Mercado_Receita!$S$2:$S$505,"44713B2ConvencionalRuralNão se aplicaNão se aplicaNão se aplicaFora ponta",Mercado_Receita!$L$2:$L$505)+SUMIF(Mercado_Receita!$S$2:$S$505,"44713B2ConvencionalRuralNão se aplicaNão se aplicaNão se aplicaIntermediário",Mercado_Receita!$L$2:$L$505)+SUMIF(Mercado_Receita!$S$2:$S$505,"44713B2ConvencionalRuralNão se aplicaNão se aplicaNão se aplicaNão se aplica",Mercado_Receita!$L$2:$L$505)</f>
        <v>975.84</v>
      </c>
      <c r="S34" s="13">
        <f>SUMIF(Mercado_Receita!$S$2:$S$505,"44743B2ConvencionalRuralNão se aplicaNão se aplicaNão se aplicaPonta",Mercado_Receita!$L$2:$L$505)+SUMIF(Mercado_Receita!$S$2:$S$505,"44743B2ConvencionalRuralNão se aplicaNão se aplicaNão se aplicaFora ponta",Mercado_Receita!$L$2:$L$505)+SUMIF(Mercado_Receita!$S$2:$S$505,"44743B2ConvencionalRuralNão se aplicaNão se aplicaNão se aplicaIntermediário",Mercado_Receita!$L$2:$L$505)+SUMIF(Mercado_Receita!$S$2:$S$505,"44743B2ConvencionalRuralNão se aplicaNão se aplicaNão se aplicaNão se aplica",Mercado_Receita!$L$2:$L$505)</f>
        <v>990.798</v>
      </c>
      <c r="T34" s="13">
        <f>SUMIF(Mercado_Receita!$S$2:$S$505,"44774B2ConvencionalRuralNão se aplicaNão se aplicaNão se aplicaPonta",Mercado_Receita!$L$2:$L$505)+SUMIF(Mercado_Receita!$S$2:$S$505,"44774B2ConvencionalRuralNão se aplicaNão se aplicaNão se aplicaFora ponta",Mercado_Receita!$L$2:$L$505)+SUMIF(Mercado_Receita!$S$2:$S$505,"44774B2ConvencionalRuralNão se aplicaNão se aplicaNão se aplicaIntermediário",Mercado_Receita!$L$2:$L$505)+SUMIF(Mercado_Receita!$S$2:$S$505,"44774B2ConvencionalRuralNão se aplicaNão se aplicaNão se aplicaNão se aplica",Mercado_Receita!$L$2:$L$505)</f>
        <v>990.798</v>
      </c>
      <c r="U34" s="13">
        <f t="shared" ref="U34:U52" si="1">SUM(I34:T34)</f>
        <v>15992.407000000001</v>
      </c>
      <c r="V34" s="13"/>
      <c r="W34" s="13"/>
    </row>
    <row r="35" spans="1:23" ht="11.25" customHeight="1" x14ac:dyDescent="0.25">
      <c r="A35" s="77"/>
      <c r="B35" s="76" t="s">
        <v>55</v>
      </c>
      <c r="C35" s="76" t="s">
        <v>43</v>
      </c>
      <c r="D35" s="76" t="s">
        <v>90</v>
      </c>
      <c r="E35" s="76" t="s">
        <v>25</v>
      </c>
      <c r="F35" s="76" t="s">
        <v>25</v>
      </c>
      <c r="G35" s="13" t="s">
        <v>75</v>
      </c>
      <c r="H35" s="13" t="s">
        <v>74</v>
      </c>
      <c r="I35" s="13">
        <f>SUMIF(Mercado_Receita!$S$2:$S$505,"44440B2BrancaRuralCooperativa de eletrificação ruralNão se aplicaNão se aplicaPonta",Mercado_Receita!$L$2:$L$505)</f>
        <v>0</v>
      </c>
      <c r="J35" s="13">
        <f>SUMIF(Mercado_Receita!$S$2:$S$505,"44470B2BrancaRuralCooperativa de eletrificação ruralNão se aplicaNão se aplicaPonta",Mercado_Receita!$L$2:$L$505)</f>
        <v>0</v>
      </c>
      <c r="K35" s="13">
        <f>SUMIF(Mercado_Receita!$S$2:$S$505,"44501B2BrancaRuralCooperativa de eletrificação ruralNão se aplicaNão se aplicaPonta",Mercado_Receita!$L$2:$L$505)</f>
        <v>0</v>
      </c>
      <c r="L35" s="13">
        <f>SUMIF(Mercado_Receita!$S$2:$S$505,"44531B2BrancaRuralCooperativa de eletrificação ruralNão se aplicaNão se aplicaPonta",Mercado_Receita!$L$2:$L$505)</f>
        <v>0</v>
      </c>
      <c r="M35" s="13">
        <f>SUMIF(Mercado_Receita!$S$2:$S$505,"44562B2BrancaRuralCooperativa de eletrificação ruralNão se aplicaNão se aplicaPonta",Mercado_Receita!$L$2:$L$505)</f>
        <v>0</v>
      </c>
      <c r="N35" s="13">
        <f>SUMIF(Mercado_Receita!$S$2:$S$505,"44593B2BrancaRuralCooperativa de eletrificação ruralNão se aplicaNão se aplicaPonta",Mercado_Receita!$L$2:$L$505)</f>
        <v>0</v>
      </c>
      <c r="O35" s="13">
        <f>SUMIF(Mercado_Receita!$S$2:$S$505,"44621B2BrancaRuralCooperativa de eletrificação ruralNão se aplicaNão se aplicaPonta",Mercado_Receita!$L$2:$L$505)</f>
        <v>0</v>
      </c>
      <c r="P35" s="13">
        <f>SUMIF(Mercado_Receita!$S$2:$S$505,"44652B2BrancaRuralCooperativa de eletrificação ruralNão se aplicaNão se aplicaPonta",Mercado_Receita!$L$2:$L$505)</f>
        <v>0</v>
      </c>
      <c r="Q35" s="13">
        <f>SUMIF(Mercado_Receita!$S$2:$S$505,"44682B2BrancaRuralCooperativa de eletrificação ruralNão se aplicaNão se aplicaPonta",Mercado_Receita!$L$2:$L$505)</f>
        <v>0</v>
      </c>
      <c r="R35" s="13">
        <f>SUMIF(Mercado_Receita!$S$2:$S$505,"44713B2BrancaRuralCooperativa de eletrificação ruralNão se aplicaNão se aplicaPonta",Mercado_Receita!$L$2:$L$505)</f>
        <v>0</v>
      </c>
      <c r="S35" s="13">
        <f>SUMIF(Mercado_Receita!$S$2:$S$505,"44743B2BrancaRuralCooperativa de eletrificação ruralNão se aplicaNão se aplicaPonta",Mercado_Receita!$L$2:$L$505)</f>
        <v>0</v>
      </c>
      <c r="T35" s="13">
        <f>SUMIF(Mercado_Receita!$S$2:$S$505,"44774B2BrancaRuralCooperativa de eletrificação ruralNão se aplicaNão se aplicaPonta",Mercado_Receita!$L$2:$L$505)</f>
        <v>0</v>
      </c>
      <c r="U35" s="13">
        <f t="shared" si="1"/>
        <v>0</v>
      </c>
      <c r="V35" s="13"/>
      <c r="W35" s="13"/>
    </row>
    <row r="36" spans="1:23" ht="11.25" customHeight="1" x14ac:dyDescent="0.25">
      <c r="A36" s="77"/>
      <c r="B36" s="77"/>
      <c r="C36" s="77"/>
      <c r="D36" s="77"/>
      <c r="E36" s="77"/>
      <c r="F36" s="77"/>
      <c r="G36" s="13" t="s">
        <v>86</v>
      </c>
      <c r="H36" s="13" t="s">
        <v>74</v>
      </c>
      <c r="I36" s="13">
        <f>SUMIF(Mercado_Receita!$S$2:$S$505,"44440B2BrancaRuralCooperativa de eletrificação ruralNão se aplicaNão se aplicaIntermediário",Mercado_Receita!$L$2:$L$505)</f>
        <v>0</v>
      </c>
      <c r="J36" s="13">
        <f>SUMIF(Mercado_Receita!$S$2:$S$505,"44470B2BrancaRuralCooperativa de eletrificação ruralNão se aplicaNão se aplicaIntermediário",Mercado_Receita!$L$2:$L$505)</f>
        <v>0</v>
      </c>
      <c r="K36" s="13">
        <f>SUMIF(Mercado_Receita!$S$2:$S$505,"44501B2BrancaRuralCooperativa de eletrificação ruralNão se aplicaNão se aplicaIntermediário",Mercado_Receita!$L$2:$L$505)</f>
        <v>0</v>
      </c>
      <c r="L36" s="13">
        <f>SUMIF(Mercado_Receita!$S$2:$S$505,"44531B2BrancaRuralCooperativa de eletrificação ruralNão se aplicaNão se aplicaIntermediário",Mercado_Receita!$L$2:$L$505)</f>
        <v>0</v>
      </c>
      <c r="M36" s="13">
        <f>SUMIF(Mercado_Receita!$S$2:$S$505,"44562B2BrancaRuralCooperativa de eletrificação ruralNão se aplicaNão se aplicaIntermediário",Mercado_Receita!$L$2:$L$505)</f>
        <v>0</v>
      </c>
      <c r="N36" s="13">
        <f>SUMIF(Mercado_Receita!$S$2:$S$505,"44593B2BrancaRuralCooperativa de eletrificação ruralNão se aplicaNão se aplicaIntermediário",Mercado_Receita!$L$2:$L$505)</f>
        <v>0</v>
      </c>
      <c r="O36" s="13">
        <f>SUMIF(Mercado_Receita!$S$2:$S$505,"44621B2BrancaRuralCooperativa de eletrificação ruralNão se aplicaNão se aplicaIntermediário",Mercado_Receita!$L$2:$L$505)</f>
        <v>0</v>
      </c>
      <c r="P36" s="13">
        <f>SUMIF(Mercado_Receita!$S$2:$S$505,"44652B2BrancaRuralCooperativa de eletrificação ruralNão se aplicaNão se aplicaIntermediário",Mercado_Receita!$L$2:$L$505)</f>
        <v>0</v>
      </c>
      <c r="Q36" s="13">
        <f>SUMIF(Mercado_Receita!$S$2:$S$505,"44682B2BrancaRuralCooperativa de eletrificação ruralNão se aplicaNão se aplicaIntermediário",Mercado_Receita!$L$2:$L$505)</f>
        <v>0</v>
      </c>
      <c r="R36" s="13">
        <f>SUMIF(Mercado_Receita!$S$2:$S$505,"44713B2BrancaRuralCooperativa de eletrificação ruralNão se aplicaNão se aplicaIntermediário",Mercado_Receita!$L$2:$L$505)</f>
        <v>0</v>
      </c>
      <c r="S36" s="13">
        <f>SUMIF(Mercado_Receita!$S$2:$S$505,"44743B2BrancaRuralCooperativa de eletrificação ruralNão se aplicaNão se aplicaIntermediário",Mercado_Receita!$L$2:$L$505)</f>
        <v>0</v>
      </c>
      <c r="T36" s="13">
        <f>SUMIF(Mercado_Receita!$S$2:$S$505,"44774B2BrancaRuralCooperativa de eletrificação ruralNão se aplicaNão se aplicaIntermediário",Mercado_Receita!$L$2:$L$505)</f>
        <v>0</v>
      </c>
      <c r="U36" s="13">
        <f t="shared" si="1"/>
        <v>0</v>
      </c>
      <c r="V36" s="13"/>
      <c r="W36" s="13"/>
    </row>
    <row r="37" spans="1:23" ht="11.25" customHeight="1" x14ac:dyDescent="0.25">
      <c r="A37" s="77"/>
      <c r="B37" s="77"/>
      <c r="C37" s="77"/>
      <c r="D37" s="77"/>
      <c r="E37" s="77"/>
      <c r="F37" s="77"/>
      <c r="G37" s="13" t="s">
        <v>76</v>
      </c>
      <c r="H37" s="13" t="s">
        <v>74</v>
      </c>
      <c r="I37" s="13">
        <f>SUMIF(Mercado_Receita!$S$2:$S$505,"44440B2BrancaRuralCooperativa de eletrificação ruralNão se aplicaNão se aplicaFora ponta",Mercado_Receita!$L$2:$L$505)</f>
        <v>0</v>
      </c>
      <c r="J37" s="13">
        <f>SUMIF(Mercado_Receita!$S$2:$S$505,"44470B2BrancaRuralCooperativa de eletrificação ruralNão se aplicaNão se aplicaFora ponta",Mercado_Receita!$L$2:$L$505)</f>
        <v>0</v>
      </c>
      <c r="K37" s="13">
        <f>SUMIF(Mercado_Receita!$S$2:$S$505,"44501B2BrancaRuralCooperativa de eletrificação ruralNão se aplicaNão se aplicaFora ponta",Mercado_Receita!$L$2:$L$505)</f>
        <v>0</v>
      </c>
      <c r="L37" s="13">
        <f>SUMIF(Mercado_Receita!$S$2:$S$505,"44531B2BrancaRuralCooperativa de eletrificação ruralNão se aplicaNão se aplicaFora ponta",Mercado_Receita!$L$2:$L$505)</f>
        <v>0</v>
      </c>
      <c r="M37" s="13">
        <f>SUMIF(Mercado_Receita!$S$2:$S$505,"44562B2BrancaRuralCooperativa de eletrificação ruralNão se aplicaNão se aplicaFora ponta",Mercado_Receita!$L$2:$L$505)</f>
        <v>0</v>
      </c>
      <c r="N37" s="13">
        <f>SUMIF(Mercado_Receita!$S$2:$S$505,"44593B2BrancaRuralCooperativa de eletrificação ruralNão se aplicaNão se aplicaFora ponta",Mercado_Receita!$L$2:$L$505)</f>
        <v>0</v>
      </c>
      <c r="O37" s="13">
        <f>SUMIF(Mercado_Receita!$S$2:$S$505,"44621B2BrancaRuralCooperativa de eletrificação ruralNão se aplicaNão se aplicaFora ponta",Mercado_Receita!$L$2:$L$505)</f>
        <v>0</v>
      </c>
      <c r="P37" s="13">
        <f>SUMIF(Mercado_Receita!$S$2:$S$505,"44652B2BrancaRuralCooperativa de eletrificação ruralNão se aplicaNão se aplicaFora ponta",Mercado_Receita!$L$2:$L$505)</f>
        <v>0</v>
      </c>
      <c r="Q37" s="13">
        <f>SUMIF(Mercado_Receita!$S$2:$S$505,"44682B2BrancaRuralCooperativa de eletrificação ruralNão se aplicaNão se aplicaFora ponta",Mercado_Receita!$L$2:$L$505)</f>
        <v>0</v>
      </c>
      <c r="R37" s="13">
        <f>SUMIF(Mercado_Receita!$S$2:$S$505,"44713B2BrancaRuralCooperativa de eletrificação ruralNão se aplicaNão se aplicaFora ponta",Mercado_Receita!$L$2:$L$505)</f>
        <v>0</v>
      </c>
      <c r="S37" s="13">
        <f>SUMIF(Mercado_Receita!$S$2:$S$505,"44743B2BrancaRuralCooperativa de eletrificação ruralNão se aplicaNão se aplicaFora ponta",Mercado_Receita!$L$2:$L$505)</f>
        <v>0</v>
      </c>
      <c r="T37" s="13">
        <f>SUMIF(Mercado_Receita!$S$2:$S$505,"44774B2BrancaRuralCooperativa de eletrificação ruralNão se aplicaNão se aplicaFora ponta",Mercado_Receita!$L$2:$L$505)</f>
        <v>0</v>
      </c>
      <c r="U37" s="13">
        <f t="shared" si="1"/>
        <v>0</v>
      </c>
      <c r="V37" s="13"/>
      <c r="W37" s="13"/>
    </row>
    <row r="38" spans="1:23" ht="11.25" customHeight="1" x14ac:dyDescent="0.25">
      <c r="A38" s="77"/>
      <c r="B38" s="12" t="s">
        <v>23</v>
      </c>
      <c r="C38" s="12" t="s">
        <v>43</v>
      </c>
      <c r="D38" s="12" t="s">
        <v>90</v>
      </c>
      <c r="E38" s="12" t="s">
        <v>25</v>
      </c>
      <c r="F38" s="12" t="s">
        <v>25</v>
      </c>
      <c r="G38" s="13" t="s">
        <v>80</v>
      </c>
      <c r="H38" s="13" t="s">
        <v>74</v>
      </c>
      <c r="I38" s="13">
        <f>SUMIF(Mercado_Receita!$S$2:$S$505,"44440B2ConvencionalRuralCooperativa de eletrificação ruralNão se aplicaNão se aplicaPonta",Mercado_Receita!$L$2:$L$505)+SUMIF(Mercado_Receita!$S$2:$S$505,"44440B2ConvencionalRuralCooperativa de eletrificação ruralNão se aplicaNão se aplicaFora ponta",Mercado_Receita!$L$2:$L$505)+SUMIF(Mercado_Receita!$S$2:$S$505,"44440B2ConvencionalRuralCooperativa de eletrificação ruralNão se aplicaNão se aplicaIntermediário",Mercado_Receita!$L$2:$L$505)+SUMIF(Mercado_Receita!$S$2:$S$505,"44440B2ConvencionalRuralCooperativa de eletrificação ruralNão se aplicaNão se aplicaNão se aplica",Mercado_Receita!$L$2:$L$505)</f>
        <v>0</v>
      </c>
      <c r="J38" s="13">
        <f>SUMIF(Mercado_Receita!$S$2:$S$505,"44470B2ConvencionalRuralCooperativa de eletrificação ruralNão se aplicaNão se aplicaPonta",Mercado_Receita!$L$2:$L$505)+SUMIF(Mercado_Receita!$S$2:$S$505,"44470B2ConvencionalRuralCooperativa de eletrificação ruralNão se aplicaNão se aplicaFora ponta",Mercado_Receita!$L$2:$L$505)+SUMIF(Mercado_Receita!$S$2:$S$505,"44470B2ConvencionalRuralCooperativa de eletrificação ruralNão se aplicaNão se aplicaIntermediário",Mercado_Receita!$L$2:$L$505)+SUMIF(Mercado_Receita!$S$2:$S$505,"44470B2ConvencionalRuralCooperativa de eletrificação ruralNão se aplicaNão se aplicaNão se aplica",Mercado_Receita!$L$2:$L$505)</f>
        <v>0</v>
      </c>
      <c r="K38" s="13">
        <f>SUMIF(Mercado_Receita!$S$2:$S$505,"44501B2ConvencionalRuralCooperativa de eletrificação ruralNão se aplicaNão se aplicaPonta",Mercado_Receita!$L$2:$L$505)+SUMIF(Mercado_Receita!$S$2:$S$505,"44501B2ConvencionalRuralCooperativa de eletrificação ruralNão se aplicaNão se aplicaFora ponta",Mercado_Receita!$L$2:$L$505)+SUMIF(Mercado_Receita!$S$2:$S$505,"44501B2ConvencionalRuralCooperativa de eletrificação ruralNão se aplicaNão se aplicaIntermediário",Mercado_Receita!$L$2:$L$505)+SUMIF(Mercado_Receita!$S$2:$S$505,"44501B2ConvencionalRuralCooperativa de eletrificação ruralNão se aplicaNão se aplicaNão se aplica",Mercado_Receita!$L$2:$L$505)</f>
        <v>0</v>
      </c>
      <c r="L38" s="13">
        <f>SUMIF(Mercado_Receita!$S$2:$S$505,"44531B2ConvencionalRuralCooperativa de eletrificação ruralNão se aplicaNão se aplicaPonta",Mercado_Receita!$L$2:$L$505)+SUMIF(Mercado_Receita!$S$2:$S$505,"44531B2ConvencionalRuralCooperativa de eletrificação ruralNão se aplicaNão se aplicaFora ponta",Mercado_Receita!$L$2:$L$505)+SUMIF(Mercado_Receita!$S$2:$S$505,"44531B2ConvencionalRuralCooperativa de eletrificação ruralNão se aplicaNão se aplicaIntermediário",Mercado_Receita!$L$2:$L$505)+SUMIF(Mercado_Receita!$S$2:$S$505,"44531B2ConvencionalRuralCooperativa de eletrificação ruralNão se aplicaNão se aplicaNão se aplica",Mercado_Receita!$L$2:$L$505)</f>
        <v>0</v>
      </c>
      <c r="M38" s="13">
        <f>SUMIF(Mercado_Receita!$S$2:$S$505,"44562B2ConvencionalRuralCooperativa de eletrificação ruralNão se aplicaNão se aplicaPonta",Mercado_Receita!$L$2:$L$505)+SUMIF(Mercado_Receita!$S$2:$S$505,"44562B2ConvencionalRuralCooperativa de eletrificação ruralNão se aplicaNão se aplicaFora ponta",Mercado_Receita!$L$2:$L$505)+SUMIF(Mercado_Receita!$S$2:$S$505,"44562B2ConvencionalRuralCooperativa de eletrificação ruralNão se aplicaNão se aplicaIntermediário",Mercado_Receita!$L$2:$L$505)+SUMIF(Mercado_Receita!$S$2:$S$505,"44562B2ConvencionalRuralCooperativa de eletrificação ruralNão se aplicaNão se aplicaNão se aplica",Mercado_Receita!$L$2:$L$505)</f>
        <v>0</v>
      </c>
      <c r="N38" s="13">
        <f>SUMIF(Mercado_Receita!$S$2:$S$505,"44593B2ConvencionalRuralCooperativa de eletrificação ruralNão se aplicaNão se aplicaPonta",Mercado_Receita!$L$2:$L$505)+SUMIF(Mercado_Receita!$S$2:$S$505,"44593B2ConvencionalRuralCooperativa de eletrificação ruralNão se aplicaNão se aplicaFora ponta",Mercado_Receita!$L$2:$L$505)+SUMIF(Mercado_Receita!$S$2:$S$505,"44593B2ConvencionalRuralCooperativa de eletrificação ruralNão se aplicaNão se aplicaIntermediário",Mercado_Receita!$L$2:$L$505)+SUMIF(Mercado_Receita!$S$2:$S$505,"44593B2ConvencionalRuralCooperativa de eletrificação ruralNão se aplicaNão se aplicaNão se aplica",Mercado_Receita!$L$2:$L$505)</f>
        <v>0</v>
      </c>
      <c r="O38" s="13">
        <f>SUMIF(Mercado_Receita!$S$2:$S$505,"44621B2ConvencionalRuralCooperativa de eletrificação ruralNão se aplicaNão se aplicaPonta",Mercado_Receita!$L$2:$L$505)+SUMIF(Mercado_Receita!$S$2:$S$505,"44621B2ConvencionalRuralCooperativa de eletrificação ruralNão se aplicaNão se aplicaFora ponta",Mercado_Receita!$L$2:$L$505)+SUMIF(Mercado_Receita!$S$2:$S$505,"44621B2ConvencionalRuralCooperativa de eletrificação ruralNão se aplicaNão se aplicaIntermediário",Mercado_Receita!$L$2:$L$505)+SUMIF(Mercado_Receita!$S$2:$S$505,"44621B2ConvencionalRuralCooperativa de eletrificação ruralNão se aplicaNão se aplicaNão se aplica",Mercado_Receita!$L$2:$L$505)</f>
        <v>0</v>
      </c>
      <c r="P38" s="13">
        <f>SUMIF(Mercado_Receita!$S$2:$S$505,"44652B2ConvencionalRuralCooperativa de eletrificação ruralNão se aplicaNão se aplicaPonta",Mercado_Receita!$L$2:$L$505)+SUMIF(Mercado_Receita!$S$2:$S$505,"44652B2ConvencionalRuralCooperativa de eletrificação ruralNão se aplicaNão se aplicaFora ponta",Mercado_Receita!$L$2:$L$505)+SUMIF(Mercado_Receita!$S$2:$S$505,"44652B2ConvencionalRuralCooperativa de eletrificação ruralNão se aplicaNão se aplicaIntermediário",Mercado_Receita!$L$2:$L$505)+SUMIF(Mercado_Receita!$S$2:$S$505,"44652B2ConvencionalRuralCooperativa de eletrificação ruralNão se aplicaNão se aplicaNão se aplica",Mercado_Receita!$L$2:$L$505)</f>
        <v>0</v>
      </c>
      <c r="Q38" s="13">
        <f>SUMIF(Mercado_Receita!$S$2:$S$505,"44682B2ConvencionalRuralCooperativa de eletrificação ruralNão se aplicaNão se aplicaPonta",Mercado_Receita!$L$2:$L$505)+SUMIF(Mercado_Receita!$S$2:$S$505,"44682B2ConvencionalRuralCooperativa de eletrificação ruralNão se aplicaNão se aplicaFora ponta",Mercado_Receita!$L$2:$L$505)+SUMIF(Mercado_Receita!$S$2:$S$505,"44682B2ConvencionalRuralCooperativa de eletrificação ruralNão se aplicaNão se aplicaIntermediário",Mercado_Receita!$L$2:$L$505)+SUMIF(Mercado_Receita!$S$2:$S$505,"44682B2ConvencionalRuralCooperativa de eletrificação ruralNão se aplicaNão se aplicaNão se aplica",Mercado_Receita!$L$2:$L$505)</f>
        <v>0</v>
      </c>
      <c r="R38" s="13">
        <f>SUMIF(Mercado_Receita!$S$2:$S$505,"44713B2ConvencionalRuralCooperativa de eletrificação ruralNão se aplicaNão se aplicaPonta",Mercado_Receita!$L$2:$L$505)+SUMIF(Mercado_Receita!$S$2:$S$505,"44713B2ConvencionalRuralCooperativa de eletrificação ruralNão se aplicaNão se aplicaFora ponta",Mercado_Receita!$L$2:$L$505)+SUMIF(Mercado_Receita!$S$2:$S$505,"44713B2ConvencionalRuralCooperativa de eletrificação ruralNão se aplicaNão se aplicaIntermediário",Mercado_Receita!$L$2:$L$505)+SUMIF(Mercado_Receita!$S$2:$S$505,"44713B2ConvencionalRuralCooperativa de eletrificação ruralNão se aplicaNão se aplicaNão se aplica",Mercado_Receita!$L$2:$L$505)</f>
        <v>0</v>
      </c>
      <c r="S38" s="13">
        <f>SUMIF(Mercado_Receita!$S$2:$S$505,"44743B2ConvencionalRuralCooperativa de eletrificação ruralNão se aplicaNão se aplicaPonta",Mercado_Receita!$L$2:$L$505)+SUMIF(Mercado_Receita!$S$2:$S$505,"44743B2ConvencionalRuralCooperativa de eletrificação ruralNão se aplicaNão se aplicaFora ponta",Mercado_Receita!$L$2:$L$505)+SUMIF(Mercado_Receita!$S$2:$S$505,"44743B2ConvencionalRuralCooperativa de eletrificação ruralNão se aplicaNão se aplicaIntermediário",Mercado_Receita!$L$2:$L$505)+SUMIF(Mercado_Receita!$S$2:$S$505,"44743B2ConvencionalRuralCooperativa de eletrificação ruralNão se aplicaNão se aplicaNão se aplica",Mercado_Receita!$L$2:$L$505)</f>
        <v>0</v>
      </c>
      <c r="T38" s="13">
        <f>SUMIF(Mercado_Receita!$S$2:$S$505,"44774B2ConvencionalRuralCooperativa de eletrificação ruralNão se aplicaNão se aplicaPonta",Mercado_Receita!$L$2:$L$505)+SUMIF(Mercado_Receita!$S$2:$S$505,"44774B2ConvencionalRuralCooperativa de eletrificação ruralNão se aplicaNão se aplicaFora ponta",Mercado_Receita!$L$2:$L$505)+SUMIF(Mercado_Receita!$S$2:$S$505,"44774B2ConvencionalRuralCooperativa de eletrificação ruralNão se aplicaNão se aplicaIntermediário",Mercado_Receita!$L$2:$L$505)+SUMIF(Mercado_Receita!$S$2:$S$505,"44774B2ConvencionalRuralCooperativa de eletrificação ruralNão se aplicaNão se aplicaNão se aplica",Mercado_Receita!$L$2:$L$505)</f>
        <v>0</v>
      </c>
      <c r="U38" s="13">
        <f t="shared" si="1"/>
        <v>0</v>
      </c>
      <c r="V38" s="13"/>
      <c r="W38" s="13"/>
    </row>
    <row r="39" spans="1:23" ht="11.25" customHeight="1" x14ac:dyDescent="0.25">
      <c r="A39" s="77"/>
      <c r="B39" s="76" t="s">
        <v>55</v>
      </c>
      <c r="C39" s="76" t="s">
        <v>43</v>
      </c>
      <c r="D39" s="76" t="s">
        <v>91</v>
      </c>
      <c r="E39" s="76" t="s">
        <v>25</v>
      </c>
      <c r="F39" s="76" t="s">
        <v>25</v>
      </c>
      <c r="G39" s="13" t="s">
        <v>75</v>
      </c>
      <c r="H39" s="13" t="s">
        <v>74</v>
      </c>
      <c r="I39" s="13">
        <f>SUMIF(Mercado_Receita!$S$2:$S$505,"44440B2BrancaRuralServiço público de irrigação ruralNão se aplicaNão se aplicaPonta",Mercado_Receita!$L$2:$L$505)</f>
        <v>0</v>
      </c>
      <c r="J39" s="13">
        <f>SUMIF(Mercado_Receita!$S$2:$S$505,"44470B2BrancaRuralServiço público de irrigação ruralNão se aplicaNão se aplicaPonta",Mercado_Receita!$L$2:$L$505)</f>
        <v>0</v>
      </c>
      <c r="K39" s="13">
        <f>SUMIF(Mercado_Receita!$S$2:$S$505,"44501B2BrancaRuralServiço público de irrigação ruralNão se aplicaNão se aplicaPonta",Mercado_Receita!$L$2:$L$505)</f>
        <v>0</v>
      </c>
      <c r="L39" s="13">
        <f>SUMIF(Mercado_Receita!$S$2:$S$505,"44531B2BrancaRuralServiço público de irrigação ruralNão se aplicaNão se aplicaPonta",Mercado_Receita!$L$2:$L$505)</f>
        <v>0</v>
      </c>
      <c r="M39" s="13">
        <f>SUMIF(Mercado_Receita!$S$2:$S$505,"44562B2BrancaRuralServiço público de irrigação ruralNão se aplicaNão se aplicaPonta",Mercado_Receita!$L$2:$L$505)</f>
        <v>0</v>
      </c>
      <c r="N39" s="13">
        <f>SUMIF(Mercado_Receita!$S$2:$S$505,"44593B2BrancaRuralServiço público de irrigação ruralNão se aplicaNão se aplicaPonta",Mercado_Receita!$L$2:$L$505)</f>
        <v>0</v>
      </c>
      <c r="O39" s="13">
        <f>SUMIF(Mercado_Receita!$S$2:$S$505,"44621B2BrancaRuralServiço público de irrigação ruralNão se aplicaNão se aplicaPonta",Mercado_Receita!$L$2:$L$505)</f>
        <v>0</v>
      </c>
      <c r="P39" s="13">
        <f>SUMIF(Mercado_Receita!$S$2:$S$505,"44652B2BrancaRuralServiço público de irrigação ruralNão se aplicaNão se aplicaPonta",Mercado_Receita!$L$2:$L$505)</f>
        <v>0</v>
      </c>
      <c r="Q39" s="13">
        <f>SUMIF(Mercado_Receita!$S$2:$S$505,"44682B2BrancaRuralServiço público de irrigação ruralNão se aplicaNão se aplicaPonta",Mercado_Receita!$L$2:$L$505)</f>
        <v>0</v>
      </c>
      <c r="R39" s="13">
        <f>SUMIF(Mercado_Receita!$S$2:$S$505,"44713B2BrancaRuralServiço público de irrigação ruralNão se aplicaNão se aplicaPonta",Mercado_Receita!$L$2:$L$505)</f>
        <v>0</v>
      </c>
      <c r="S39" s="13">
        <f>SUMIF(Mercado_Receita!$S$2:$S$505,"44743B2BrancaRuralServiço público de irrigação ruralNão se aplicaNão se aplicaPonta",Mercado_Receita!$L$2:$L$505)</f>
        <v>0</v>
      </c>
      <c r="T39" s="13">
        <f>SUMIF(Mercado_Receita!$S$2:$S$505,"44774B2BrancaRuralServiço público de irrigação ruralNão se aplicaNão se aplicaPonta",Mercado_Receita!$L$2:$L$505)</f>
        <v>0</v>
      </c>
      <c r="U39" s="13">
        <f t="shared" si="1"/>
        <v>0</v>
      </c>
      <c r="V39" s="13"/>
      <c r="W39" s="13"/>
    </row>
    <row r="40" spans="1:23" ht="11.25" customHeight="1" x14ac:dyDescent="0.25">
      <c r="A40" s="77"/>
      <c r="B40" s="77"/>
      <c r="C40" s="77"/>
      <c r="D40" s="77"/>
      <c r="E40" s="77"/>
      <c r="F40" s="77"/>
      <c r="G40" s="13" t="s">
        <v>86</v>
      </c>
      <c r="H40" s="13" t="s">
        <v>74</v>
      </c>
      <c r="I40" s="13">
        <f>SUMIF(Mercado_Receita!$S$2:$S$505,"44440B2BrancaRuralServiço público de irrigação ruralNão se aplicaNão se aplicaIntermediário",Mercado_Receita!$L$2:$L$505)</f>
        <v>0</v>
      </c>
      <c r="J40" s="13">
        <f>SUMIF(Mercado_Receita!$S$2:$S$505,"44470B2BrancaRuralServiço público de irrigação ruralNão se aplicaNão se aplicaIntermediário",Mercado_Receita!$L$2:$L$505)</f>
        <v>0</v>
      </c>
      <c r="K40" s="13">
        <f>SUMIF(Mercado_Receita!$S$2:$S$505,"44501B2BrancaRuralServiço público de irrigação ruralNão se aplicaNão se aplicaIntermediário",Mercado_Receita!$L$2:$L$505)</f>
        <v>0</v>
      </c>
      <c r="L40" s="13">
        <f>SUMIF(Mercado_Receita!$S$2:$S$505,"44531B2BrancaRuralServiço público de irrigação ruralNão se aplicaNão se aplicaIntermediário",Mercado_Receita!$L$2:$L$505)</f>
        <v>0</v>
      </c>
      <c r="M40" s="13">
        <f>SUMIF(Mercado_Receita!$S$2:$S$505,"44562B2BrancaRuralServiço público de irrigação ruralNão se aplicaNão se aplicaIntermediário",Mercado_Receita!$L$2:$L$505)</f>
        <v>0</v>
      </c>
      <c r="N40" s="13">
        <f>SUMIF(Mercado_Receita!$S$2:$S$505,"44593B2BrancaRuralServiço público de irrigação ruralNão se aplicaNão se aplicaIntermediário",Mercado_Receita!$L$2:$L$505)</f>
        <v>0</v>
      </c>
      <c r="O40" s="13">
        <f>SUMIF(Mercado_Receita!$S$2:$S$505,"44621B2BrancaRuralServiço público de irrigação ruralNão se aplicaNão se aplicaIntermediário",Mercado_Receita!$L$2:$L$505)</f>
        <v>0</v>
      </c>
      <c r="P40" s="13">
        <f>SUMIF(Mercado_Receita!$S$2:$S$505,"44652B2BrancaRuralServiço público de irrigação ruralNão se aplicaNão se aplicaIntermediário",Mercado_Receita!$L$2:$L$505)</f>
        <v>0</v>
      </c>
      <c r="Q40" s="13">
        <f>SUMIF(Mercado_Receita!$S$2:$S$505,"44682B2BrancaRuralServiço público de irrigação ruralNão se aplicaNão se aplicaIntermediário",Mercado_Receita!$L$2:$L$505)</f>
        <v>0</v>
      </c>
      <c r="R40" s="13">
        <f>SUMIF(Mercado_Receita!$S$2:$S$505,"44713B2BrancaRuralServiço público de irrigação ruralNão se aplicaNão se aplicaIntermediário",Mercado_Receita!$L$2:$L$505)</f>
        <v>0</v>
      </c>
      <c r="S40" s="13">
        <f>SUMIF(Mercado_Receita!$S$2:$S$505,"44743B2BrancaRuralServiço público de irrigação ruralNão se aplicaNão se aplicaIntermediário",Mercado_Receita!$L$2:$L$505)</f>
        <v>0</v>
      </c>
      <c r="T40" s="13">
        <f>SUMIF(Mercado_Receita!$S$2:$S$505,"44774B2BrancaRuralServiço público de irrigação ruralNão se aplicaNão se aplicaIntermediário",Mercado_Receita!$L$2:$L$505)</f>
        <v>0</v>
      </c>
      <c r="U40" s="13">
        <f t="shared" si="1"/>
        <v>0</v>
      </c>
      <c r="V40" s="13"/>
      <c r="W40" s="13"/>
    </row>
    <row r="41" spans="1:23" ht="11.25" customHeight="1" x14ac:dyDescent="0.25">
      <c r="A41" s="77"/>
      <c r="B41" s="77"/>
      <c r="C41" s="77"/>
      <c r="D41" s="77"/>
      <c r="E41" s="77"/>
      <c r="F41" s="77"/>
      <c r="G41" s="13" t="s">
        <v>76</v>
      </c>
      <c r="H41" s="13" t="s">
        <v>74</v>
      </c>
      <c r="I41" s="13">
        <f>SUMIF(Mercado_Receita!$S$2:$S$505,"44440B2BrancaRuralServiço público de irrigação ruralNão se aplicaNão se aplicaFora ponta",Mercado_Receita!$L$2:$L$505)</f>
        <v>0</v>
      </c>
      <c r="J41" s="13">
        <f>SUMIF(Mercado_Receita!$S$2:$S$505,"44470B2BrancaRuralServiço público de irrigação ruralNão se aplicaNão se aplicaFora ponta",Mercado_Receita!$L$2:$L$505)</f>
        <v>0</v>
      </c>
      <c r="K41" s="13">
        <f>SUMIF(Mercado_Receita!$S$2:$S$505,"44501B2BrancaRuralServiço público de irrigação ruralNão se aplicaNão se aplicaFora ponta",Mercado_Receita!$L$2:$L$505)</f>
        <v>0</v>
      </c>
      <c r="L41" s="13">
        <f>SUMIF(Mercado_Receita!$S$2:$S$505,"44531B2BrancaRuralServiço público de irrigação ruralNão se aplicaNão se aplicaFora ponta",Mercado_Receita!$L$2:$L$505)</f>
        <v>0</v>
      </c>
      <c r="M41" s="13">
        <f>SUMIF(Mercado_Receita!$S$2:$S$505,"44562B2BrancaRuralServiço público de irrigação ruralNão se aplicaNão se aplicaFora ponta",Mercado_Receita!$L$2:$L$505)</f>
        <v>0</v>
      </c>
      <c r="N41" s="13">
        <f>SUMIF(Mercado_Receita!$S$2:$S$505,"44593B2BrancaRuralServiço público de irrigação ruralNão se aplicaNão se aplicaFora ponta",Mercado_Receita!$L$2:$L$505)</f>
        <v>0</v>
      </c>
      <c r="O41" s="13">
        <f>SUMIF(Mercado_Receita!$S$2:$S$505,"44621B2BrancaRuralServiço público de irrigação ruralNão se aplicaNão se aplicaFora ponta",Mercado_Receita!$L$2:$L$505)</f>
        <v>0</v>
      </c>
      <c r="P41" s="13">
        <f>SUMIF(Mercado_Receita!$S$2:$S$505,"44652B2BrancaRuralServiço público de irrigação ruralNão se aplicaNão se aplicaFora ponta",Mercado_Receita!$L$2:$L$505)</f>
        <v>0</v>
      </c>
      <c r="Q41" s="13">
        <f>SUMIF(Mercado_Receita!$S$2:$S$505,"44682B2BrancaRuralServiço público de irrigação ruralNão se aplicaNão se aplicaFora ponta",Mercado_Receita!$L$2:$L$505)</f>
        <v>0</v>
      </c>
      <c r="R41" s="13">
        <f>SUMIF(Mercado_Receita!$S$2:$S$505,"44713B2BrancaRuralServiço público de irrigação ruralNão se aplicaNão se aplicaFora ponta",Mercado_Receita!$L$2:$L$505)</f>
        <v>0</v>
      </c>
      <c r="S41" s="13">
        <f>SUMIF(Mercado_Receita!$S$2:$S$505,"44743B2BrancaRuralServiço público de irrigação ruralNão se aplicaNão se aplicaFora ponta",Mercado_Receita!$L$2:$L$505)</f>
        <v>0</v>
      </c>
      <c r="T41" s="13">
        <f>SUMIF(Mercado_Receita!$S$2:$S$505,"44774B2BrancaRuralServiço público de irrigação ruralNão se aplicaNão se aplicaFora ponta",Mercado_Receita!$L$2:$L$505)</f>
        <v>0</v>
      </c>
      <c r="U41" s="13">
        <f t="shared" si="1"/>
        <v>0</v>
      </c>
      <c r="V41" s="13"/>
      <c r="W41" s="13"/>
    </row>
    <row r="42" spans="1:23" ht="11.25" customHeight="1" x14ac:dyDescent="0.25">
      <c r="A42" s="77"/>
      <c r="B42" s="12" t="s">
        <v>23</v>
      </c>
      <c r="C42" s="12" t="s">
        <v>43</v>
      </c>
      <c r="D42" s="12" t="s">
        <v>91</v>
      </c>
      <c r="E42" s="12" t="s">
        <v>25</v>
      </c>
      <c r="F42" s="12" t="s">
        <v>25</v>
      </c>
      <c r="G42" s="13" t="s">
        <v>80</v>
      </c>
      <c r="H42" s="13" t="s">
        <v>74</v>
      </c>
      <c r="I42" s="13">
        <f>SUMIF(Mercado_Receita!$S$2:$S$505,"44440B2ConvencionalRuralServiço público de irrigação ruralNão se aplicaNão se aplicaPonta",Mercado_Receita!$L$2:$L$505)+SUMIF(Mercado_Receita!$S$2:$S$505,"44440B2ConvencionalRuralServiço público de irrigação ruralNão se aplicaNão se aplicaFora ponta",Mercado_Receita!$L$2:$L$505)+SUMIF(Mercado_Receita!$S$2:$S$505,"44440B2ConvencionalRuralServiço público de irrigação ruralNão se aplicaNão se aplicaIntermediário",Mercado_Receita!$L$2:$L$505)+SUMIF(Mercado_Receita!$S$2:$S$505,"44440B2ConvencionalRuralServiço público de irrigação ruralNão se aplicaNão se aplicaNão se aplica",Mercado_Receita!$L$2:$L$505)</f>
        <v>0</v>
      </c>
      <c r="J42" s="13">
        <f>SUMIF(Mercado_Receita!$S$2:$S$505,"44470B2ConvencionalRuralServiço público de irrigação ruralNão se aplicaNão se aplicaPonta",Mercado_Receita!$L$2:$L$505)+SUMIF(Mercado_Receita!$S$2:$S$505,"44470B2ConvencionalRuralServiço público de irrigação ruralNão se aplicaNão se aplicaFora ponta",Mercado_Receita!$L$2:$L$505)+SUMIF(Mercado_Receita!$S$2:$S$505,"44470B2ConvencionalRuralServiço público de irrigação ruralNão se aplicaNão se aplicaIntermediário",Mercado_Receita!$L$2:$L$505)+SUMIF(Mercado_Receita!$S$2:$S$505,"44470B2ConvencionalRuralServiço público de irrigação ruralNão se aplicaNão se aplicaNão se aplica",Mercado_Receita!$L$2:$L$505)</f>
        <v>0</v>
      </c>
      <c r="K42" s="13">
        <f>SUMIF(Mercado_Receita!$S$2:$S$505,"44501B2ConvencionalRuralServiço público de irrigação ruralNão se aplicaNão se aplicaPonta",Mercado_Receita!$L$2:$L$505)+SUMIF(Mercado_Receita!$S$2:$S$505,"44501B2ConvencionalRuralServiço público de irrigação ruralNão se aplicaNão se aplicaFora ponta",Mercado_Receita!$L$2:$L$505)+SUMIF(Mercado_Receita!$S$2:$S$505,"44501B2ConvencionalRuralServiço público de irrigação ruralNão se aplicaNão se aplicaIntermediário",Mercado_Receita!$L$2:$L$505)+SUMIF(Mercado_Receita!$S$2:$S$505,"44501B2ConvencionalRuralServiço público de irrigação ruralNão se aplicaNão se aplicaNão se aplica",Mercado_Receita!$L$2:$L$505)</f>
        <v>0</v>
      </c>
      <c r="L42" s="13">
        <f>SUMIF(Mercado_Receita!$S$2:$S$505,"44531B2ConvencionalRuralServiço público de irrigação ruralNão se aplicaNão se aplicaPonta",Mercado_Receita!$L$2:$L$505)+SUMIF(Mercado_Receita!$S$2:$S$505,"44531B2ConvencionalRuralServiço público de irrigação ruralNão se aplicaNão se aplicaFora ponta",Mercado_Receita!$L$2:$L$505)+SUMIF(Mercado_Receita!$S$2:$S$505,"44531B2ConvencionalRuralServiço público de irrigação ruralNão se aplicaNão se aplicaIntermediário",Mercado_Receita!$L$2:$L$505)+SUMIF(Mercado_Receita!$S$2:$S$505,"44531B2ConvencionalRuralServiço público de irrigação ruralNão se aplicaNão se aplicaNão se aplica",Mercado_Receita!$L$2:$L$505)</f>
        <v>0</v>
      </c>
      <c r="M42" s="13">
        <f>SUMIF(Mercado_Receita!$S$2:$S$505,"44562B2ConvencionalRuralServiço público de irrigação ruralNão se aplicaNão se aplicaPonta",Mercado_Receita!$L$2:$L$505)+SUMIF(Mercado_Receita!$S$2:$S$505,"44562B2ConvencionalRuralServiço público de irrigação ruralNão se aplicaNão se aplicaFora ponta",Mercado_Receita!$L$2:$L$505)+SUMIF(Mercado_Receita!$S$2:$S$505,"44562B2ConvencionalRuralServiço público de irrigação ruralNão se aplicaNão se aplicaIntermediário",Mercado_Receita!$L$2:$L$505)+SUMIF(Mercado_Receita!$S$2:$S$505,"44562B2ConvencionalRuralServiço público de irrigação ruralNão se aplicaNão se aplicaNão se aplica",Mercado_Receita!$L$2:$L$505)</f>
        <v>0</v>
      </c>
      <c r="N42" s="13">
        <f>SUMIF(Mercado_Receita!$S$2:$S$505,"44593B2ConvencionalRuralServiço público de irrigação ruralNão se aplicaNão se aplicaPonta",Mercado_Receita!$L$2:$L$505)+SUMIF(Mercado_Receita!$S$2:$S$505,"44593B2ConvencionalRuralServiço público de irrigação ruralNão se aplicaNão se aplicaFora ponta",Mercado_Receita!$L$2:$L$505)+SUMIF(Mercado_Receita!$S$2:$S$505,"44593B2ConvencionalRuralServiço público de irrigação ruralNão se aplicaNão se aplicaIntermediário",Mercado_Receita!$L$2:$L$505)+SUMIF(Mercado_Receita!$S$2:$S$505,"44593B2ConvencionalRuralServiço público de irrigação ruralNão se aplicaNão se aplicaNão se aplica",Mercado_Receita!$L$2:$L$505)</f>
        <v>0</v>
      </c>
      <c r="O42" s="13">
        <f>SUMIF(Mercado_Receita!$S$2:$S$505,"44621B2ConvencionalRuralServiço público de irrigação ruralNão se aplicaNão se aplicaPonta",Mercado_Receita!$L$2:$L$505)+SUMIF(Mercado_Receita!$S$2:$S$505,"44621B2ConvencionalRuralServiço público de irrigação ruralNão se aplicaNão se aplicaFora ponta",Mercado_Receita!$L$2:$L$505)+SUMIF(Mercado_Receita!$S$2:$S$505,"44621B2ConvencionalRuralServiço público de irrigação ruralNão se aplicaNão se aplicaIntermediário",Mercado_Receita!$L$2:$L$505)+SUMIF(Mercado_Receita!$S$2:$S$505,"44621B2ConvencionalRuralServiço público de irrigação ruralNão se aplicaNão se aplicaNão se aplica",Mercado_Receita!$L$2:$L$505)</f>
        <v>0</v>
      </c>
      <c r="P42" s="13">
        <f>SUMIF(Mercado_Receita!$S$2:$S$505,"44652B2ConvencionalRuralServiço público de irrigação ruralNão se aplicaNão se aplicaPonta",Mercado_Receita!$L$2:$L$505)+SUMIF(Mercado_Receita!$S$2:$S$505,"44652B2ConvencionalRuralServiço público de irrigação ruralNão se aplicaNão se aplicaFora ponta",Mercado_Receita!$L$2:$L$505)+SUMIF(Mercado_Receita!$S$2:$S$505,"44652B2ConvencionalRuralServiço público de irrigação ruralNão se aplicaNão se aplicaIntermediário",Mercado_Receita!$L$2:$L$505)+SUMIF(Mercado_Receita!$S$2:$S$505,"44652B2ConvencionalRuralServiço público de irrigação ruralNão se aplicaNão se aplicaNão se aplica",Mercado_Receita!$L$2:$L$505)</f>
        <v>0</v>
      </c>
      <c r="Q42" s="13">
        <f>SUMIF(Mercado_Receita!$S$2:$S$505,"44682B2ConvencionalRuralServiço público de irrigação ruralNão se aplicaNão se aplicaPonta",Mercado_Receita!$L$2:$L$505)+SUMIF(Mercado_Receita!$S$2:$S$505,"44682B2ConvencionalRuralServiço público de irrigação ruralNão se aplicaNão se aplicaFora ponta",Mercado_Receita!$L$2:$L$505)+SUMIF(Mercado_Receita!$S$2:$S$505,"44682B2ConvencionalRuralServiço público de irrigação ruralNão se aplicaNão se aplicaIntermediário",Mercado_Receita!$L$2:$L$505)+SUMIF(Mercado_Receita!$S$2:$S$505,"44682B2ConvencionalRuralServiço público de irrigação ruralNão se aplicaNão se aplicaNão se aplica",Mercado_Receita!$L$2:$L$505)</f>
        <v>0</v>
      </c>
      <c r="R42" s="13">
        <f>SUMIF(Mercado_Receita!$S$2:$S$505,"44713B2ConvencionalRuralServiço público de irrigação ruralNão se aplicaNão se aplicaPonta",Mercado_Receita!$L$2:$L$505)+SUMIF(Mercado_Receita!$S$2:$S$505,"44713B2ConvencionalRuralServiço público de irrigação ruralNão se aplicaNão se aplicaFora ponta",Mercado_Receita!$L$2:$L$505)+SUMIF(Mercado_Receita!$S$2:$S$505,"44713B2ConvencionalRuralServiço público de irrigação ruralNão se aplicaNão se aplicaIntermediário",Mercado_Receita!$L$2:$L$505)+SUMIF(Mercado_Receita!$S$2:$S$505,"44713B2ConvencionalRuralServiço público de irrigação ruralNão se aplicaNão se aplicaNão se aplica",Mercado_Receita!$L$2:$L$505)</f>
        <v>0</v>
      </c>
      <c r="S42" s="13">
        <f>SUMIF(Mercado_Receita!$S$2:$S$505,"44743B2ConvencionalRuralServiço público de irrigação ruralNão se aplicaNão se aplicaPonta",Mercado_Receita!$L$2:$L$505)+SUMIF(Mercado_Receita!$S$2:$S$505,"44743B2ConvencionalRuralServiço público de irrigação ruralNão se aplicaNão se aplicaFora ponta",Mercado_Receita!$L$2:$L$505)+SUMIF(Mercado_Receita!$S$2:$S$505,"44743B2ConvencionalRuralServiço público de irrigação ruralNão se aplicaNão se aplicaIntermediário",Mercado_Receita!$L$2:$L$505)+SUMIF(Mercado_Receita!$S$2:$S$505,"44743B2ConvencionalRuralServiço público de irrigação ruralNão se aplicaNão se aplicaNão se aplica",Mercado_Receita!$L$2:$L$505)</f>
        <v>0</v>
      </c>
      <c r="T42" s="13">
        <f>SUMIF(Mercado_Receita!$S$2:$S$505,"44774B2ConvencionalRuralServiço público de irrigação ruralNão se aplicaNão se aplicaPonta",Mercado_Receita!$L$2:$L$505)+SUMIF(Mercado_Receita!$S$2:$S$505,"44774B2ConvencionalRuralServiço público de irrigação ruralNão se aplicaNão se aplicaFora ponta",Mercado_Receita!$L$2:$L$505)+SUMIF(Mercado_Receita!$S$2:$S$505,"44774B2ConvencionalRuralServiço público de irrigação ruralNão se aplicaNão se aplicaIntermediário",Mercado_Receita!$L$2:$L$505)+SUMIF(Mercado_Receita!$S$2:$S$505,"44774B2ConvencionalRuralServiço público de irrigação ruralNão se aplicaNão se aplicaNão se aplica",Mercado_Receita!$L$2:$L$505)</f>
        <v>0</v>
      </c>
      <c r="U42" s="13">
        <f t="shared" si="1"/>
        <v>0</v>
      </c>
      <c r="V42" s="13"/>
      <c r="W42" s="13"/>
    </row>
    <row r="43" spans="1:23" ht="11.25" customHeight="1" x14ac:dyDescent="0.25">
      <c r="A43" s="77"/>
      <c r="B43" s="76" t="s">
        <v>89</v>
      </c>
      <c r="C43" s="76" t="s">
        <v>43</v>
      </c>
      <c r="D43" s="12" t="s">
        <v>25</v>
      </c>
      <c r="E43" s="12" t="s">
        <v>25</v>
      </c>
      <c r="F43" s="12" t="s">
        <v>25</v>
      </c>
      <c r="G43" s="13" t="s">
        <v>80</v>
      </c>
      <c r="H43" s="13" t="s">
        <v>74</v>
      </c>
      <c r="I43" s="13">
        <f>SUMIF(Mercado_Receita!$S$2:$S$505,"44440B2Convencional pré-pagamentoRuralNão se aplicaNão se aplicaNão se aplicaPonta",Mercado_Receita!$L$2:$L$505)+SUMIF(Mercado_Receita!$S$2:$S$505,"44440B2Convencional pré-pagamentoRuralNão se aplicaNão se aplicaNão se aplicaFora ponta",Mercado_Receita!$L$2:$L$505)+SUMIF(Mercado_Receita!$S$2:$S$505,"44440B2Convencional pré-pagamentoRuralNão se aplicaNão se aplicaNão se aplicaIntermediário",Mercado_Receita!$L$2:$L$505)+SUMIF(Mercado_Receita!$S$2:$S$505,"44440B2Convencional pré-pagamentoRuralNão se aplicaNão se aplicaNão se aplicaNão se aplica",Mercado_Receita!$L$2:$L$505)</f>
        <v>0</v>
      </c>
      <c r="J43" s="13">
        <f>SUMIF(Mercado_Receita!$S$2:$S$505,"44470B2Convencional pré-pagamentoRuralNão se aplicaNão se aplicaNão se aplicaPonta",Mercado_Receita!$L$2:$L$505)+SUMIF(Mercado_Receita!$S$2:$S$505,"44470B2Convencional pré-pagamentoRuralNão se aplicaNão se aplicaNão se aplicaFora ponta",Mercado_Receita!$L$2:$L$505)+SUMIF(Mercado_Receita!$S$2:$S$505,"44470B2Convencional pré-pagamentoRuralNão se aplicaNão se aplicaNão se aplicaIntermediário",Mercado_Receita!$L$2:$L$505)+SUMIF(Mercado_Receita!$S$2:$S$505,"44470B2Convencional pré-pagamentoRuralNão se aplicaNão se aplicaNão se aplicaNão se aplica",Mercado_Receita!$L$2:$L$505)</f>
        <v>0</v>
      </c>
      <c r="K43" s="13">
        <f>SUMIF(Mercado_Receita!$S$2:$S$505,"44501B2Convencional pré-pagamentoRuralNão se aplicaNão se aplicaNão se aplicaPonta",Mercado_Receita!$L$2:$L$505)+SUMIF(Mercado_Receita!$S$2:$S$505,"44501B2Convencional pré-pagamentoRuralNão se aplicaNão se aplicaNão se aplicaFora ponta",Mercado_Receita!$L$2:$L$505)+SUMIF(Mercado_Receita!$S$2:$S$505,"44501B2Convencional pré-pagamentoRuralNão se aplicaNão se aplicaNão se aplicaIntermediário",Mercado_Receita!$L$2:$L$505)+SUMIF(Mercado_Receita!$S$2:$S$505,"44501B2Convencional pré-pagamentoRuralNão se aplicaNão se aplicaNão se aplicaNão se aplica",Mercado_Receita!$L$2:$L$505)</f>
        <v>0</v>
      </c>
      <c r="L43" s="13">
        <f>SUMIF(Mercado_Receita!$S$2:$S$505,"44531B2Convencional pré-pagamentoRuralNão se aplicaNão se aplicaNão se aplicaPonta",Mercado_Receita!$L$2:$L$505)+SUMIF(Mercado_Receita!$S$2:$S$505,"44531B2Convencional pré-pagamentoRuralNão se aplicaNão se aplicaNão se aplicaFora ponta",Mercado_Receita!$L$2:$L$505)+SUMIF(Mercado_Receita!$S$2:$S$505,"44531B2Convencional pré-pagamentoRuralNão se aplicaNão se aplicaNão se aplicaIntermediário",Mercado_Receita!$L$2:$L$505)+SUMIF(Mercado_Receita!$S$2:$S$505,"44531B2Convencional pré-pagamentoRuralNão se aplicaNão se aplicaNão se aplicaNão se aplica",Mercado_Receita!$L$2:$L$505)</f>
        <v>0</v>
      </c>
      <c r="M43" s="13">
        <f>SUMIF(Mercado_Receita!$S$2:$S$505,"44562B2Convencional pré-pagamentoRuralNão se aplicaNão se aplicaNão se aplicaPonta",Mercado_Receita!$L$2:$L$505)+SUMIF(Mercado_Receita!$S$2:$S$505,"44562B2Convencional pré-pagamentoRuralNão se aplicaNão se aplicaNão se aplicaFora ponta",Mercado_Receita!$L$2:$L$505)+SUMIF(Mercado_Receita!$S$2:$S$505,"44562B2Convencional pré-pagamentoRuralNão se aplicaNão se aplicaNão se aplicaIntermediário",Mercado_Receita!$L$2:$L$505)+SUMIF(Mercado_Receita!$S$2:$S$505,"44562B2Convencional pré-pagamentoRuralNão se aplicaNão se aplicaNão se aplicaNão se aplica",Mercado_Receita!$L$2:$L$505)</f>
        <v>0</v>
      </c>
      <c r="N43" s="13">
        <f>SUMIF(Mercado_Receita!$S$2:$S$505,"44593B2Convencional pré-pagamentoRuralNão se aplicaNão se aplicaNão se aplicaPonta",Mercado_Receita!$L$2:$L$505)+SUMIF(Mercado_Receita!$S$2:$S$505,"44593B2Convencional pré-pagamentoRuralNão se aplicaNão se aplicaNão se aplicaFora ponta",Mercado_Receita!$L$2:$L$505)+SUMIF(Mercado_Receita!$S$2:$S$505,"44593B2Convencional pré-pagamentoRuralNão se aplicaNão se aplicaNão se aplicaIntermediário",Mercado_Receita!$L$2:$L$505)+SUMIF(Mercado_Receita!$S$2:$S$505,"44593B2Convencional pré-pagamentoRuralNão se aplicaNão se aplicaNão se aplicaNão se aplica",Mercado_Receita!$L$2:$L$505)</f>
        <v>0</v>
      </c>
      <c r="O43" s="13">
        <f>SUMIF(Mercado_Receita!$S$2:$S$505,"44621B2Convencional pré-pagamentoRuralNão se aplicaNão se aplicaNão se aplicaPonta",Mercado_Receita!$L$2:$L$505)+SUMIF(Mercado_Receita!$S$2:$S$505,"44621B2Convencional pré-pagamentoRuralNão se aplicaNão se aplicaNão se aplicaFora ponta",Mercado_Receita!$L$2:$L$505)+SUMIF(Mercado_Receita!$S$2:$S$505,"44621B2Convencional pré-pagamentoRuralNão se aplicaNão se aplicaNão se aplicaIntermediário",Mercado_Receita!$L$2:$L$505)+SUMIF(Mercado_Receita!$S$2:$S$505,"44621B2Convencional pré-pagamentoRuralNão se aplicaNão se aplicaNão se aplicaNão se aplica",Mercado_Receita!$L$2:$L$505)</f>
        <v>0</v>
      </c>
      <c r="P43" s="13">
        <f>SUMIF(Mercado_Receita!$S$2:$S$505,"44652B2Convencional pré-pagamentoRuralNão se aplicaNão se aplicaNão se aplicaPonta",Mercado_Receita!$L$2:$L$505)+SUMIF(Mercado_Receita!$S$2:$S$505,"44652B2Convencional pré-pagamentoRuralNão se aplicaNão se aplicaNão se aplicaFora ponta",Mercado_Receita!$L$2:$L$505)+SUMIF(Mercado_Receita!$S$2:$S$505,"44652B2Convencional pré-pagamentoRuralNão se aplicaNão se aplicaNão se aplicaIntermediário",Mercado_Receita!$L$2:$L$505)+SUMIF(Mercado_Receita!$S$2:$S$505,"44652B2Convencional pré-pagamentoRuralNão se aplicaNão se aplicaNão se aplicaNão se aplica",Mercado_Receita!$L$2:$L$505)</f>
        <v>0</v>
      </c>
      <c r="Q43" s="13">
        <f>SUMIF(Mercado_Receita!$S$2:$S$505,"44682B2Convencional pré-pagamentoRuralNão se aplicaNão se aplicaNão se aplicaPonta",Mercado_Receita!$L$2:$L$505)+SUMIF(Mercado_Receita!$S$2:$S$505,"44682B2Convencional pré-pagamentoRuralNão se aplicaNão se aplicaNão se aplicaFora ponta",Mercado_Receita!$L$2:$L$505)+SUMIF(Mercado_Receita!$S$2:$S$505,"44682B2Convencional pré-pagamentoRuralNão se aplicaNão se aplicaNão se aplicaIntermediário",Mercado_Receita!$L$2:$L$505)+SUMIF(Mercado_Receita!$S$2:$S$505,"44682B2Convencional pré-pagamentoRuralNão se aplicaNão se aplicaNão se aplicaNão se aplica",Mercado_Receita!$L$2:$L$505)</f>
        <v>0</v>
      </c>
      <c r="R43" s="13">
        <f>SUMIF(Mercado_Receita!$S$2:$S$505,"44713B2Convencional pré-pagamentoRuralNão se aplicaNão se aplicaNão se aplicaPonta",Mercado_Receita!$L$2:$L$505)+SUMIF(Mercado_Receita!$S$2:$S$505,"44713B2Convencional pré-pagamentoRuralNão se aplicaNão se aplicaNão se aplicaFora ponta",Mercado_Receita!$L$2:$L$505)+SUMIF(Mercado_Receita!$S$2:$S$505,"44713B2Convencional pré-pagamentoRuralNão se aplicaNão se aplicaNão se aplicaIntermediário",Mercado_Receita!$L$2:$L$505)+SUMIF(Mercado_Receita!$S$2:$S$505,"44713B2Convencional pré-pagamentoRuralNão se aplicaNão se aplicaNão se aplicaNão se aplica",Mercado_Receita!$L$2:$L$505)</f>
        <v>0</v>
      </c>
      <c r="S43" s="13">
        <f>SUMIF(Mercado_Receita!$S$2:$S$505,"44743B2Convencional pré-pagamentoRuralNão se aplicaNão se aplicaNão se aplicaPonta",Mercado_Receita!$L$2:$L$505)+SUMIF(Mercado_Receita!$S$2:$S$505,"44743B2Convencional pré-pagamentoRuralNão se aplicaNão se aplicaNão se aplicaFora ponta",Mercado_Receita!$L$2:$L$505)+SUMIF(Mercado_Receita!$S$2:$S$505,"44743B2Convencional pré-pagamentoRuralNão se aplicaNão se aplicaNão se aplicaIntermediário",Mercado_Receita!$L$2:$L$505)+SUMIF(Mercado_Receita!$S$2:$S$505,"44743B2Convencional pré-pagamentoRuralNão se aplicaNão se aplicaNão se aplicaNão se aplica",Mercado_Receita!$L$2:$L$505)</f>
        <v>0</v>
      </c>
      <c r="T43" s="13">
        <f>SUMIF(Mercado_Receita!$S$2:$S$505,"44774B2Convencional pré-pagamentoRuralNão se aplicaNão se aplicaNão se aplicaPonta",Mercado_Receita!$L$2:$L$505)+SUMIF(Mercado_Receita!$S$2:$S$505,"44774B2Convencional pré-pagamentoRuralNão se aplicaNão se aplicaNão se aplicaFora ponta",Mercado_Receita!$L$2:$L$505)+SUMIF(Mercado_Receita!$S$2:$S$505,"44774B2Convencional pré-pagamentoRuralNão se aplicaNão se aplicaNão se aplicaIntermediário",Mercado_Receita!$L$2:$L$505)+SUMIF(Mercado_Receita!$S$2:$S$505,"44774B2Convencional pré-pagamentoRuralNão se aplicaNão se aplicaNão se aplicaNão se aplica",Mercado_Receita!$L$2:$L$505)</f>
        <v>0</v>
      </c>
      <c r="U43" s="13">
        <f t="shared" si="1"/>
        <v>0</v>
      </c>
      <c r="V43" s="13"/>
      <c r="W43" s="13"/>
    </row>
    <row r="44" spans="1:23" ht="11.25" customHeight="1" x14ac:dyDescent="0.25">
      <c r="A44" s="77"/>
      <c r="B44" s="77"/>
      <c r="C44" s="77"/>
      <c r="D44" s="12" t="s">
        <v>90</v>
      </c>
      <c r="E44" s="12" t="s">
        <v>25</v>
      </c>
      <c r="F44" s="12" t="s">
        <v>25</v>
      </c>
      <c r="G44" s="13" t="s">
        <v>80</v>
      </c>
      <c r="H44" s="13" t="s">
        <v>74</v>
      </c>
      <c r="I44" s="13">
        <f>SUMIF(Mercado_Receita!$S$2:$S$505,"44440B2Convencional pré-pagamentoRuralCooperativa de eletrificação ruralNão se aplicaNão se aplicaPonta",Mercado_Receita!$L$2:$L$505)+SUMIF(Mercado_Receita!$S$2:$S$505,"44440B2Convencional pré-pagamentoRuralCooperativa de eletrificação ruralNão se aplicaNão se aplicaFora ponta",Mercado_Receita!$L$2:$L$505)+SUMIF(Mercado_Receita!$S$2:$S$505,"44440B2Convencional pré-pagamentoRuralCooperativa de eletrificação ruralNão se aplicaNão se aplicaIntermediário",Mercado_Receita!$L$2:$L$505)+SUMIF(Mercado_Receita!$S$2:$S$505,"44440B2Convencional pré-pagamentoRuralCooperativa de eletrificação ruralNão se aplicaNão se aplicaNão se aplica",Mercado_Receita!$L$2:$L$505)</f>
        <v>0</v>
      </c>
      <c r="J44" s="13">
        <f>SUMIF(Mercado_Receita!$S$2:$S$505,"44470B2Convencional pré-pagamentoRuralCooperativa de eletrificação ruralNão se aplicaNão se aplicaPonta",Mercado_Receita!$L$2:$L$505)+SUMIF(Mercado_Receita!$S$2:$S$505,"44470B2Convencional pré-pagamentoRuralCooperativa de eletrificação ruralNão se aplicaNão se aplicaFora ponta",Mercado_Receita!$L$2:$L$505)+SUMIF(Mercado_Receita!$S$2:$S$505,"44470B2Convencional pré-pagamentoRuralCooperativa de eletrificação ruralNão se aplicaNão se aplicaIntermediário",Mercado_Receita!$L$2:$L$505)+SUMIF(Mercado_Receita!$S$2:$S$505,"44470B2Convencional pré-pagamentoRuralCooperativa de eletrificação ruralNão se aplicaNão se aplicaNão se aplica",Mercado_Receita!$L$2:$L$505)</f>
        <v>0</v>
      </c>
      <c r="K44" s="13">
        <f>SUMIF(Mercado_Receita!$S$2:$S$505,"44501B2Convencional pré-pagamentoRuralCooperativa de eletrificação ruralNão se aplicaNão se aplicaPonta",Mercado_Receita!$L$2:$L$505)+SUMIF(Mercado_Receita!$S$2:$S$505,"44501B2Convencional pré-pagamentoRuralCooperativa de eletrificação ruralNão se aplicaNão se aplicaFora ponta",Mercado_Receita!$L$2:$L$505)+SUMIF(Mercado_Receita!$S$2:$S$505,"44501B2Convencional pré-pagamentoRuralCooperativa de eletrificação ruralNão se aplicaNão se aplicaIntermediário",Mercado_Receita!$L$2:$L$505)+SUMIF(Mercado_Receita!$S$2:$S$505,"44501B2Convencional pré-pagamentoRuralCooperativa de eletrificação ruralNão se aplicaNão se aplicaNão se aplica",Mercado_Receita!$L$2:$L$505)</f>
        <v>0</v>
      </c>
      <c r="L44" s="13">
        <f>SUMIF(Mercado_Receita!$S$2:$S$505,"44531B2Convencional pré-pagamentoRuralCooperativa de eletrificação ruralNão se aplicaNão se aplicaPonta",Mercado_Receita!$L$2:$L$505)+SUMIF(Mercado_Receita!$S$2:$S$505,"44531B2Convencional pré-pagamentoRuralCooperativa de eletrificação ruralNão se aplicaNão se aplicaFora ponta",Mercado_Receita!$L$2:$L$505)+SUMIF(Mercado_Receita!$S$2:$S$505,"44531B2Convencional pré-pagamentoRuralCooperativa de eletrificação ruralNão se aplicaNão se aplicaIntermediário",Mercado_Receita!$L$2:$L$505)+SUMIF(Mercado_Receita!$S$2:$S$505,"44531B2Convencional pré-pagamentoRuralCooperativa de eletrificação ruralNão se aplicaNão se aplicaNão se aplica",Mercado_Receita!$L$2:$L$505)</f>
        <v>0</v>
      </c>
      <c r="M44" s="13">
        <f>SUMIF(Mercado_Receita!$S$2:$S$505,"44562B2Convencional pré-pagamentoRuralCooperativa de eletrificação ruralNão se aplicaNão se aplicaPonta",Mercado_Receita!$L$2:$L$505)+SUMIF(Mercado_Receita!$S$2:$S$505,"44562B2Convencional pré-pagamentoRuralCooperativa de eletrificação ruralNão se aplicaNão se aplicaFora ponta",Mercado_Receita!$L$2:$L$505)+SUMIF(Mercado_Receita!$S$2:$S$505,"44562B2Convencional pré-pagamentoRuralCooperativa de eletrificação ruralNão se aplicaNão se aplicaIntermediário",Mercado_Receita!$L$2:$L$505)+SUMIF(Mercado_Receita!$S$2:$S$505,"44562B2Convencional pré-pagamentoRuralCooperativa de eletrificação ruralNão se aplicaNão se aplicaNão se aplica",Mercado_Receita!$L$2:$L$505)</f>
        <v>0</v>
      </c>
      <c r="N44" s="13">
        <f>SUMIF(Mercado_Receita!$S$2:$S$505,"44593B2Convencional pré-pagamentoRuralCooperativa de eletrificação ruralNão se aplicaNão se aplicaPonta",Mercado_Receita!$L$2:$L$505)+SUMIF(Mercado_Receita!$S$2:$S$505,"44593B2Convencional pré-pagamentoRuralCooperativa de eletrificação ruralNão se aplicaNão se aplicaFora ponta",Mercado_Receita!$L$2:$L$505)+SUMIF(Mercado_Receita!$S$2:$S$505,"44593B2Convencional pré-pagamentoRuralCooperativa de eletrificação ruralNão se aplicaNão se aplicaIntermediário",Mercado_Receita!$L$2:$L$505)+SUMIF(Mercado_Receita!$S$2:$S$505,"44593B2Convencional pré-pagamentoRuralCooperativa de eletrificação ruralNão se aplicaNão se aplicaNão se aplica",Mercado_Receita!$L$2:$L$505)</f>
        <v>0</v>
      </c>
      <c r="O44" s="13">
        <f>SUMIF(Mercado_Receita!$S$2:$S$505,"44621B2Convencional pré-pagamentoRuralCooperativa de eletrificação ruralNão se aplicaNão se aplicaPonta",Mercado_Receita!$L$2:$L$505)+SUMIF(Mercado_Receita!$S$2:$S$505,"44621B2Convencional pré-pagamentoRuralCooperativa de eletrificação ruralNão se aplicaNão se aplicaFora ponta",Mercado_Receita!$L$2:$L$505)+SUMIF(Mercado_Receita!$S$2:$S$505,"44621B2Convencional pré-pagamentoRuralCooperativa de eletrificação ruralNão se aplicaNão se aplicaIntermediário",Mercado_Receita!$L$2:$L$505)+SUMIF(Mercado_Receita!$S$2:$S$505,"44621B2Convencional pré-pagamentoRuralCooperativa de eletrificação ruralNão se aplicaNão se aplicaNão se aplica",Mercado_Receita!$L$2:$L$505)</f>
        <v>0</v>
      </c>
      <c r="P44" s="13">
        <f>SUMIF(Mercado_Receita!$S$2:$S$505,"44652B2Convencional pré-pagamentoRuralCooperativa de eletrificação ruralNão se aplicaNão se aplicaPonta",Mercado_Receita!$L$2:$L$505)+SUMIF(Mercado_Receita!$S$2:$S$505,"44652B2Convencional pré-pagamentoRuralCooperativa de eletrificação ruralNão se aplicaNão se aplicaFora ponta",Mercado_Receita!$L$2:$L$505)+SUMIF(Mercado_Receita!$S$2:$S$505,"44652B2Convencional pré-pagamentoRuralCooperativa de eletrificação ruralNão se aplicaNão se aplicaIntermediário",Mercado_Receita!$L$2:$L$505)+SUMIF(Mercado_Receita!$S$2:$S$505,"44652B2Convencional pré-pagamentoRuralCooperativa de eletrificação ruralNão se aplicaNão se aplicaNão se aplica",Mercado_Receita!$L$2:$L$505)</f>
        <v>0</v>
      </c>
      <c r="Q44" s="13">
        <f>SUMIF(Mercado_Receita!$S$2:$S$505,"44682B2Convencional pré-pagamentoRuralCooperativa de eletrificação ruralNão se aplicaNão se aplicaPonta",Mercado_Receita!$L$2:$L$505)+SUMIF(Mercado_Receita!$S$2:$S$505,"44682B2Convencional pré-pagamentoRuralCooperativa de eletrificação ruralNão se aplicaNão se aplicaFora ponta",Mercado_Receita!$L$2:$L$505)+SUMIF(Mercado_Receita!$S$2:$S$505,"44682B2Convencional pré-pagamentoRuralCooperativa de eletrificação ruralNão se aplicaNão se aplicaIntermediário",Mercado_Receita!$L$2:$L$505)+SUMIF(Mercado_Receita!$S$2:$S$505,"44682B2Convencional pré-pagamentoRuralCooperativa de eletrificação ruralNão se aplicaNão se aplicaNão se aplica",Mercado_Receita!$L$2:$L$505)</f>
        <v>0</v>
      </c>
      <c r="R44" s="13">
        <f>SUMIF(Mercado_Receita!$S$2:$S$505,"44713B2Convencional pré-pagamentoRuralCooperativa de eletrificação ruralNão se aplicaNão se aplicaPonta",Mercado_Receita!$L$2:$L$505)+SUMIF(Mercado_Receita!$S$2:$S$505,"44713B2Convencional pré-pagamentoRuralCooperativa de eletrificação ruralNão se aplicaNão se aplicaFora ponta",Mercado_Receita!$L$2:$L$505)+SUMIF(Mercado_Receita!$S$2:$S$505,"44713B2Convencional pré-pagamentoRuralCooperativa de eletrificação ruralNão se aplicaNão se aplicaIntermediário",Mercado_Receita!$L$2:$L$505)+SUMIF(Mercado_Receita!$S$2:$S$505,"44713B2Convencional pré-pagamentoRuralCooperativa de eletrificação ruralNão se aplicaNão se aplicaNão se aplica",Mercado_Receita!$L$2:$L$505)</f>
        <v>0</v>
      </c>
      <c r="S44" s="13">
        <f>SUMIF(Mercado_Receita!$S$2:$S$505,"44743B2Convencional pré-pagamentoRuralCooperativa de eletrificação ruralNão se aplicaNão se aplicaPonta",Mercado_Receita!$L$2:$L$505)+SUMIF(Mercado_Receita!$S$2:$S$505,"44743B2Convencional pré-pagamentoRuralCooperativa de eletrificação ruralNão se aplicaNão se aplicaFora ponta",Mercado_Receita!$L$2:$L$505)+SUMIF(Mercado_Receita!$S$2:$S$505,"44743B2Convencional pré-pagamentoRuralCooperativa de eletrificação ruralNão se aplicaNão se aplicaIntermediário",Mercado_Receita!$L$2:$L$505)+SUMIF(Mercado_Receita!$S$2:$S$505,"44743B2Convencional pré-pagamentoRuralCooperativa de eletrificação ruralNão se aplicaNão se aplicaNão se aplica",Mercado_Receita!$L$2:$L$505)</f>
        <v>0</v>
      </c>
      <c r="T44" s="13">
        <f>SUMIF(Mercado_Receita!$S$2:$S$505,"44774B2Convencional pré-pagamentoRuralCooperativa de eletrificação ruralNão se aplicaNão se aplicaPonta",Mercado_Receita!$L$2:$L$505)+SUMIF(Mercado_Receita!$S$2:$S$505,"44774B2Convencional pré-pagamentoRuralCooperativa de eletrificação ruralNão se aplicaNão se aplicaFora ponta",Mercado_Receita!$L$2:$L$505)+SUMIF(Mercado_Receita!$S$2:$S$505,"44774B2Convencional pré-pagamentoRuralCooperativa de eletrificação ruralNão se aplicaNão se aplicaIntermediário",Mercado_Receita!$L$2:$L$505)+SUMIF(Mercado_Receita!$S$2:$S$505,"44774B2Convencional pré-pagamentoRuralCooperativa de eletrificação ruralNão se aplicaNão se aplicaNão se aplica",Mercado_Receita!$L$2:$L$505)</f>
        <v>0</v>
      </c>
      <c r="U44" s="13">
        <f t="shared" si="1"/>
        <v>0</v>
      </c>
      <c r="V44" s="13"/>
      <c r="W44" s="13"/>
    </row>
    <row r="45" spans="1:23" ht="11.25" customHeight="1" x14ac:dyDescent="0.25">
      <c r="A45" s="77"/>
      <c r="B45" s="77"/>
      <c r="C45" s="77"/>
      <c r="D45" s="12" t="s">
        <v>91</v>
      </c>
      <c r="E45" s="12" t="s">
        <v>25</v>
      </c>
      <c r="F45" s="12" t="s">
        <v>25</v>
      </c>
      <c r="G45" s="13" t="s">
        <v>80</v>
      </c>
      <c r="H45" s="13" t="s">
        <v>74</v>
      </c>
      <c r="I45" s="13">
        <f>SUMIF(Mercado_Receita!$S$2:$S$505,"44440B2Convencional pré-pagamentoRuralServiço público de irrigação ruralNão se aplicaNão se aplicaPonta",Mercado_Receita!$L$2:$L$505)+SUMIF(Mercado_Receita!$S$2:$S$505,"44440B2Convencional pré-pagamentoRuralServiço público de irrigação ruralNão se aplicaNão se aplicaFora ponta",Mercado_Receita!$L$2:$L$505)+SUMIF(Mercado_Receita!$S$2:$S$505,"44440B2Convencional pré-pagamentoRuralServiço público de irrigação ruralNão se aplicaNão se aplicaIntermediário",Mercado_Receita!$L$2:$L$505)+SUMIF(Mercado_Receita!$S$2:$S$505,"44440B2Convencional pré-pagamentoRuralServiço público de irrigação ruralNão se aplicaNão se aplicaNão se aplica",Mercado_Receita!$L$2:$L$505)</f>
        <v>0</v>
      </c>
      <c r="J45" s="13">
        <f>SUMIF(Mercado_Receita!$S$2:$S$505,"44470B2Convencional pré-pagamentoRuralServiço público de irrigação ruralNão se aplicaNão se aplicaPonta",Mercado_Receita!$L$2:$L$505)+SUMIF(Mercado_Receita!$S$2:$S$505,"44470B2Convencional pré-pagamentoRuralServiço público de irrigação ruralNão se aplicaNão se aplicaFora ponta",Mercado_Receita!$L$2:$L$505)+SUMIF(Mercado_Receita!$S$2:$S$505,"44470B2Convencional pré-pagamentoRuralServiço público de irrigação ruralNão se aplicaNão se aplicaIntermediário",Mercado_Receita!$L$2:$L$505)+SUMIF(Mercado_Receita!$S$2:$S$505,"44470B2Convencional pré-pagamentoRuralServiço público de irrigação ruralNão se aplicaNão se aplicaNão se aplica",Mercado_Receita!$L$2:$L$505)</f>
        <v>0</v>
      </c>
      <c r="K45" s="13">
        <f>SUMIF(Mercado_Receita!$S$2:$S$505,"44501B2Convencional pré-pagamentoRuralServiço público de irrigação ruralNão se aplicaNão se aplicaPonta",Mercado_Receita!$L$2:$L$505)+SUMIF(Mercado_Receita!$S$2:$S$505,"44501B2Convencional pré-pagamentoRuralServiço público de irrigação ruralNão se aplicaNão se aplicaFora ponta",Mercado_Receita!$L$2:$L$505)+SUMIF(Mercado_Receita!$S$2:$S$505,"44501B2Convencional pré-pagamentoRuralServiço público de irrigação ruralNão se aplicaNão se aplicaIntermediário",Mercado_Receita!$L$2:$L$505)+SUMIF(Mercado_Receita!$S$2:$S$505,"44501B2Convencional pré-pagamentoRuralServiço público de irrigação ruralNão se aplicaNão se aplicaNão se aplica",Mercado_Receita!$L$2:$L$505)</f>
        <v>0</v>
      </c>
      <c r="L45" s="13">
        <f>SUMIF(Mercado_Receita!$S$2:$S$505,"44531B2Convencional pré-pagamentoRuralServiço público de irrigação ruralNão se aplicaNão se aplicaPonta",Mercado_Receita!$L$2:$L$505)+SUMIF(Mercado_Receita!$S$2:$S$505,"44531B2Convencional pré-pagamentoRuralServiço público de irrigação ruralNão se aplicaNão se aplicaFora ponta",Mercado_Receita!$L$2:$L$505)+SUMIF(Mercado_Receita!$S$2:$S$505,"44531B2Convencional pré-pagamentoRuralServiço público de irrigação ruralNão se aplicaNão se aplicaIntermediário",Mercado_Receita!$L$2:$L$505)+SUMIF(Mercado_Receita!$S$2:$S$505,"44531B2Convencional pré-pagamentoRuralServiço público de irrigação ruralNão se aplicaNão se aplicaNão se aplica",Mercado_Receita!$L$2:$L$505)</f>
        <v>0</v>
      </c>
      <c r="M45" s="13">
        <f>SUMIF(Mercado_Receita!$S$2:$S$505,"44562B2Convencional pré-pagamentoRuralServiço público de irrigação ruralNão se aplicaNão se aplicaPonta",Mercado_Receita!$L$2:$L$505)+SUMIF(Mercado_Receita!$S$2:$S$505,"44562B2Convencional pré-pagamentoRuralServiço público de irrigação ruralNão se aplicaNão se aplicaFora ponta",Mercado_Receita!$L$2:$L$505)+SUMIF(Mercado_Receita!$S$2:$S$505,"44562B2Convencional pré-pagamentoRuralServiço público de irrigação ruralNão se aplicaNão se aplicaIntermediário",Mercado_Receita!$L$2:$L$505)+SUMIF(Mercado_Receita!$S$2:$S$505,"44562B2Convencional pré-pagamentoRuralServiço público de irrigação ruralNão se aplicaNão se aplicaNão se aplica",Mercado_Receita!$L$2:$L$505)</f>
        <v>0</v>
      </c>
      <c r="N45" s="13">
        <f>SUMIF(Mercado_Receita!$S$2:$S$505,"44593B2Convencional pré-pagamentoRuralServiço público de irrigação ruralNão se aplicaNão se aplicaPonta",Mercado_Receita!$L$2:$L$505)+SUMIF(Mercado_Receita!$S$2:$S$505,"44593B2Convencional pré-pagamentoRuralServiço público de irrigação ruralNão se aplicaNão se aplicaFora ponta",Mercado_Receita!$L$2:$L$505)+SUMIF(Mercado_Receita!$S$2:$S$505,"44593B2Convencional pré-pagamentoRuralServiço público de irrigação ruralNão se aplicaNão se aplicaIntermediário",Mercado_Receita!$L$2:$L$505)+SUMIF(Mercado_Receita!$S$2:$S$505,"44593B2Convencional pré-pagamentoRuralServiço público de irrigação ruralNão se aplicaNão se aplicaNão se aplica",Mercado_Receita!$L$2:$L$505)</f>
        <v>0</v>
      </c>
      <c r="O45" s="13">
        <f>SUMIF(Mercado_Receita!$S$2:$S$505,"44621B2Convencional pré-pagamentoRuralServiço público de irrigação ruralNão se aplicaNão se aplicaPonta",Mercado_Receita!$L$2:$L$505)+SUMIF(Mercado_Receita!$S$2:$S$505,"44621B2Convencional pré-pagamentoRuralServiço público de irrigação ruralNão se aplicaNão se aplicaFora ponta",Mercado_Receita!$L$2:$L$505)+SUMIF(Mercado_Receita!$S$2:$S$505,"44621B2Convencional pré-pagamentoRuralServiço público de irrigação ruralNão se aplicaNão se aplicaIntermediário",Mercado_Receita!$L$2:$L$505)+SUMIF(Mercado_Receita!$S$2:$S$505,"44621B2Convencional pré-pagamentoRuralServiço público de irrigação ruralNão se aplicaNão se aplicaNão se aplica",Mercado_Receita!$L$2:$L$505)</f>
        <v>0</v>
      </c>
      <c r="P45" s="13">
        <f>SUMIF(Mercado_Receita!$S$2:$S$505,"44652B2Convencional pré-pagamentoRuralServiço público de irrigação ruralNão se aplicaNão se aplicaPonta",Mercado_Receita!$L$2:$L$505)+SUMIF(Mercado_Receita!$S$2:$S$505,"44652B2Convencional pré-pagamentoRuralServiço público de irrigação ruralNão se aplicaNão se aplicaFora ponta",Mercado_Receita!$L$2:$L$505)+SUMIF(Mercado_Receita!$S$2:$S$505,"44652B2Convencional pré-pagamentoRuralServiço público de irrigação ruralNão se aplicaNão se aplicaIntermediário",Mercado_Receita!$L$2:$L$505)+SUMIF(Mercado_Receita!$S$2:$S$505,"44652B2Convencional pré-pagamentoRuralServiço público de irrigação ruralNão se aplicaNão se aplicaNão se aplica",Mercado_Receita!$L$2:$L$505)</f>
        <v>0</v>
      </c>
      <c r="Q45" s="13">
        <f>SUMIF(Mercado_Receita!$S$2:$S$505,"44682B2Convencional pré-pagamentoRuralServiço público de irrigação ruralNão se aplicaNão se aplicaPonta",Mercado_Receita!$L$2:$L$505)+SUMIF(Mercado_Receita!$S$2:$S$505,"44682B2Convencional pré-pagamentoRuralServiço público de irrigação ruralNão se aplicaNão se aplicaFora ponta",Mercado_Receita!$L$2:$L$505)+SUMIF(Mercado_Receita!$S$2:$S$505,"44682B2Convencional pré-pagamentoRuralServiço público de irrigação ruralNão se aplicaNão se aplicaIntermediário",Mercado_Receita!$L$2:$L$505)+SUMIF(Mercado_Receita!$S$2:$S$505,"44682B2Convencional pré-pagamentoRuralServiço público de irrigação ruralNão se aplicaNão se aplicaNão se aplica",Mercado_Receita!$L$2:$L$505)</f>
        <v>0</v>
      </c>
      <c r="R45" s="13">
        <f>SUMIF(Mercado_Receita!$S$2:$S$505,"44713B2Convencional pré-pagamentoRuralServiço público de irrigação ruralNão se aplicaNão se aplicaPonta",Mercado_Receita!$L$2:$L$505)+SUMIF(Mercado_Receita!$S$2:$S$505,"44713B2Convencional pré-pagamentoRuralServiço público de irrigação ruralNão se aplicaNão se aplicaFora ponta",Mercado_Receita!$L$2:$L$505)+SUMIF(Mercado_Receita!$S$2:$S$505,"44713B2Convencional pré-pagamentoRuralServiço público de irrigação ruralNão se aplicaNão se aplicaIntermediário",Mercado_Receita!$L$2:$L$505)+SUMIF(Mercado_Receita!$S$2:$S$505,"44713B2Convencional pré-pagamentoRuralServiço público de irrigação ruralNão se aplicaNão se aplicaNão se aplica",Mercado_Receita!$L$2:$L$505)</f>
        <v>0</v>
      </c>
      <c r="S45" s="13">
        <f>SUMIF(Mercado_Receita!$S$2:$S$505,"44743B2Convencional pré-pagamentoRuralServiço público de irrigação ruralNão se aplicaNão se aplicaPonta",Mercado_Receita!$L$2:$L$505)+SUMIF(Mercado_Receita!$S$2:$S$505,"44743B2Convencional pré-pagamentoRuralServiço público de irrigação ruralNão se aplicaNão se aplicaFora ponta",Mercado_Receita!$L$2:$L$505)+SUMIF(Mercado_Receita!$S$2:$S$505,"44743B2Convencional pré-pagamentoRuralServiço público de irrigação ruralNão se aplicaNão se aplicaIntermediário",Mercado_Receita!$L$2:$L$505)+SUMIF(Mercado_Receita!$S$2:$S$505,"44743B2Convencional pré-pagamentoRuralServiço público de irrigação ruralNão se aplicaNão se aplicaNão se aplica",Mercado_Receita!$L$2:$L$505)</f>
        <v>0</v>
      </c>
      <c r="T45" s="13">
        <f>SUMIF(Mercado_Receita!$S$2:$S$505,"44774B2Convencional pré-pagamentoRuralServiço público de irrigação ruralNão se aplicaNão se aplicaPonta",Mercado_Receita!$L$2:$L$505)+SUMIF(Mercado_Receita!$S$2:$S$505,"44774B2Convencional pré-pagamentoRuralServiço público de irrigação ruralNão se aplicaNão se aplicaFora ponta",Mercado_Receita!$L$2:$L$505)+SUMIF(Mercado_Receita!$S$2:$S$505,"44774B2Convencional pré-pagamentoRuralServiço público de irrigação ruralNão se aplicaNão se aplicaIntermediário",Mercado_Receita!$L$2:$L$505)+SUMIF(Mercado_Receita!$S$2:$S$505,"44774B2Convencional pré-pagamentoRuralServiço público de irrigação ruralNão se aplicaNão se aplicaNão se aplica",Mercado_Receita!$L$2:$L$505)</f>
        <v>0</v>
      </c>
      <c r="U45" s="13">
        <f t="shared" si="1"/>
        <v>0</v>
      </c>
      <c r="V45" s="13"/>
      <c r="W45" s="13"/>
    </row>
    <row r="46" spans="1:23" ht="11.25" customHeight="1" x14ac:dyDescent="0.25">
      <c r="A46" s="76" t="s">
        <v>33</v>
      </c>
      <c r="B46" s="76" t="s">
        <v>55</v>
      </c>
      <c r="C46" s="76" t="s">
        <v>25</v>
      </c>
      <c r="D46" s="76" t="s">
        <v>25</v>
      </c>
      <c r="E46" s="76" t="s">
        <v>25</v>
      </c>
      <c r="F46" s="76" t="s">
        <v>25</v>
      </c>
      <c r="G46" s="13" t="s">
        <v>75</v>
      </c>
      <c r="H46" s="13" t="s">
        <v>74</v>
      </c>
      <c r="I46" s="13">
        <f>SUMIF(Mercado_Receita!$S$2:$S$505,"44440B3BrancaNão se aplicaNão se aplicaNão se aplicaNão se aplicaPonta",Mercado_Receita!$L$2:$L$505)</f>
        <v>0</v>
      </c>
      <c r="J46" s="13">
        <f>SUMIF(Mercado_Receita!$S$2:$S$505,"44470B3BrancaNão se aplicaNão se aplicaNão se aplicaNão se aplicaPonta",Mercado_Receita!$L$2:$L$505)</f>
        <v>0</v>
      </c>
      <c r="K46" s="13">
        <f>SUMIF(Mercado_Receita!$S$2:$S$505,"44501B3BrancaNão se aplicaNão se aplicaNão se aplicaNão se aplicaPonta",Mercado_Receita!$L$2:$L$505)</f>
        <v>0</v>
      </c>
      <c r="L46" s="13">
        <f>SUMIF(Mercado_Receita!$S$2:$S$505,"44531B3BrancaNão se aplicaNão se aplicaNão se aplicaNão se aplicaPonta",Mercado_Receita!$L$2:$L$505)</f>
        <v>0</v>
      </c>
      <c r="M46" s="13">
        <f>SUMIF(Mercado_Receita!$S$2:$S$505,"44562B3BrancaNão se aplicaNão se aplicaNão se aplicaNão se aplicaPonta",Mercado_Receita!$L$2:$L$505)</f>
        <v>0</v>
      </c>
      <c r="N46" s="13">
        <f>SUMIF(Mercado_Receita!$S$2:$S$505,"44593B3BrancaNão se aplicaNão se aplicaNão se aplicaNão se aplicaPonta",Mercado_Receita!$L$2:$L$505)</f>
        <v>0</v>
      </c>
      <c r="O46" s="13">
        <f>SUMIF(Mercado_Receita!$S$2:$S$505,"44621B3BrancaNão se aplicaNão se aplicaNão se aplicaNão se aplicaPonta",Mercado_Receita!$L$2:$L$505)</f>
        <v>0</v>
      </c>
      <c r="P46" s="13">
        <f>SUMIF(Mercado_Receita!$S$2:$S$505,"44652B3BrancaNão se aplicaNão se aplicaNão se aplicaNão se aplicaPonta",Mercado_Receita!$L$2:$L$505)</f>
        <v>0</v>
      </c>
      <c r="Q46" s="13">
        <f>SUMIF(Mercado_Receita!$S$2:$S$505,"44682B3BrancaNão se aplicaNão se aplicaNão se aplicaNão se aplicaPonta",Mercado_Receita!$L$2:$L$505)</f>
        <v>0</v>
      </c>
      <c r="R46" s="13">
        <f>SUMIF(Mercado_Receita!$S$2:$S$505,"44713B3BrancaNão se aplicaNão se aplicaNão se aplicaNão se aplicaPonta",Mercado_Receita!$L$2:$L$505)</f>
        <v>0</v>
      </c>
      <c r="S46" s="13">
        <f>SUMIF(Mercado_Receita!$S$2:$S$505,"44743B3BrancaNão se aplicaNão se aplicaNão se aplicaNão se aplicaPonta",Mercado_Receita!$L$2:$L$505)</f>
        <v>0</v>
      </c>
      <c r="T46" s="13">
        <f>SUMIF(Mercado_Receita!$S$2:$S$505,"44774B3BrancaNão se aplicaNão se aplicaNão se aplicaNão se aplicaPonta",Mercado_Receita!$L$2:$L$505)</f>
        <v>0</v>
      </c>
      <c r="U46" s="13">
        <f t="shared" si="1"/>
        <v>0</v>
      </c>
      <c r="V46" s="13"/>
      <c r="W46" s="13"/>
    </row>
    <row r="47" spans="1:23" ht="11.25" customHeight="1" x14ac:dyDescent="0.25">
      <c r="A47" s="77"/>
      <c r="B47" s="77"/>
      <c r="C47" s="77"/>
      <c r="D47" s="77"/>
      <c r="E47" s="77"/>
      <c r="F47" s="77"/>
      <c r="G47" s="13" t="s">
        <v>86</v>
      </c>
      <c r="H47" s="13" t="s">
        <v>74</v>
      </c>
      <c r="I47" s="13">
        <f>SUMIF(Mercado_Receita!$S$2:$S$505,"44440B3BrancaNão se aplicaNão se aplicaNão se aplicaNão se aplicaIntermediário",Mercado_Receita!$L$2:$L$505)</f>
        <v>0</v>
      </c>
      <c r="J47" s="13">
        <f>SUMIF(Mercado_Receita!$S$2:$S$505,"44470B3BrancaNão se aplicaNão se aplicaNão se aplicaNão se aplicaIntermediário",Mercado_Receita!$L$2:$L$505)</f>
        <v>0</v>
      </c>
      <c r="K47" s="13">
        <f>SUMIF(Mercado_Receita!$S$2:$S$505,"44501B3BrancaNão se aplicaNão se aplicaNão se aplicaNão se aplicaIntermediário",Mercado_Receita!$L$2:$L$505)</f>
        <v>0</v>
      </c>
      <c r="L47" s="13">
        <f>SUMIF(Mercado_Receita!$S$2:$S$505,"44531B3BrancaNão se aplicaNão se aplicaNão se aplicaNão se aplicaIntermediário",Mercado_Receita!$L$2:$L$505)</f>
        <v>0</v>
      </c>
      <c r="M47" s="13">
        <f>SUMIF(Mercado_Receita!$S$2:$S$505,"44562B3BrancaNão se aplicaNão se aplicaNão se aplicaNão se aplicaIntermediário",Mercado_Receita!$L$2:$L$505)</f>
        <v>0</v>
      </c>
      <c r="N47" s="13">
        <f>SUMIF(Mercado_Receita!$S$2:$S$505,"44593B3BrancaNão se aplicaNão se aplicaNão se aplicaNão se aplicaIntermediário",Mercado_Receita!$L$2:$L$505)</f>
        <v>0</v>
      </c>
      <c r="O47" s="13">
        <f>SUMIF(Mercado_Receita!$S$2:$S$505,"44621B3BrancaNão se aplicaNão se aplicaNão se aplicaNão se aplicaIntermediário",Mercado_Receita!$L$2:$L$505)</f>
        <v>0</v>
      </c>
      <c r="P47" s="13">
        <f>SUMIF(Mercado_Receita!$S$2:$S$505,"44652B3BrancaNão se aplicaNão se aplicaNão se aplicaNão se aplicaIntermediário",Mercado_Receita!$L$2:$L$505)</f>
        <v>0</v>
      </c>
      <c r="Q47" s="13">
        <f>SUMIF(Mercado_Receita!$S$2:$S$505,"44682B3BrancaNão se aplicaNão se aplicaNão se aplicaNão se aplicaIntermediário",Mercado_Receita!$L$2:$L$505)</f>
        <v>0</v>
      </c>
      <c r="R47" s="13">
        <f>SUMIF(Mercado_Receita!$S$2:$S$505,"44713B3BrancaNão se aplicaNão se aplicaNão se aplicaNão se aplicaIntermediário",Mercado_Receita!$L$2:$L$505)</f>
        <v>0</v>
      </c>
      <c r="S47" s="13">
        <f>SUMIF(Mercado_Receita!$S$2:$S$505,"44743B3BrancaNão se aplicaNão se aplicaNão se aplicaNão se aplicaIntermediário",Mercado_Receita!$L$2:$L$505)</f>
        <v>0</v>
      </c>
      <c r="T47" s="13">
        <f>SUMIF(Mercado_Receita!$S$2:$S$505,"44774B3BrancaNão se aplicaNão se aplicaNão se aplicaNão se aplicaIntermediário",Mercado_Receita!$L$2:$L$505)</f>
        <v>0</v>
      </c>
      <c r="U47" s="13">
        <f t="shared" si="1"/>
        <v>0</v>
      </c>
      <c r="V47" s="13"/>
      <c r="W47" s="13"/>
    </row>
    <row r="48" spans="1:23" ht="11.25" customHeight="1" x14ac:dyDescent="0.25">
      <c r="A48" s="77"/>
      <c r="B48" s="77"/>
      <c r="C48" s="77"/>
      <c r="D48" s="77"/>
      <c r="E48" s="77"/>
      <c r="F48" s="77"/>
      <c r="G48" s="13" t="s">
        <v>76</v>
      </c>
      <c r="H48" s="13" t="s">
        <v>74</v>
      </c>
      <c r="I48" s="13">
        <f>SUMIF(Mercado_Receita!$S$2:$S$505,"44440B3BrancaNão se aplicaNão se aplicaNão se aplicaNão se aplicaFora ponta",Mercado_Receita!$L$2:$L$505)</f>
        <v>0</v>
      </c>
      <c r="J48" s="13">
        <f>SUMIF(Mercado_Receita!$S$2:$S$505,"44470B3BrancaNão se aplicaNão se aplicaNão se aplicaNão se aplicaFora ponta",Mercado_Receita!$L$2:$L$505)</f>
        <v>0</v>
      </c>
      <c r="K48" s="13">
        <f>SUMIF(Mercado_Receita!$S$2:$S$505,"44501B3BrancaNão se aplicaNão se aplicaNão se aplicaNão se aplicaFora ponta",Mercado_Receita!$L$2:$L$505)</f>
        <v>0</v>
      </c>
      <c r="L48" s="13">
        <f>SUMIF(Mercado_Receita!$S$2:$S$505,"44531B3BrancaNão se aplicaNão se aplicaNão se aplicaNão se aplicaFora ponta",Mercado_Receita!$L$2:$L$505)</f>
        <v>0</v>
      </c>
      <c r="M48" s="13">
        <f>SUMIF(Mercado_Receita!$S$2:$S$505,"44562B3BrancaNão se aplicaNão se aplicaNão se aplicaNão se aplicaFora ponta",Mercado_Receita!$L$2:$L$505)</f>
        <v>0</v>
      </c>
      <c r="N48" s="13">
        <f>SUMIF(Mercado_Receita!$S$2:$S$505,"44593B3BrancaNão se aplicaNão se aplicaNão se aplicaNão se aplicaFora ponta",Mercado_Receita!$L$2:$L$505)</f>
        <v>0</v>
      </c>
      <c r="O48" s="13">
        <f>SUMIF(Mercado_Receita!$S$2:$S$505,"44621B3BrancaNão se aplicaNão se aplicaNão se aplicaNão se aplicaFora ponta",Mercado_Receita!$L$2:$L$505)</f>
        <v>0</v>
      </c>
      <c r="P48" s="13">
        <f>SUMIF(Mercado_Receita!$S$2:$S$505,"44652B3BrancaNão se aplicaNão se aplicaNão se aplicaNão se aplicaFora ponta",Mercado_Receita!$L$2:$L$505)</f>
        <v>0</v>
      </c>
      <c r="Q48" s="13">
        <f>SUMIF(Mercado_Receita!$S$2:$S$505,"44682B3BrancaNão se aplicaNão se aplicaNão se aplicaNão se aplicaFora ponta",Mercado_Receita!$L$2:$L$505)</f>
        <v>0</v>
      </c>
      <c r="R48" s="13">
        <f>SUMIF(Mercado_Receita!$S$2:$S$505,"44713B3BrancaNão se aplicaNão se aplicaNão se aplicaNão se aplicaFora ponta",Mercado_Receita!$L$2:$L$505)</f>
        <v>0</v>
      </c>
      <c r="S48" s="13">
        <f>SUMIF(Mercado_Receita!$S$2:$S$505,"44743B3BrancaNão se aplicaNão se aplicaNão se aplicaNão se aplicaFora ponta",Mercado_Receita!$L$2:$L$505)</f>
        <v>0</v>
      </c>
      <c r="T48" s="13">
        <f>SUMIF(Mercado_Receita!$S$2:$S$505,"44774B3BrancaNão se aplicaNão se aplicaNão se aplicaNão se aplicaFora ponta",Mercado_Receita!$L$2:$L$505)</f>
        <v>0</v>
      </c>
      <c r="U48" s="13">
        <f t="shared" si="1"/>
        <v>0</v>
      </c>
      <c r="V48" s="13"/>
      <c r="W48" s="13"/>
    </row>
    <row r="49" spans="1:23" ht="11.25" customHeight="1" x14ac:dyDescent="0.25">
      <c r="A49" s="77"/>
      <c r="B49" s="12" t="s">
        <v>23</v>
      </c>
      <c r="C49" s="12" t="s">
        <v>25</v>
      </c>
      <c r="D49" s="12" t="s">
        <v>25</v>
      </c>
      <c r="E49" s="12" t="s">
        <v>25</v>
      </c>
      <c r="F49" s="12" t="s">
        <v>25</v>
      </c>
      <c r="G49" s="13" t="s">
        <v>80</v>
      </c>
      <c r="H49" s="13" t="s">
        <v>74</v>
      </c>
      <c r="I49" s="13">
        <f>SUMIF(Mercado_Receita!$S$2:$S$505,"44440B3ConvencionalNão se aplicaNão se aplicaNão se aplicaNão se aplicaPonta",Mercado_Receita!$L$2:$L$505)+SUMIF(Mercado_Receita!$S$2:$S$505,"44440B3ConvencionalNão se aplicaNão se aplicaNão se aplicaNão se aplicaFora ponta",Mercado_Receita!$L$2:$L$505)+SUMIF(Mercado_Receita!$S$2:$S$505,"44440B3ConvencionalNão se aplicaNão se aplicaNão se aplicaNão se aplicaIntermediário",Mercado_Receita!$L$2:$L$505)+SUMIF(Mercado_Receita!$S$2:$S$505,"44440B3ConvencionalNão se aplicaNão se aplicaNão se aplicaNão se aplicaNão se aplica",Mercado_Receita!$L$2:$L$505)</f>
        <v>1695.8159999999998</v>
      </c>
      <c r="J49" s="13">
        <f>SUMIF(Mercado_Receita!$S$2:$S$505,"44470B3ConvencionalNão se aplicaNão se aplicaNão se aplicaNão se aplicaPonta",Mercado_Receita!$L$2:$L$505)+SUMIF(Mercado_Receita!$S$2:$S$505,"44470B3ConvencionalNão se aplicaNão se aplicaNão se aplicaNão se aplicaFora ponta",Mercado_Receita!$L$2:$L$505)+SUMIF(Mercado_Receita!$S$2:$S$505,"44470B3ConvencionalNão se aplicaNão se aplicaNão se aplicaNão se aplicaIntermediário",Mercado_Receita!$L$2:$L$505)+SUMIF(Mercado_Receita!$S$2:$S$505,"44470B3ConvencionalNão se aplicaNão se aplicaNão se aplicaNão se aplicaNão se aplica",Mercado_Receita!$L$2:$L$505)</f>
        <v>1684.309</v>
      </c>
      <c r="K49" s="13">
        <f>SUMIF(Mercado_Receita!$S$2:$S$505,"44501B3ConvencionalNão se aplicaNão se aplicaNão se aplicaNão se aplicaPonta",Mercado_Receita!$L$2:$L$505)+SUMIF(Mercado_Receita!$S$2:$S$505,"44501B3ConvencionalNão se aplicaNão se aplicaNão se aplicaNão se aplicaFora ponta",Mercado_Receita!$L$2:$L$505)+SUMIF(Mercado_Receita!$S$2:$S$505,"44501B3ConvencionalNão se aplicaNão se aplicaNão se aplicaNão se aplicaIntermediário",Mercado_Receita!$L$2:$L$505)+SUMIF(Mercado_Receita!$S$2:$S$505,"44501B3ConvencionalNão se aplicaNão se aplicaNão se aplicaNão se aplicaNão se aplica",Mercado_Receita!$L$2:$L$505)</f>
        <v>1711.1589999999999</v>
      </c>
      <c r="L49" s="13">
        <f>SUMIF(Mercado_Receita!$S$2:$S$505,"44531B3ConvencionalNão se aplicaNão se aplicaNão se aplicaNão se aplicaPonta",Mercado_Receita!$L$2:$L$505)+SUMIF(Mercado_Receita!$S$2:$S$505,"44531B3ConvencionalNão se aplicaNão se aplicaNão se aplicaNão se aplicaFora ponta",Mercado_Receita!$L$2:$L$505)+SUMIF(Mercado_Receita!$S$2:$S$505,"44531B3ConvencionalNão se aplicaNão se aplicaNão se aplicaNão se aplicaIntermediário",Mercado_Receita!$L$2:$L$505)+SUMIF(Mercado_Receita!$S$2:$S$505,"44531B3ConvencionalNão se aplicaNão se aplicaNão se aplicaNão se aplicaNão se aplica",Mercado_Receita!$L$2:$L$505)</f>
        <v>1835.1700000000003</v>
      </c>
      <c r="M49" s="13">
        <f>SUMIF(Mercado_Receita!$S$2:$S$505,"44562B3ConvencionalNão se aplicaNão se aplicaNão se aplicaNão se aplicaPonta",Mercado_Receita!$L$2:$L$505)+SUMIF(Mercado_Receita!$S$2:$S$505,"44562B3ConvencionalNão se aplicaNão se aplicaNão se aplicaNão se aplicaFora ponta",Mercado_Receita!$L$2:$L$505)+SUMIF(Mercado_Receita!$S$2:$S$505,"44562B3ConvencionalNão se aplicaNão se aplicaNão se aplicaNão se aplicaIntermediário",Mercado_Receita!$L$2:$L$505)+SUMIF(Mercado_Receita!$S$2:$S$505,"44562B3ConvencionalNão se aplicaNão se aplicaNão se aplicaNão se aplicaNão se aplica",Mercado_Receita!$L$2:$L$505)</f>
        <v>1934.8400000000001</v>
      </c>
      <c r="N49" s="13">
        <f>SUMIF(Mercado_Receita!$S$2:$S$505,"44593B3ConvencionalNão se aplicaNão se aplicaNão se aplicaNão se aplicaPonta",Mercado_Receita!$L$2:$L$505)+SUMIF(Mercado_Receita!$S$2:$S$505,"44593B3ConvencionalNão se aplicaNão se aplicaNão se aplicaNão se aplicaFora ponta",Mercado_Receita!$L$2:$L$505)+SUMIF(Mercado_Receita!$S$2:$S$505,"44593B3ConvencionalNão se aplicaNão se aplicaNão se aplicaNão se aplicaIntermediário",Mercado_Receita!$L$2:$L$505)+SUMIF(Mercado_Receita!$S$2:$S$505,"44593B3ConvencionalNão se aplicaNão se aplicaNão se aplicaNão se aplicaNão se aplica",Mercado_Receita!$L$2:$L$505)</f>
        <v>2098.085</v>
      </c>
      <c r="O49" s="13">
        <f>SUMIF(Mercado_Receita!$S$2:$S$505,"44621B3ConvencionalNão se aplicaNão se aplicaNão se aplicaNão se aplicaPonta",Mercado_Receita!$L$2:$L$505)+SUMIF(Mercado_Receita!$S$2:$S$505,"44621B3ConvencionalNão se aplicaNão se aplicaNão se aplicaNão se aplicaFora ponta",Mercado_Receita!$L$2:$L$505)+SUMIF(Mercado_Receita!$S$2:$S$505,"44621B3ConvencionalNão se aplicaNão se aplicaNão se aplicaNão se aplicaIntermediário",Mercado_Receita!$L$2:$L$505)+SUMIF(Mercado_Receita!$S$2:$S$505,"44621B3ConvencionalNão se aplicaNão se aplicaNão se aplicaNão se aplicaNão se aplica",Mercado_Receita!$L$2:$L$505)</f>
        <v>2152.739</v>
      </c>
      <c r="P49" s="13">
        <f>SUMIF(Mercado_Receita!$S$2:$S$505,"44652B3ConvencionalNão se aplicaNão se aplicaNão se aplicaNão se aplicaPonta",Mercado_Receita!$L$2:$L$505)+SUMIF(Mercado_Receita!$S$2:$S$505,"44652B3ConvencionalNão se aplicaNão se aplicaNão se aplicaNão se aplicaFora ponta",Mercado_Receita!$L$2:$L$505)+SUMIF(Mercado_Receita!$S$2:$S$505,"44652B3ConvencionalNão se aplicaNão se aplicaNão se aplicaNão se aplicaIntermediário",Mercado_Receita!$L$2:$L$505)+SUMIF(Mercado_Receita!$S$2:$S$505,"44652B3ConvencionalNão se aplicaNão se aplicaNão se aplicaNão se aplicaNão se aplica",Mercado_Receita!$L$2:$L$505)</f>
        <v>1907.1559999999999</v>
      </c>
      <c r="Q49" s="13">
        <f>SUMIF(Mercado_Receita!$S$2:$S$505,"44682B3ConvencionalNão se aplicaNão se aplicaNão se aplicaNão se aplicaPonta",Mercado_Receita!$L$2:$L$505)+SUMIF(Mercado_Receita!$S$2:$S$505,"44682B3ConvencionalNão se aplicaNão se aplicaNão se aplicaNão se aplicaFora ponta",Mercado_Receita!$L$2:$L$505)+SUMIF(Mercado_Receita!$S$2:$S$505,"44682B3ConvencionalNão se aplicaNão se aplicaNão se aplicaNão se aplicaIntermediário",Mercado_Receita!$L$2:$L$505)+SUMIF(Mercado_Receita!$S$2:$S$505,"44682B3ConvencionalNão se aplicaNão se aplicaNão se aplicaNão se aplicaNão se aplica",Mercado_Receita!$L$2:$L$505)</f>
        <v>1638.9849999999997</v>
      </c>
      <c r="R49" s="13">
        <f>SUMIF(Mercado_Receita!$S$2:$S$505,"44713B3ConvencionalNão se aplicaNão se aplicaNão se aplicaNão se aplicaPonta",Mercado_Receita!$L$2:$L$505)+SUMIF(Mercado_Receita!$S$2:$S$505,"44713B3ConvencionalNão se aplicaNão se aplicaNão se aplicaNão se aplicaFora ponta",Mercado_Receita!$L$2:$L$505)+SUMIF(Mercado_Receita!$S$2:$S$505,"44713B3ConvencionalNão se aplicaNão se aplicaNão se aplicaNão se aplicaIntermediário",Mercado_Receita!$L$2:$L$505)+SUMIF(Mercado_Receita!$S$2:$S$505,"44713B3ConvencionalNão se aplicaNão se aplicaNão se aplicaNão se aplicaNão se aplica",Mercado_Receita!$L$2:$L$505)</f>
        <v>1627.998</v>
      </c>
      <c r="S49" s="13">
        <f>SUMIF(Mercado_Receita!$S$2:$S$505,"44743B3ConvencionalNão se aplicaNão se aplicaNão se aplicaNão se aplicaPonta",Mercado_Receita!$L$2:$L$505)+SUMIF(Mercado_Receita!$S$2:$S$505,"44743B3ConvencionalNão se aplicaNão se aplicaNão se aplicaNão se aplicaFora ponta",Mercado_Receita!$L$2:$L$505)+SUMIF(Mercado_Receita!$S$2:$S$505,"44743B3ConvencionalNão se aplicaNão se aplicaNão se aplicaNão se aplicaIntermediário",Mercado_Receita!$L$2:$L$505)+SUMIF(Mercado_Receita!$S$2:$S$505,"44743B3ConvencionalNão se aplicaNão se aplicaNão se aplicaNão se aplicaNão se aplica",Mercado_Receita!$L$2:$L$505)</f>
        <v>1607.4080000000001</v>
      </c>
      <c r="T49" s="13">
        <f>SUMIF(Mercado_Receita!$S$2:$S$505,"44774B3ConvencionalNão se aplicaNão se aplicaNão se aplicaNão se aplicaPonta",Mercado_Receita!$L$2:$L$505)+SUMIF(Mercado_Receita!$S$2:$S$505,"44774B3ConvencionalNão se aplicaNão se aplicaNão se aplicaNão se aplicaFora ponta",Mercado_Receita!$L$2:$L$505)+SUMIF(Mercado_Receita!$S$2:$S$505,"44774B3ConvencionalNão se aplicaNão se aplicaNão se aplicaNão se aplicaIntermediário",Mercado_Receita!$L$2:$L$505)+SUMIF(Mercado_Receita!$S$2:$S$505,"44774B3ConvencionalNão se aplicaNão se aplicaNão se aplicaNão se aplicaNão se aplica",Mercado_Receita!$L$2:$L$505)</f>
        <v>1607.4080000000001</v>
      </c>
      <c r="U49" s="13">
        <f t="shared" si="1"/>
        <v>21501.073</v>
      </c>
      <c r="V49" s="13"/>
      <c r="W49" s="13"/>
    </row>
    <row r="50" spans="1:23" ht="11.25" customHeight="1" x14ac:dyDescent="0.25">
      <c r="A50" s="77"/>
      <c r="B50" s="12" t="s">
        <v>89</v>
      </c>
      <c r="C50" s="12" t="s">
        <v>25</v>
      </c>
      <c r="D50" s="12" t="s">
        <v>25</v>
      </c>
      <c r="E50" s="12" t="s">
        <v>25</v>
      </c>
      <c r="F50" s="12" t="s">
        <v>25</v>
      </c>
      <c r="G50" s="13" t="s">
        <v>80</v>
      </c>
      <c r="H50" s="13" t="s">
        <v>74</v>
      </c>
      <c r="I50" s="13">
        <f>SUMIF(Mercado_Receita!$S$2:$S$505,"44440B3Convencional pré-pagamentoNão se aplicaNão se aplicaNão se aplicaNão se aplicaPonta",Mercado_Receita!$L$2:$L$505)+SUMIF(Mercado_Receita!$S$2:$S$505,"44440B3Convencional pré-pagamentoNão se aplicaNão se aplicaNão se aplicaNão se aplicaFora ponta",Mercado_Receita!$L$2:$L$505)+SUMIF(Mercado_Receita!$S$2:$S$505,"44440B3Convencional pré-pagamentoNão se aplicaNão se aplicaNão se aplicaNão se aplicaIntermediário",Mercado_Receita!$L$2:$L$505)+SUMIF(Mercado_Receita!$S$2:$S$505,"44440B3Convencional pré-pagamentoNão se aplicaNão se aplicaNão se aplicaNão se aplicaNão se aplica",Mercado_Receita!$L$2:$L$505)</f>
        <v>0</v>
      </c>
      <c r="J50" s="13">
        <f>SUMIF(Mercado_Receita!$S$2:$S$505,"44470B3Convencional pré-pagamentoNão se aplicaNão se aplicaNão se aplicaNão se aplicaPonta",Mercado_Receita!$L$2:$L$505)+SUMIF(Mercado_Receita!$S$2:$S$505,"44470B3Convencional pré-pagamentoNão se aplicaNão se aplicaNão se aplicaNão se aplicaFora ponta",Mercado_Receita!$L$2:$L$505)+SUMIF(Mercado_Receita!$S$2:$S$505,"44470B3Convencional pré-pagamentoNão se aplicaNão se aplicaNão se aplicaNão se aplicaIntermediário",Mercado_Receita!$L$2:$L$505)+SUMIF(Mercado_Receita!$S$2:$S$505,"44470B3Convencional pré-pagamentoNão se aplicaNão se aplicaNão se aplicaNão se aplicaNão se aplica",Mercado_Receita!$L$2:$L$505)</f>
        <v>0</v>
      </c>
      <c r="K50" s="13">
        <f>SUMIF(Mercado_Receita!$S$2:$S$505,"44501B3Convencional pré-pagamentoNão se aplicaNão se aplicaNão se aplicaNão se aplicaPonta",Mercado_Receita!$L$2:$L$505)+SUMIF(Mercado_Receita!$S$2:$S$505,"44501B3Convencional pré-pagamentoNão se aplicaNão se aplicaNão se aplicaNão se aplicaFora ponta",Mercado_Receita!$L$2:$L$505)+SUMIF(Mercado_Receita!$S$2:$S$505,"44501B3Convencional pré-pagamentoNão se aplicaNão se aplicaNão se aplicaNão se aplicaIntermediário",Mercado_Receita!$L$2:$L$505)+SUMIF(Mercado_Receita!$S$2:$S$505,"44501B3Convencional pré-pagamentoNão se aplicaNão se aplicaNão se aplicaNão se aplicaNão se aplica",Mercado_Receita!$L$2:$L$505)</f>
        <v>0</v>
      </c>
      <c r="L50" s="13">
        <f>SUMIF(Mercado_Receita!$S$2:$S$505,"44531B3Convencional pré-pagamentoNão se aplicaNão se aplicaNão se aplicaNão se aplicaPonta",Mercado_Receita!$L$2:$L$505)+SUMIF(Mercado_Receita!$S$2:$S$505,"44531B3Convencional pré-pagamentoNão se aplicaNão se aplicaNão se aplicaNão se aplicaFora ponta",Mercado_Receita!$L$2:$L$505)+SUMIF(Mercado_Receita!$S$2:$S$505,"44531B3Convencional pré-pagamentoNão se aplicaNão se aplicaNão se aplicaNão se aplicaIntermediário",Mercado_Receita!$L$2:$L$505)+SUMIF(Mercado_Receita!$S$2:$S$505,"44531B3Convencional pré-pagamentoNão se aplicaNão se aplicaNão se aplicaNão se aplicaNão se aplica",Mercado_Receita!$L$2:$L$505)</f>
        <v>0</v>
      </c>
      <c r="M50" s="13">
        <f>SUMIF(Mercado_Receita!$S$2:$S$505,"44562B3Convencional pré-pagamentoNão se aplicaNão se aplicaNão se aplicaNão se aplicaPonta",Mercado_Receita!$L$2:$L$505)+SUMIF(Mercado_Receita!$S$2:$S$505,"44562B3Convencional pré-pagamentoNão se aplicaNão se aplicaNão se aplicaNão se aplicaFora ponta",Mercado_Receita!$L$2:$L$505)+SUMIF(Mercado_Receita!$S$2:$S$505,"44562B3Convencional pré-pagamentoNão se aplicaNão se aplicaNão se aplicaNão se aplicaIntermediário",Mercado_Receita!$L$2:$L$505)+SUMIF(Mercado_Receita!$S$2:$S$505,"44562B3Convencional pré-pagamentoNão se aplicaNão se aplicaNão se aplicaNão se aplicaNão se aplica",Mercado_Receita!$L$2:$L$505)</f>
        <v>0</v>
      </c>
      <c r="N50" s="13">
        <f>SUMIF(Mercado_Receita!$S$2:$S$505,"44593B3Convencional pré-pagamentoNão se aplicaNão se aplicaNão se aplicaNão se aplicaPonta",Mercado_Receita!$L$2:$L$505)+SUMIF(Mercado_Receita!$S$2:$S$505,"44593B3Convencional pré-pagamentoNão se aplicaNão se aplicaNão se aplicaNão se aplicaFora ponta",Mercado_Receita!$L$2:$L$505)+SUMIF(Mercado_Receita!$S$2:$S$505,"44593B3Convencional pré-pagamentoNão se aplicaNão se aplicaNão se aplicaNão se aplicaIntermediário",Mercado_Receita!$L$2:$L$505)+SUMIF(Mercado_Receita!$S$2:$S$505,"44593B3Convencional pré-pagamentoNão se aplicaNão se aplicaNão se aplicaNão se aplicaNão se aplica",Mercado_Receita!$L$2:$L$505)</f>
        <v>0</v>
      </c>
      <c r="O50" s="13">
        <f>SUMIF(Mercado_Receita!$S$2:$S$505,"44621B3Convencional pré-pagamentoNão se aplicaNão se aplicaNão se aplicaNão se aplicaPonta",Mercado_Receita!$L$2:$L$505)+SUMIF(Mercado_Receita!$S$2:$S$505,"44621B3Convencional pré-pagamentoNão se aplicaNão se aplicaNão se aplicaNão se aplicaFora ponta",Mercado_Receita!$L$2:$L$505)+SUMIF(Mercado_Receita!$S$2:$S$505,"44621B3Convencional pré-pagamentoNão se aplicaNão se aplicaNão se aplicaNão se aplicaIntermediário",Mercado_Receita!$L$2:$L$505)+SUMIF(Mercado_Receita!$S$2:$S$505,"44621B3Convencional pré-pagamentoNão se aplicaNão se aplicaNão se aplicaNão se aplicaNão se aplica",Mercado_Receita!$L$2:$L$505)</f>
        <v>0</v>
      </c>
      <c r="P50" s="13">
        <f>SUMIF(Mercado_Receita!$S$2:$S$505,"44652B3Convencional pré-pagamentoNão se aplicaNão se aplicaNão se aplicaNão se aplicaPonta",Mercado_Receita!$L$2:$L$505)+SUMIF(Mercado_Receita!$S$2:$S$505,"44652B3Convencional pré-pagamentoNão se aplicaNão se aplicaNão se aplicaNão se aplicaFora ponta",Mercado_Receita!$L$2:$L$505)+SUMIF(Mercado_Receita!$S$2:$S$505,"44652B3Convencional pré-pagamentoNão se aplicaNão se aplicaNão se aplicaNão se aplicaIntermediário",Mercado_Receita!$L$2:$L$505)+SUMIF(Mercado_Receita!$S$2:$S$505,"44652B3Convencional pré-pagamentoNão se aplicaNão se aplicaNão se aplicaNão se aplicaNão se aplica",Mercado_Receita!$L$2:$L$505)</f>
        <v>0</v>
      </c>
      <c r="Q50" s="13">
        <f>SUMIF(Mercado_Receita!$S$2:$S$505,"44682B3Convencional pré-pagamentoNão se aplicaNão se aplicaNão se aplicaNão se aplicaPonta",Mercado_Receita!$L$2:$L$505)+SUMIF(Mercado_Receita!$S$2:$S$505,"44682B3Convencional pré-pagamentoNão se aplicaNão se aplicaNão se aplicaNão se aplicaFora ponta",Mercado_Receita!$L$2:$L$505)+SUMIF(Mercado_Receita!$S$2:$S$505,"44682B3Convencional pré-pagamentoNão se aplicaNão se aplicaNão se aplicaNão se aplicaIntermediário",Mercado_Receita!$L$2:$L$505)+SUMIF(Mercado_Receita!$S$2:$S$505,"44682B3Convencional pré-pagamentoNão se aplicaNão se aplicaNão se aplicaNão se aplicaNão se aplica",Mercado_Receita!$L$2:$L$505)</f>
        <v>0</v>
      </c>
      <c r="R50" s="13">
        <f>SUMIF(Mercado_Receita!$S$2:$S$505,"44713B3Convencional pré-pagamentoNão se aplicaNão se aplicaNão se aplicaNão se aplicaPonta",Mercado_Receita!$L$2:$L$505)+SUMIF(Mercado_Receita!$S$2:$S$505,"44713B3Convencional pré-pagamentoNão se aplicaNão se aplicaNão se aplicaNão se aplicaFora ponta",Mercado_Receita!$L$2:$L$505)+SUMIF(Mercado_Receita!$S$2:$S$505,"44713B3Convencional pré-pagamentoNão se aplicaNão se aplicaNão se aplicaNão se aplicaIntermediário",Mercado_Receita!$L$2:$L$505)+SUMIF(Mercado_Receita!$S$2:$S$505,"44713B3Convencional pré-pagamentoNão se aplicaNão se aplicaNão se aplicaNão se aplicaNão se aplica",Mercado_Receita!$L$2:$L$505)</f>
        <v>0</v>
      </c>
      <c r="S50" s="13">
        <f>SUMIF(Mercado_Receita!$S$2:$S$505,"44743B3Convencional pré-pagamentoNão se aplicaNão se aplicaNão se aplicaNão se aplicaPonta",Mercado_Receita!$L$2:$L$505)+SUMIF(Mercado_Receita!$S$2:$S$505,"44743B3Convencional pré-pagamentoNão se aplicaNão se aplicaNão se aplicaNão se aplicaFora ponta",Mercado_Receita!$L$2:$L$505)+SUMIF(Mercado_Receita!$S$2:$S$505,"44743B3Convencional pré-pagamentoNão se aplicaNão se aplicaNão se aplicaNão se aplicaIntermediário",Mercado_Receita!$L$2:$L$505)+SUMIF(Mercado_Receita!$S$2:$S$505,"44743B3Convencional pré-pagamentoNão se aplicaNão se aplicaNão se aplicaNão se aplicaNão se aplica",Mercado_Receita!$L$2:$L$505)</f>
        <v>0</v>
      </c>
      <c r="T50" s="13">
        <f>SUMIF(Mercado_Receita!$S$2:$S$505,"44774B3Convencional pré-pagamentoNão se aplicaNão se aplicaNão se aplicaNão se aplicaPonta",Mercado_Receita!$L$2:$L$505)+SUMIF(Mercado_Receita!$S$2:$S$505,"44774B3Convencional pré-pagamentoNão se aplicaNão se aplicaNão se aplicaNão se aplicaFora ponta",Mercado_Receita!$L$2:$L$505)+SUMIF(Mercado_Receita!$S$2:$S$505,"44774B3Convencional pré-pagamentoNão se aplicaNão se aplicaNão se aplicaNão se aplicaIntermediário",Mercado_Receita!$L$2:$L$505)+SUMIF(Mercado_Receita!$S$2:$S$505,"44774B3Convencional pré-pagamentoNão se aplicaNão se aplicaNão se aplicaNão se aplicaNão se aplica",Mercado_Receita!$L$2:$L$505)</f>
        <v>0</v>
      </c>
      <c r="U50" s="13">
        <f t="shared" si="1"/>
        <v>0</v>
      </c>
      <c r="V50" s="13"/>
      <c r="W50" s="13"/>
    </row>
    <row r="51" spans="1:23" ht="11.25" customHeight="1" x14ac:dyDescent="0.25">
      <c r="A51" s="76" t="s">
        <v>45</v>
      </c>
      <c r="B51" s="76" t="s">
        <v>23</v>
      </c>
      <c r="C51" s="76" t="s">
        <v>46</v>
      </c>
      <c r="D51" s="12" t="s">
        <v>47</v>
      </c>
      <c r="E51" s="12" t="s">
        <v>25</v>
      </c>
      <c r="F51" s="12" t="s">
        <v>25</v>
      </c>
      <c r="G51" s="13" t="s">
        <v>80</v>
      </c>
      <c r="H51" s="13" t="s">
        <v>74</v>
      </c>
      <c r="I51" s="13">
        <f>SUMIF(Mercado_Receita!$S$2:$S$505,"44440B4ConvencionalIluminação públicaIluminação pública – B4aNão se aplicaNão se aplicaPonta",Mercado_Receita!$L$2:$L$505)+SUMIF(Mercado_Receita!$S$2:$S$505,"44440B4ConvencionalIluminação públicaIluminação pública – B4aNão se aplicaNão se aplicaFora ponta",Mercado_Receita!$L$2:$L$505)+SUMIF(Mercado_Receita!$S$2:$S$505,"44440B4ConvencionalIluminação públicaIluminação pública – B4aNão se aplicaNão se aplicaIntermediário",Mercado_Receita!$L$2:$L$505)+SUMIF(Mercado_Receita!$S$2:$S$505,"44440B4ConvencionalIluminação públicaIluminação pública – B4aNão se aplicaNão se aplicaNão se aplica",Mercado_Receita!$L$2:$L$505)</f>
        <v>859.23299999999995</v>
      </c>
      <c r="J51" s="13">
        <f>SUMIF(Mercado_Receita!$S$2:$S$505,"44470B4ConvencionalIluminação públicaIluminação pública – B4aNão se aplicaNão se aplicaPonta",Mercado_Receita!$L$2:$L$505)+SUMIF(Mercado_Receita!$S$2:$S$505,"44470B4ConvencionalIluminação públicaIluminação pública – B4aNão se aplicaNão se aplicaFora ponta",Mercado_Receita!$L$2:$L$505)+SUMIF(Mercado_Receita!$S$2:$S$505,"44470B4ConvencionalIluminação públicaIluminação pública – B4aNão se aplicaNão se aplicaIntermediário",Mercado_Receita!$L$2:$L$505)+SUMIF(Mercado_Receita!$S$2:$S$505,"44470B4ConvencionalIluminação públicaIluminação pública – B4aNão se aplicaNão se aplicaNão se aplica",Mercado_Receita!$L$2:$L$505)</f>
        <v>817.678</v>
      </c>
      <c r="K51" s="13">
        <f>SUMIF(Mercado_Receita!$S$2:$S$505,"44501B4ConvencionalIluminação públicaIluminação pública – B4aNão se aplicaNão se aplicaPonta",Mercado_Receita!$L$2:$L$505)+SUMIF(Mercado_Receita!$S$2:$S$505,"44501B4ConvencionalIluminação públicaIluminação pública – B4aNão se aplicaNão se aplicaFora ponta",Mercado_Receita!$L$2:$L$505)+SUMIF(Mercado_Receita!$S$2:$S$505,"44501B4ConvencionalIluminação públicaIluminação pública – B4aNão se aplicaNão se aplicaIntermediário",Mercado_Receita!$L$2:$L$505)+SUMIF(Mercado_Receita!$S$2:$S$505,"44501B4ConvencionalIluminação públicaIluminação pública – B4aNão se aplicaNão se aplicaNão se aplica",Mercado_Receita!$L$2:$L$505)</f>
        <v>736.83299999999997</v>
      </c>
      <c r="L51" s="13">
        <f>SUMIF(Mercado_Receita!$S$2:$S$505,"44531B4ConvencionalIluminação públicaIluminação pública – B4aNão se aplicaNão se aplicaPonta",Mercado_Receita!$L$2:$L$505)+SUMIF(Mercado_Receita!$S$2:$S$505,"44531B4ConvencionalIluminação públicaIluminação pública – B4aNão se aplicaNão se aplicaFora ponta",Mercado_Receita!$L$2:$L$505)+SUMIF(Mercado_Receita!$S$2:$S$505,"44531B4ConvencionalIluminação públicaIluminação pública – B4aNão se aplicaNão se aplicaIntermediário",Mercado_Receita!$L$2:$L$505)+SUMIF(Mercado_Receita!$S$2:$S$505,"44531B4ConvencionalIluminação públicaIluminação pública – B4aNão se aplicaNão se aplicaNão se aplica",Mercado_Receita!$L$2:$L$505)</f>
        <v>747.09400000000005</v>
      </c>
      <c r="M51" s="13">
        <f>SUMIF(Mercado_Receita!$S$2:$S$505,"44562B4ConvencionalIluminação públicaIluminação pública – B4aNão se aplicaNão se aplicaPonta",Mercado_Receita!$L$2:$L$505)+SUMIF(Mercado_Receita!$S$2:$S$505,"44562B4ConvencionalIluminação públicaIluminação pública – B4aNão se aplicaNão se aplicaFora ponta",Mercado_Receita!$L$2:$L$505)+SUMIF(Mercado_Receita!$S$2:$S$505,"44562B4ConvencionalIluminação públicaIluminação pública – B4aNão se aplicaNão se aplicaIntermediário",Mercado_Receita!$L$2:$L$505)+SUMIF(Mercado_Receita!$S$2:$S$505,"44562B4ConvencionalIluminação públicaIluminação pública – B4aNão se aplicaNão se aplicaNão se aplica",Mercado_Receita!$L$2:$L$505)</f>
        <v>766.45399999999995</v>
      </c>
      <c r="N51" s="13">
        <f>SUMIF(Mercado_Receita!$S$2:$S$505,"44593B4ConvencionalIluminação públicaIluminação pública – B4aNão se aplicaNão se aplicaPonta",Mercado_Receita!$L$2:$L$505)+SUMIF(Mercado_Receita!$S$2:$S$505,"44593B4ConvencionalIluminação públicaIluminação pública – B4aNão se aplicaNão se aplicaFora ponta",Mercado_Receita!$L$2:$L$505)+SUMIF(Mercado_Receita!$S$2:$S$505,"44593B4ConvencionalIluminação públicaIluminação pública – B4aNão se aplicaNão se aplicaIntermediário",Mercado_Receita!$L$2:$L$505)+SUMIF(Mercado_Receita!$S$2:$S$505,"44593B4ConvencionalIluminação públicaIluminação pública – B4aNão se aplicaNão se aplicaNão se aplica",Mercado_Receita!$L$2:$L$505)</f>
        <v>738.93299999999999</v>
      </c>
      <c r="O51" s="13">
        <f>SUMIF(Mercado_Receita!$S$2:$S$505,"44621B4ConvencionalIluminação públicaIluminação pública – B4aNão se aplicaNão se aplicaPonta",Mercado_Receita!$L$2:$L$505)+SUMIF(Mercado_Receita!$S$2:$S$505,"44621B4ConvencionalIluminação públicaIluminação pública – B4aNão se aplicaNão se aplicaFora ponta",Mercado_Receita!$L$2:$L$505)+SUMIF(Mercado_Receita!$S$2:$S$505,"44621B4ConvencionalIluminação públicaIluminação pública – B4aNão se aplicaNão se aplicaIntermediário",Mercado_Receita!$L$2:$L$505)+SUMIF(Mercado_Receita!$S$2:$S$505,"44621B4ConvencionalIluminação públicaIluminação pública – B4aNão se aplicaNão se aplicaNão se aplica",Mercado_Receita!$L$2:$L$505)</f>
        <v>880.73500000000001</v>
      </c>
      <c r="P51" s="13">
        <f>SUMIF(Mercado_Receita!$S$2:$S$505,"44652B4ConvencionalIluminação públicaIluminação pública – B4aNão se aplicaNão se aplicaPonta",Mercado_Receita!$L$2:$L$505)+SUMIF(Mercado_Receita!$S$2:$S$505,"44652B4ConvencionalIluminação públicaIluminação pública – B4aNão se aplicaNão se aplicaFora ponta",Mercado_Receita!$L$2:$L$505)+SUMIF(Mercado_Receita!$S$2:$S$505,"44652B4ConvencionalIluminação públicaIluminação pública – B4aNão se aplicaNão se aplicaIntermediário",Mercado_Receita!$L$2:$L$505)+SUMIF(Mercado_Receita!$S$2:$S$505,"44652B4ConvencionalIluminação públicaIluminação pública – B4aNão se aplicaNão se aplicaNão se aplica",Mercado_Receita!$L$2:$L$505)</f>
        <v>916.23199999999997</v>
      </c>
      <c r="Q51" s="13">
        <f>SUMIF(Mercado_Receita!$S$2:$S$505,"44682B4ConvencionalIluminação públicaIluminação pública – B4aNão se aplicaNão se aplicaPonta",Mercado_Receita!$L$2:$L$505)+SUMIF(Mercado_Receita!$S$2:$S$505,"44682B4ConvencionalIluminação públicaIluminação pública – B4aNão se aplicaNão se aplicaFora ponta",Mercado_Receita!$L$2:$L$505)+SUMIF(Mercado_Receita!$S$2:$S$505,"44682B4ConvencionalIluminação públicaIluminação pública – B4aNão se aplicaNão se aplicaIntermediário",Mercado_Receita!$L$2:$L$505)+SUMIF(Mercado_Receita!$S$2:$S$505,"44682B4ConvencionalIluminação públicaIluminação pública – B4aNão se aplicaNão se aplicaNão se aplica",Mercado_Receita!$L$2:$L$505)</f>
        <v>1000.045</v>
      </c>
      <c r="R51" s="13">
        <f>SUMIF(Mercado_Receita!$S$2:$S$505,"44713B4ConvencionalIluminação públicaIluminação pública – B4aNão se aplicaNão se aplicaPonta",Mercado_Receita!$L$2:$L$505)+SUMIF(Mercado_Receita!$S$2:$S$505,"44713B4ConvencionalIluminação públicaIluminação pública – B4aNão se aplicaNão se aplicaFora ponta",Mercado_Receita!$L$2:$L$505)+SUMIF(Mercado_Receita!$S$2:$S$505,"44713B4ConvencionalIluminação públicaIluminação pública – B4aNão se aplicaNão se aplicaIntermediário",Mercado_Receita!$L$2:$L$505)+SUMIF(Mercado_Receita!$S$2:$S$505,"44713B4ConvencionalIluminação públicaIluminação pública – B4aNão se aplicaNão se aplicaNão se aplica",Mercado_Receita!$L$2:$L$505)</f>
        <v>993.78499999999997</v>
      </c>
      <c r="S51" s="13">
        <f>SUMIF(Mercado_Receita!$S$2:$S$505,"44743B4ConvencionalIluminação públicaIluminação pública – B4aNão se aplicaNão se aplicaPonta",Mercado_Receita!$L$2:$L$505)+SUMIF(Mercado_Receita!$S$2:$S$505,"44743B4ConvencionalIluminação públicaIluminação pública – B4aNão se aplicaNão se aplicaFora ponta",Mercado_Receita!$L$2:$L$505)+SUMIF(Mercado_Receita!$S$2:$S$505,"44743B4ConvencionalIluminação públicaIluminação pública – B4aNão se aplicaNão se aplicaIntermediário",Mercado_Receita!$L$2:$L$505)+SUMIF(Mercado_Receita!$S$2:$S$505,"44743B4ConvencionalIluminação públicaIluminação pública – B4aNão se aplicaNão se aplicaNão se aplica",Mercado_Receita!$L$2:$L$505)</f>
        <v>1011.848</v>
      </c>
      <c r="T51" s="13">
        <f>SUMIF(Mercado_Receita!$S$2:$S$505,"44774B4ConvencionalIluminação públicaIluminação pública – B4aNão se aplicaNão se aplicaPonta",Mercado_Receita!$L$2:$L$505)+SUMIF(Mercado_Receita!$S$2:$S$505,"44774B4ConvencionalIluminação públicaIluminação pública – B4aNão se aplicaNão se aplicaFora ponta",Mercado_Receita!$L$2:$L$505)+SUMIF(Mercado_Receita!$S$2:$S$505,"44774B4ConvencionalIluminação públicaIluminação pública – B4aNão se aplicaNão se aplicaIntermediário",Mercado_Receita!$L$2:$L$505)+SUMIF(Mercado_Receita!$S$2:$S$505,"44774B4ConvencionalIluminação públicaIluminação pública – B4aNão se aplicaNão se aplicaNão se aplica",Mercado_Receita!$L$2:$L$505)</f>
        <v>1011.848</v>
      </c>
      <c r="U51" s="13">
        <f t="shared" si="1"/>
        <v>10480.718000000001</v>
      </c>
      <c r="V51" s="13"/>
      <c r="W51" s="13"/>
    </row>
    <row r="52" spans="1:23" ht="11.25" customHeight="1" x14ac:dyDescent="0.25">
      <c r="A52" s="77"/>
      <c r="B52" s="77"/>
      <c r="C52" s="77"/>
      <c r="D52" s="13" t="s">
        <v>92</v>
      </c>
      <c r="E52" s="13" t="s">
        <v>25</v>
      </c>
      <c r="F52" s="13" t="s">
        <v>25</v>
      </c>
      <c r="G52" s="13" t="s">
        <v>80</v>
      </c>
      <c r="H52" s="13" t="s">
        <v>74</v>
      </c>
      <c r="I52" s="13">
        <f>SUMIF(Mercado_Receita!$S$2:$S$505,"44440B4ConvencionalIluminação públicaIluminação pública – B4bNão se aplicaNão se aplicaPonta",Mercado_Receita!$L$2:$L$505)+SUMIF(Mercado_Receita!$S$2:$S$505,"44440B4ConvencionalIluminação públicaIluminação pública – B4bNão se aplicaNão se aplicaFora ponta",Mercado_Receita!$L$2:$L$505)+SUMIF(Mercado_Receita!$S$2:$S$505,"44440B4ConvencionalIluminação públicaIluminação pública – B4bNão se aplicaNão se aplicaIntermediário",Mercado_Receita!$L$2:$L$505)+SUMIF(Mercado_Receita!$S$2:$S$505,"44440B4ConvencionalIluminação públicaIluminação pública – B4bNão se aplicaNão se aplicaNão se aplica",Mercado_Receita!$L$2:$L$505)</f>
        <v>0</v>
      </c>
      <c r="J52" s="13">
        <f>SUMIF(Mercado_Receita!$S$2:$S$505,"44470B4ConvencionalIluminação públicaIluminação pública – B4bNão se aplicaNão se aplicaPonta",Mercado_Receita!$L$2:$L$505)+SUMIF(Mercado_Receita!$S$2:$S$505,"44470B4ConvencionalIluminação públicaIluminação pública – B4bNão se aplicaNão se aplicaFora ponta",Mercado_Receita!$L$2:$L$505)+SUMIF(Mercado_Receita!$S$2:$S$505,"44470B4ConvencionalIluminação públicaIluminação pública – B4bNão se aplicaNão se aplicaIntermediário",Mercado_Receita!$L$2:$L$505)+SUMIF(Mercado_Receita!$S$2:$S$505,"44470B4ConvencionalIluminação públicaIluminação pública – B4bNão se aplicaNão se aplicaNão se aplica",Mercado_Receita!$L$2:$L$505)</f>
        <v>0</v>
      </c>
      <c r="K52" s="13">
        <f>SUMIF(Mercado_Receita!$S$2:$S$505,"44501B4ConvencionalIluminação públicaIluminação pública – B4bNão se aplicaNão se aplicaPonta",Mercado_Receita!$L$2:$L$505)+SUMIF(Mercado_Receita!$S$2:$S$505,"44501B4ConvencionalIluminação públicaIluminação pública – B4bNão se aplicaNão se aplicaFora ponta",Mercado_Receita!$L$2:$L$505)+SUMIF(Mercado_Receita!$S$2:$S$505,"44501B4ConvencionalIluminação públicaIluminação pública – B4bNão se aplicaNão se aplicaIntermediário",Mercado_Receita!$L$2:$L$505)+SUMIF(Mercado_Receita!$S$2:$S$505,"44501B4ConvencionalIluminação públicaIluminação pública – B4bNão se aplicaNão se aplicaNão se aplica",Mercado_Receita!$L$2:$L$505)</f>
        <v>0</v>
      </c>
      <c r="L52" s="13">
        <f>SUMIF(Mercado_Receita!$S$2:$S$505,"44531B4ConvencionalIluminação públicaIluminação pública – B4bNão se aplicaNão se aplicaPonta",Mercado_Receita!$L$2:$L$505)+SUMIF(Mercado_Receita!$S$2:$S$505,"44531B4ConvencionalIluminação públicaIluminação pública – B4bNão se aplicaNão se aplicaFora ponta",Mercado_Receita!$L$2:$L$505)+SUMIF(Mercado_Receita!$S$2:$S$505,"44531B4ConvencionalIluminação públicaIluminação pública – B4bNão se aplicaNão se aplicaIntermediário",Mercado_Receita!$L$2:$L$505)+SUMIF(Mercado_Receita!$S$2:$S$505,"44531B4ConvencionalIluminação públicaIluminação pública – B4bNão se aplicaNão se aplicaNão se aplica",Mercado_Receita!$L$2:$L$505)</f>
        <v>0</v>
      </c>
      <c r="M52" s="13">
        <f>SUMIF(Mercado_Receita!$S$2:$S$505,"44562B4ConvencionalIluminação públicaIluminação pública – B4bNão se aplicaNão se aplicaPonta",Mercado_Receita!$L$2:$L$505)+SUMIF(Mercado_Receita!$S$2:$S$505,"44562B4ConvencionalIluminação públicaIluminação pública – B4bNão se aplicaNão se aplicaFora ponta",Mercado_Receita!$L$2:$L$505)+SUMIF(Mercado_Receita!$S$2:$S$505,"44562B4ConvencionalIluminação públicaIluminação pública – B4bNão se aplicaNão se aplicaIntermediário",Mercado_Receita!$L$2:$L$505)+SUMIF(Mercado_Receita!$S$2:$S$505,"44562B4ConvencionalIluminação públicaIluminação pública – B4bNão se aplicaNão se aplicaNão se aplica",Mercado_Receita!$L$2:$L$505)</f>
        <v>0</v>
      </c>
      <c r="N52" s="13">
        <f>SUMIF(Mercado_Receita!$S$2:$S$505,"44593B4ConvencionalIluminação públicaIluminação pública – B4bNão se aplicaNão se aplicaPonta",Mercado_Receita!$L$2:$L$505)+SUMIF(Mercado_Receita!$S$2:$S$505,"44593B4ConvencionalIluminação públicaIluminação pública – B4bNão se aplicaNão se aplicaFora ponta",Mercado_Receita!$L$2:$L$505)+SUMIF(Mercado_Receita!$S$2:$S$505,"44593B4ConvencionalIluminação públicaIluminação pública – B4bNão se aplicaNão se aplicaIntermediário",Mercado_Receita!$L$2:$L$505)+SUMIF(Mercado_Receita!$S$2:$S$505,"44593B4ConvencionalIluminação públicaIluminação pública – B4bNão se aplicaNão se aplicaNão se aplica",Mercado_Receita!$L$2:$L$505)</f>
        <v>0</v>
      </c>
      <c r="O52" s="13">
        <f>SUMIF(Mercado_Receita!$S$2:$S$505,"44621B4ConvencionalIluminação públicaIluminação pública – B4bNão se aplicaNão se aplicaPonta",Mercado_Receita!$L$2:$L$505)+SUMIF(Mercado_Receita!$S$2:$S$505,"44621B4ConvencionalIluminação públicaIluminação pública – B4bNão se aplicaNão se aplicaFora ponta",Mercado_Receita!$L$2:$L$505)+SUMIF(Mercado_Receita!$S$2:$S$505,"44621B4ConvencionalIluminação públicaIluminação pública – B4bNão se aplicaNão se aplicaIntermediário",Mercado_Receita!$L$2:$L$505)+SUMIF(Mercado_Receita!$S$2:$S$505,"44621B4ConvencionalIluminação públicaIluminação pública – B4bNão se aplicaNão se aplicaNão se aplica",Mercado_Receita!$L$2:$L$505)</f>
        <v>0</v>
      </c>
      <c r="P52" s="13">
        <f>SUMIF(Mercado_Receita!$S$2:$S$505,"44652B4ConvencionalIluminação públicaIluminação pública – B4bNão se aplicaNão se aplicaPonta",Mercado_Receita!$L$2:$L$505)+SUMIF(Mercado_Receita!$S$2:$S$505,"44652B4ConvencionalIluminação públicaIluminação pública – B4bNão se aplicaNão se aplicaFora ponta",Mercado_Receita!$L$2:$L$505)+SUMIF(Mercado_Receita!$S$2:$S$505,"44652B4ConvencionalIluminação públicaIluminação pública – B4bNão se aplicaNão se aplicaIntermediário",Mercado_Receita!$L$2:$L$505)+SUMIF(Mercado_Receita!$S$2:$S$505,"44652B4ConvencionalIluminação públicaIluminação pública – B4bNão se aplicaNão se aplicaNão se aplica",Mercado_Receita!$L$2:$L$505)</f>
        <v>0</v>
      </c>
      <c r="Q52" s="13">
        <f>SUMIF(Mercado_Receita!$S$2:$S$505,"44682B4ConvencionalIluminação públicaIluminação pública – B4bNão se aplicaNão se aplicaPonta",Mercado_Receita!$L$2:$L$505)+SUMIF(Mercado_Receita!$S$2:$S$505,"44682B4ConvencionalIluminação públicaIluminação pública – B4bNão se aplicaNão se aplicaFora ponta",Mercado_Receita!$L$2:$L$505)+SUMIF(Mercado_Receita!$S$2:$S$505,"44682B4ConvencionalIluminação públicaIluminação pública – B4bNão se aplicaNão se aplicaIntermediário",Mercado_Receita!$L$2:$L$505)+SUMIF(Mercado_Receita!$S$2:$S$505,"44682B4ConvencionalIluminação públicaIluminação pública – B4bNão se aplicaNão se aplicaNão se aplica",Mercado_Receita!$L$2:$L$505)</f>
        <v>0</v>
      </c>
      <c r="R52" s="13">
        <f>SUMIF(Mercado_Receita!$S$2:$S$505,"44713B4ConvencionalIluminação públicaIluminação pública – B4bNão se aplicaNão se aplicaPonta",Mercado_Receita!$L$2:$L$505)+SUMIF(Mercado_Receita!$S$2:$S$505,"44713B4ConvencionalIluminação públicaIluminação pública – B4bNão se aplicaNão se aplicaFora ponta",Mercado_Receita!$L$2:$L$505)+SUMIF(Mercado_Receita!$S$2:$S$505,"44713B4ConvencionalIluminação públicaIluminação pública – B4bNão se aplicaNão se aplicaIntermediário",Mercado_Receita!$L$2:$L$505)+SUMIF(Mercado_Receita!$S$2:$S$505,"44713B4ConvencionalIluminação públicaIluminação pública – B4bNão se aplicaNão se aplicaNão se aplica",Mercado_Receita!$L$2:$L$505)</f>
        <v>0</v>
      </c>
      <c r="S52" s="13">
        <f>SUMIF(Mercado_Receita!$S$2:$S$505,"44743B4ConvencionalIluminação públicaIluminação pública – B4bNão se aplicaNão se aplicaPonta",Mercado_Receita!$L$2:$L$505)+SUMIF(Mercado_Receita!$S$2:$S$505,"44743B4ConvencionalIluminação públicaIluminação pública – B4bNão se aplicaNão se aplicaFora ponta",Mercado_Receita!$L$2:$L$505)+SUMIF(Mercado_Receita!$S$2:$S$505,"44743B4ConvencionalIluminação públicaIluminação pública – B4bNão se aplicaNão se aplicaIntermediário",Mercado_Receita!$L$2:$L$505)+SUMIF(Mercado_Receita!$S$2:$S$505,"44743B4ConvencionalIluminação públicaIluminação pública – B4bNão se aplicaNão se aplicaNão se aplica",Mercado_Receita!$L$2:$L$505)</f>
        <v>0</v>
      </c>
      <c r="T52" s="13">
        <f>SUMIF(Mercado_Receita!$S$2:$S$505,"44774B4ConvencionalIluminação públicaIluminação pública – B4bNão se aplicaNão se aplicaPonta",Mercado_Receita!$L$2:$L$505)+SUMIF(Mercado_Receita!$S$2:$S$505,"44774B4ConvencionalIluminação públicaIluminação pública – B4bNão se aplicaNão se aplicaFora ponta",Mercado_Receita!$L$2:$L$505)+SUMIF(Mercado_Receita!$S$2:$S$505,"44774B4ConvencionalIluminação públicaIluminação pública – B4bNão se aplicaNão se aplicaIntermediário",Mercado_Receita!$L$2:$L$505)+SUMIF(Mercado_Receita!$S$2:$S$505,"44774B4ConvencionalIluminação públicaIluminação pública – B4bNão se aplicaNão se aplicaNão se aplica",Mercado_Receita!$L$2:$L$505)</f>
        <v>0</v>
      </c>
      <c r="U52" s="13">
        <f t="shared" si="1"/>
        <v>0</v>
      </c>
      <c r="V52" s="13"/>
      <c r="W52" s="13"/>
    </row>
    <row r="53" spans="1:23" ht="11.25" customHeight="1" x14ac:dyDescent="0.25">
      <c r="A53" s="78" t="s">
        <v>447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13"/>
      <c r="W53" s="13"/>
    </row>
  </sheetData>
  <mergeCells count="61">
    <mergeCell ref="A2:A5"/>
    <mergeCell ref="F2:F4"/>
    <mergeCell ref="E2:E4"/>
    <mergeCell ref="D2:D5"/>
    <mergeCell ref="C2:C5"/>
    <mergeCell ref="B2:B5"/>
    <mergeCell ref="A6:A15"/>
    <mergeCell ref="F6:F8"/>
    <mergeCell ref="E6:E8"/>
    <mergeCell ref="D6:D9"/>
    <mergeCell ref="C6:C9"/>
    <mergeCell ref="B6:B9"/>
    <mergeCell ref="F11:F13"/>
    <mergeCell ref="E11:E13"/>
    <mergeCell ref="F14:F15"/>
    <mergeCell ref="E14:E15"/>
    <mergeCell ref="D11:D15"/>
    <mergeCell ref="C11:C15"/>
    <mergeCell ref="B11:B15"/>
    <mergeCell ref="D16:D17"/>
    <mergeCell ref="C16:C17"/>
    <mergeCell ref="B16:B17"/>
    <mergeCell ref="A16:A17"/>
    <mergeCell ref="F18:F20"/>
    <mergeCell ref="E18:E20"/>
    <mergeCell ref="D18:D20"/>
    <mergeCell ref="C18:C20"/>
    <mergeCell ref="B18:B20"/>
    <mergeCell ref="F31:F33"/>
    <mergeCell ref="E31:E33"/>
    <mergeCell ref="D31:D33"/>
    <mergeCell ref="C31:C33"/>
    <mergeCell ref="B31:B33"/>
    <mergeCell ref="C21:C25"/>
    <mergeCell ref="B21:B25"/>
    <mergeCell ref="C26:C30"/>
    <mergeCell ref="B26:B30"/>
    <mergeCell ref="A18:A30"/>
    <mergeCell ref="C35:C37"/>
    <mergeCell ref="B35:B37"/>
    <mergeCell ref="F39:F41"/>
    <mergeCell ref="E39:E41"/>
    <mergeCell ref="D39:D41"/>
    <mergeCell ref="C39:C41"/>
    <mergeCell ref="B39:B41"/>
    <mergeCell ref="A51:A52"/>
    <mergeCell ref="B51:B52"/>
    <mergeCell ref="C51:C52"/>
    <mergeCell ref="A53:U53"/>
    <mergeCell ref="C43:C45"/>
    <mergeCell ref="B43:B45"/>
    <mergeCell ref="A31:A45"/>
    <mergeCell ref="F46:F48"/>
    <mergeCell ref="E46:E48"/>
    <mergeCell ref="D46:D48"/>
    <mergeCell ref="C46:C48"/>
    <mergeCell ref="B46:B48"/>
    <mergeCell ref="A46:A50"/>
    <mergeCell ref="F35:F37"/>
    <mergeCell ref="E35:E37"/>
    <mergeCell ref="D35:D3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9C2-F96E-4FB6-8207-3F448FD713BD}">
  <dimension ref="A1:AD41"/>
  <sheetViews>
    <sheetView showGridLines="0" workbookViewId="0">
      <selection sqref="A1:W41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72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73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75</v>
      </c>
      <c r="H2" s="13" t="s">
        <v>74</v>
      </c>
      <c r="I2" s="13">
        <f>SUMIF(Mercado_Receita!$T$2:$T$505,"44440A3Energia horáriaNão se aplicaNão se aplicaNão se aplicaNão se aplicaPonta",Mercado_Receita!$N$2:$N$505)</f>
        <v>98.867000000000004</v>
      </c>
      <c r="J2" s="13">
        <f>SUMIF(Mercado_Receita!$T$2:$T$505,"44470A3Energia horáriaNão se aplicaNão se aplicaNão se aplicaNão se aplicaPonta",Mercado_Receita!$N$2:$N$505)</f>
        <v>88.641000000000005</v>
      </c>
      <c r="K2" s="13">
        <f>SUMIF(Mercado_Receita!$T$2:$T$505,"44501A3Energia horáriaNão se aplicaNão se aplicaNão se aplicaNão se aplicaPonta",Mercado_Receita!$N$2:$N$505)</f>
        <v>101.35</v>
      </c>
      <c r="L2" s="13">
        <f>SUMIF(Mercado_Receita!$T$2:$T$505,"44531A3Energia horáriaNão se aplicaNão se aplicaNão se aplicaNão se aplicaPonta",Mercado_Receita!$N$2:$N$505)</f>
        <v>110.199</v>
      </c>
      <c r="M2" s="13">
        <f>SUMIF(Mercado_Receita!$T$2:$T$505,"44562A3Energia horáriaNão se aplicaNão se aplicaNão se aplicaNão se aplicaPonta",Mercado_Receita!$N$2:$N$505)</f>
        <v>123.512</v>
      </c>
      <c r="N2" s="13">
        <f>SUMIF(Mercado_Receita!$T$2:$T$505,"44593A3Energia horáriaNão se aplicaNão se aplicaNão se aplicaNão se aplicaPonta",Mercado_Receita!$N$2:$N$505)</f>
        <v>122.203</v>
      </c>
      <c r="O2" s="13">
        <f>SUMIF(Mercado_Receita!$T$2:$T$505,"44621A3Energia horáriaNão se aplicaNão se aplicaNão se aplicaNão se aplicaPonta",Mercado_Receita!$N$2:$N$505)</f>
        <v>97.435000000000002</v>
      </c>
      <c r="P2" s="13">
        <f>SUMIF(Mercado_Receita!$T$2:$T$505,"44652A3Energia horáriaNão se aplicaNão se aplicaNão se aplicaNão se aplicaPonta",Mercado_Receita!$N$2:$N$505)</f>
        <v>82.11</v>
      </c>
      <c r="Q2" s="13">
        <f>SUMIF(Mercado_Receita!$T$2:$T$505,"44682A3Energia horáriaNão se aplicaNão se aplicaNão se aplicaNão se aplicaPonta",Mercado_Receita!$N$2:$N$505)</f>
        <v>106.626</v>
      </c>
      <c r="R2" s="13">
        <f>SUMIF(Mercado_Receita!$T$2:$T$505,"44713A3Energia horáriaNão se aplicaNão se aplicaNão se aplicaNão se aplicaPonta",Mercado_Receita!$N$2:$N$505)</f>
        <v>78.682000000000002</v>
      </c>
      <c r="S2" s="13">
        <f>SUMIF(Mercado_Receita!$T$2:$T$505,"44743A3Energia horáriaNão se aplicaNão se aplicaNão se aplicaNão se aplicaPonta",Mercado_Receita!$N$2:$N$505)</f>
        <v>84.813999999999993</v>
      </c>
      <c r="T2" s="13">
        <f>SUMIF(Mercado_Receita!$T$2:$T$505,"44774A3Energia horáriaNão se aplicaNão se aplicaNão se aplicaNão se aplicaPonta",Mercado_Receita!$N$2:$N$505)</f>
        <v>84.813999999999993</v>
      </c>
      <c r="U2" s="13">
        <f t="shared" ref="U2:U40" si="0">SUM(I2:T2)</f>
        <v>1179.2529999999999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76</v>
      </c>
      <c r="H3" s="13" t="s">
        <v>74</v>
      </c>
      <c r="I3" s="13">
        <f>SUMIF(Mercado_Receita!$T$2:$T$505,"44440A3Energia horáriaNão se aplicaNão se aplicaNão se aplicaNão se aplicaFora ponta",Mercado_Receita!$N$2:$N$505)</f>
        <v>1006.154</v>
      </c>
      <c r="J3" s="13">
        <f>SUMIF(Mercado_Receita!$T$2:$T$505,"44470A3Energia horáriaNão se aplicaNão se aplicaNão se aplicaNão se aplicaFora ponta",Mercado_Receita!$N$2:$N$505)</f>
        <v>1003.545</v>
      </c>
      <c r="K3" s="13">
        <f>SUMIF(Mercado_Receita!$T$2:$T$505,"44501A3Energia horáriaNão se aplicaNão se aplicaNão se aplicaNão se aplicaFora ponta",Mercado_Receita!$N$2:$N$505)</f>
        <v>1072.8430000000001</v>
      </c>
      <c r="L3" s="13">
        <f>SUMIF(Mercado_Receita!$T$2:$T$505,"44531A3Energia horáriaNão se aplicaNão se aplicaNão se aplicaNão se aplicaFora ponta",Mercado_Receita!$N$2:$N$505)</f>
        <v>1023.229</v>
      </c>
      <c r="M3" s="13">
        <f>SUMIF(Mercado_Receita!$T$2:$T$505,"44562A3Energia horáriaNão se aplicaNão se aplicaNão se aplicaNão se aplicaFora ponta",Mercado_Receita!$N$2:$N$505)</f>
        <v>1381.9390000000001</v>
      </c>
      <c r="N3" s="13">
        <f>SUMIF(Mercado_Receita!$T$2:$T$505,"44593A3Energia horáriaNão se aplicaNão se aplicaNão se aplicaNão se aplicaFora ponta",Mercado_Receita!$N$2:$N$505)</f>
        <v>1251.78</v>
      </c>
      <c r="O3" s="13">
        <f>SUMIF(Mercado_Receita!$T$2:$T$505,"44621A3Energia horáriaNão se aplicaNão se aplicaNão se aplicaNão se aplicaFora ponta",Mercado_Receita!$N$2:$N$505)</f>
        <v>954.22400000000005</v>
      </c>
      <c r="P3" s="13">
        <f>SUMIF(Mercado_Receita!$T$2:$T$505,"44652A3Energia horáriaNão se aplicaNão se aplicaNão se aplicaNão se aplicaFora ponta",Mercado_Receita!$N$2:$N$505)</f>
        <v>879.77</v>
      </c>
      <c r="Q3" s="13">
        <f>SUMIF(Mercado_Receita!$T$2:$T$505,"44682A3Energia horáriaNão se aplicaNão se aplicaNão se aplicaNão se aplicaFora ponta",Mercado_Receita!$N$2:$N$505)</f>
        <v>1084.095</v>
      </c>
      <c r="R3" s="13">
        <f>SUMIF(Mercado_Receita!$T$2:$T$505,"44713A3Energia horáriaNão se aplicaNão se aplicaNão se aplicaNão se aplicaFora ponta",Mercado_Receita!$N$2:$N$505)</f>
        <v>783.94200000000001</v>
      </c>
      <c r="S3" s="13">
        <f>SUMIF(Mercado_Receita!$T$2:$T$505,"44743A3Energia horáriaNão se aplicaNão se aplicaNão se aplicaNão se aplicaFora ponta",Mercado_Receita!$N$2:$N$505)</f>
        <v>869.30399999999997</v>
      </c>
      <c r="T3" s="13">
        <f>SUMIF(Mercado_Receita!$T$2:$T$505,"44774A3Energia horáriaNão se aplicaNão se aplicaNão se aplicaNão se aplicaFora ponta",Mercado_Receita!$N$2:$N$505)</f>
        <v>869.30399999999997</v>
      </c>
      <c r="U3" s="13">
        <f t="shared" si="0"/>
        <v>12180.129000000001</v>
      </c>
      <c r="V3" s="13"/>
      <c r="W3" s="13"/>
    </row>
    <row r="4" spans="1:30" ht="11.25" customHeight="1" x14ac:dyDescent="0.25">
      <c r="A4" s="76" t="s">
        <v>39</v>
      </c>
      <c r="B4" s="76" t="s">
        <v>73</v>
      </c>
      <c r="C4" s="76" t="s">
        <v>25</v>
      </c>
      <c r="D4" s="76" t="s">
        <v>25</v>
      </c>
      <c r="E4" s="76" t="s">
        <v>25</v>
      </c>
      <c r="F4" s="76" t="s">
        <v>25</v>
      </c>
      <c r="G4" s="13" t="s">
        <v>75</v>
      </c>
      <c r="H4" s="13" t="s">
        <v>74</v>
      </c>
      <c r="I4" s="13">
        <f>SUMIF(Mercado_Receita!$T$2:$T$505,"44440A4Energia horáriaNão se aplicaNão se aplicaNão se aplicaNão se aplicaPonta",Mercado_Receita!$N$2:$N$505)</f>
        <v>1178.748</v>
      </c>
      <c r="J4" s="13">
        <f>SUMIF(Mercado_Receita!$T$2:$T$505,"44470A4Energia horáriaNão se aplicaNão se aplicaNão se aplicaNão se aplicaPonta",Mercado_Receita!$N$2:$N$505)</f>
        <v>1154.7070000000001</v>
      </c>
      <c r="K4" s="13">
        <f>SUMIF(Mercado_Receita!$T$2:$T$505,"44501A4Energia horáriaNão se aplicaNão se aplicaNão se aplicaNão se aplicaPonta",Mercado_Receita!$N$2:$N$505)</f>
        <v>1196.4949999999999</v>
      </c>
      <c r="L4" s="13">
        <f>SUMIF(Mercado_Receita!$T$2:$T$505,"44531A4Energia horáriaNão se aplicaNão se aplicaNão se aplicaNão se aplicaPonta",Mercado_Receita!$N$2:$N$505)</f>
        <v>1246.0260000000001</v>
      </c>
      <c r="M4" s="13">
        <f>SUMIF(Mercado_Receita!$T$2:$T$505,"44562A4Energia horáriaNão se aplicaNão se aplicaNão se aplicaNão se aplicaPonta",Mercado_Receita!$N$2:$N$505)</f>
        <v>1205.4699999999998</v>
      </c>
      <c r="N4" s="13">
        <f>SUMIF(Mercado_Receita!$T$2:$T$505,"44593A4Energia horáriaNão se aplicaNão se aplicaNão se aplicaNão se aplicaPonta",Mercado_Receita!$N$2:$N$505)</f>
        <v>1178.1199999999999</v>
      </c>
      <c r="O4" s="13">
        <f>SUMIF(Mercado_Receita!$T$2:$T$505,"44621A4Energia horáriaNão se aplicaNão se aplicaNão se aplicaNão se aplicaPonta",Mercado_Receita!$N$2:$N$505)</f>
        <v>1299.636</v>
      </c>
      <c r="P4" s="13">
        <f>SUMIF(Mercado_Receita!$T$2:$T$505,"44652A4Energia horáriaNão se aplicaNão se aplicaNão se aplicaNão se aplicaPonta",Mercado_Receita!$N$2:$N$505)</f>
        <v>1122.3900000000001</v>
      </c>
      <c r="Q4" s="13">
        <f>SUMIF(Mercado_Receita!$T$2:$T$505,"44682A4Energia horáriaNão se aplicaNão se aplicaNão se aplicaNão se aplicaPonta",Mercado_Receita!$N$2:$N$505)</f>
        <v>1297.3620000000001</v>
      </c>
      <c r="R4" s="13">
        <f>SUMIF(Mercado_Receita!$T$2:$T$505,"44713A4Energia horáriaNão se aplicaNão se aplicaNão se aplicaNão se aplicaPonta",Mercado_Receita!$N$2:$N$505)</f>
        <v>1243.2729999999999</v>
      </c>
      <c r="S4" s="13">
        <f>SUMIF(Mercado_Receita!$T$2:$T$505,"44743A4Energia horáriaNão se aplicaNão se aplicaNão se aplicaNão se aplicaPonta",Mercado_Receita!$N$2:$N$505)</f>
        <v>1298.386</v>
      </c>
      <c r="T4" s="13">
        <f>SUMIF(Mercado_Receita!$T$2:$T$505,"44774A4Energia horáriaNão se aplicaNão se aplicaNão se aplicaNão se aplicaPonta",Mercado_Receita!$N$2:$N$505)</f>
        <v>1298.386</v>
      </c>
      <c r="U4" s="13">
        <f t="shared" si="0"/>
        <v>14718.998999999998</v>
      </c>
      <c r="V4" s="13"/>
      <c r="W4" s="13"/>
    </row>
    <row r="5" spans="1:30" ht="11.25" customHeight="1" x14ac:dyDescent="0.25">
      <c r="A5" s="77"/>
      <c r="B5" s="77"/>
      <c r="C5" s="77"/>
      <c r="D5" s="77"/>
      <c r="E5" s="77"/>
      <c r="F5" s="77"/>
      <c r="G5" s="13" t="s">
        <v>76</v>
      </c>
      <c r="H5" s="13" t="s">
        <v>74</v>
      </c>
      <c r="I5" s="13">
        <f>SUMIF(Mercado_Receita!$T$2:$T$505,"44440A4Energia horáriaNão se aplicaNão se aplicaNão se aplicaNão se aplicaFora ponta",Mercado_Receita!$N$2:$N$505)</f>
        <v>16443.09</v>
      </c>
      <c r="J5" s="13">
        <f>SUMIF(Mercado_Receita!$T$2:$T$505,"44470A4Energia horáriaNão se aplicaNão se aplicaNão se aplicaNão se aplicaFora ponta",Mercado_Receita!$N$2:$N$505)</f>
        <v>16686.063999999998</v>
      </c>
      <c r="K5" s="13">
        <f>SUMIF(Mercado_Receita!$T$2:$T$505,"44501A4Energia horáriaNão se aplicaNão se aplicaNão se aplicaNão se aplicaFora ponta",Mercado_Receita!$N$2:$N$505)</f>
        <v>16940.782000000003</v>
      </c>
      <c r="L5" s="13">
        <f>SUMIF(Mercado_Receita!$T$2:$T$505,"44531A4Energia horáriaNão se aplicaNão se aplicaNão se aplicaNão se aplicaFora ponta",Mercado_Receita!$N$2:$N$505)</f>
        <v>15957.786</v>
      </c>
      <c r="M5" s="13">
        <f>SUMIF(Mercado_Receita!$T$2:$T$505,"44562A4Energia horáriaNão se aplicaNão se aplicaNão se aplicaNão se aplicaFora ponta",Mercado_Receita!$N$2:$N$505)</f>
        <v>16176.509</v>
      </c>
      <c r="N5" s="13">
        <f>SUMIF(Mercado_Receita!$T$2:$T$505,"44593A4Energia horáriaNão se aplicaNão se aplicaNão se aplicaNão se aplicaFora ponta",Mercado_Receita!$N$2:$N$505)</f>
        <v>16242.919</v>
      </c>
      <c r="O5" s="13">
        <f>SUMIF(Mercado_Receita!$T$2:$T$505,"44621A4Energia horáriaNão se aplicaNão se aplicaNão se aplicaNão se aplicaFora ponta",Mercado_Receita!$N$2:$N$505)</f>
        <v>18648.535</v>
      </c>
      <c r="P5" s="13">
        <f>SUMIF(Mercado_Receita!$T$2:$T$505,"44652A4Energia horáriaNão se aplicaNão se aplicaNão se aplicaNão se aplicaFora ponta",Mercado_Receita!$N$2:$N$505)</f>
        <v>16773.600999999999</v>
      </c>
      <c r="Q5" s="13">
        <f>SUMIF(Mercado_Receita!$T$2:$T$505,"44682A4Energia horáriaNão se aplicaNão se aplicaNão se aplicaNão se aplicaFora ponta",Mercado_Receita!$N$2:$N$505)</f>
        <v>17432.311000000002</v>
      </c>
      <c r="R5" s="13">
        <f>SUMIF(Mercado_Receita!$T$2:$T$505,"44713A4Energia horáriaNão se aplicaNão se aplicaNão se aplicaNão se aplicaFora ponta",Mercado_Receita!$N$2:$N$505)</f>
        <v>16332.891000000001</v>
      </c>
      <c r="S5" s="13">
        <f>SUMIF(Mercado_Receita!$T$2:$T$505,"44743A4Energia horáriaNão se aplicaNão se aplicaNão se aplicaNão se aplicaFora ponta",Mercado_Receita!$N$2:$N$505)</f>
        <v>16555.306</v>
      </c>
      <c r="T5" s="13">
        <f>SUMIF(Mercado_Receita!$T$2:$T$505,"44774A4Energia horáriaNão se aplicaNão se aplicaNão se aplicaNão se aplicaFora ponta",Mercado_Receita!$N$2:$N$505)</f>
        <v>16555.306</v>
      </c>
      <c r="U5" s="13">
        <f t="shared" si="0"/>
        <v>200745.10000000003</v>
      </c>
      <c r="V5" s="13"/>
      <c r="W5" s="13"/>
    </row>
    <row r="6" spans="1:30" ht="11.25" customHeight="1" x14ac:dyDescent="0.25">
      <c r="A6" s="76" t="s">
        <v>22</v>
      </c>
      <c r="B6" s="76" t="s">
        <v>73</v>
      </c>
      <c r="C6" s="76" t="s">
        <v>24</v>
      </c>
      <c r="D6" s="76" t="s">
        <v>24</v>
      </c>
      <c r="E6" s="76" t="s">
        <v>25</v>
      </c>
      <c r="F6" s="76" t="s">
        <v>25</v>
      </c>
      <c r="G6" s="13" t="s">
        <v>75</v>
      </c>
      <c r="H6" s="13" t="s">
        <v>74</v>
      </c>
      <c r="I6" s="13">
        <f>SUMIF(Mercado_Receita!$T$2:$T$505,"44440B1Energia horáriaResidencialResidencialNão se aplicaNão se aplicaPonta",Mercado_Receita!$N$2:$N$505)</f>
        <v>0</v>
      </c>
      <c r="J6" s="13">
        <f>SUMIF(Mercado_Receita!$T$2:$T$505,"44470B1Energia horáriaResidencialResidencialNão se aplicaNão se aplicaPonta",Mercado_Receita!$N$2:$N$505)</f>
        <v>0</v>
      </c>
      <c r="K6" s="13">
        <f>SUMIF(Mercado_Receita!$T$2:$T$505,"44501B1Energia horáriaResidencialResidencialNão se aplicaNão se aplicaPonta",Mercado_Receita!$N$2:$N$505)</f>
        <v>0</v>
      </c>
      <c r="L6" s="13">
        <f>SUMIF(Mercado_Receita!$T$2:$T$505,"44531B1Energia horáriaResidencialResidencialNão se aplicaNão se aplicaPonta",Mercado_Receita!$N$2:$N$505)</f>
        <v>0</v>
      </c>
      <c r="M6" s="13">
        <f>SUMIF(Mercado_Receita!$T$2:$T$505,"44562B1Energia horáriaResidencialResidencialNão se aplicaNão se aplicaPonta",Mercado_Receita!$N$2:$N$505)</f>
        <v>0</v>
      </c>
      <c r="N6" s="13">
        <f>SUMIF(Mercado_Receita!$T$2:$T$505,"44593B1Energia horáriaResidencialResidencialNão se aplicaNão se aplicaPonta",Mercado_Receita!$N$2:$N$505)</f>
        <v>0</v>
      </c>
      <c r="O6" s="13">
        <f>SUMIF(Mercado_Receita!$T$2:$T$505,"44621B1Energia horáriaResidencialResidencialNão se aplicaNão se aplicaPonta",Mercado_Receita!$N$2:$N$505)</f>
        <v>0</v>
      </c>
      <c r="P6" s="13">
        <f>SUMIF(Mercado_Receita!$T$2:$T$505,"44652B1Energia horáriaResidencialResidencialNão se aplicaNão se aplicaPonta",Mercado_Receita!$N$2:$N$505)</f>
        <v>0</v>
      </c>
      <c r="Q6" s="13">
        <f>SUMIF(Mercado_Receita!$T$2:$T$505,"44682B1Energia horáriaResidencialResidencialNão se aplicaNão se aplicaPonta",Mercado_Receita!$N$2:$N$505)</f>
        <v>0.02</v>
      </c>
      <c r="R6" s="13">
        <f>SUMIF(Mercado_Receita!$T$2:$T$505,"44713B1Energia horáriaResidencialResidencialNão se aplicaNão se aplicaPonta",Mercado_Receita!$N$2:$N$505)</f>
        <v>4.5999999999999999E-2</v>
      </c>
      <c r="S6" s="13">
        <f>SUMIF(Mercado_Receita!$T$2:$T$505,"44743B1Energia horáriaResidencialResidencialNão se aplicaNão se aplicaPonta",Mercado_Receita!$N$2:$N$505)</f>
        <v>4.3999999999999997E-2</v>
      </c>
      <c r="T6" s="13">
        <f>SUMIF(Mercado_Receita!$T$2:$T$505,"44774B1Energia horáriaResidencialResidencialNão se aplicaNão se aplicaPonta",Mercado_Receita!$N$2:$N$505)</f>
        <v>4.3999999999999997E-2</v>
      </c>
      <c r="U6" s="13">
        <f t="shared" si="0"/>
        <v>0.154</v>
      </c>
      <c r="V6" s="13"/>
      <c r="W6" s="13"/>
    </row>
    <row r="7" spans="1:30" ht="11.25" customHeight="1" x14ac:dyDescent="0.25">
      <c r="A7" s="77"/>
      <c r="B7" s="77"/>
      <c r="C7" s="77"/>
      <c r="D7" s="77"/>
      <c r="E7" s="77"/>
      <c r="F7" s="77"/>
      <c r="G7" s="13" t="s">
        <v>86</v>
      </c>
      <c r="H7" s="13" t="s">
        <v>74</v>
      </c>
      <c r="I7" s="13">
        <f>SUMIF(Mercado_Receita!$T$2:$T$505,"44440B1Energia horáriaResidencialResidencialNão se aplicaNão se aplicaIntermediário",Mercado_Receita!$N$2:$N$505)</f>
        <v>0</v>
      </c>
      <c r="J7" s="13">
        <f>SUMIF(Mercado_Receita!$T$2:$T$505,"44470B1Energia horáriaResidencialResidencialNão se aplicaNão se aplicaIntermediário",Mercado_Receita!$N$2:$N$505)</f>
        <v>0</v>
      </c>
      <c r="K7" s="13">
        <f>SUMIF(Mercado_Receita!$T$2:$T$505,"44501B1Energia horáriaResidencialResidencialNão se aplicaNão se aplicaIntermediário",Mercado_Receita!$N$2:$N$505)</f>
        <v>0</v>
      </c>
      <c r="L7" s="13">
        <f>SUMIF(Mercado_Receita!$T$2:$T$505,"44531B1Energia horáriaResidencialResidencialNão se aplicaNão se aplicaIntermediário",Mercado_Receita!$N$2:$N$505)</f>
        <v>0</v>
      </c>
      <c r="M7" s="13">
        <f>SUMIF(Mercado_Receita!$T$2:$T$505,"44562B1Energia horáriaResidencialResidencialNão se aplicaNão se aplicaIntermediário",Mercado_Receita!$N$2:$N$505)</f>
        <v>0</v>
      </c>
      <c r="N7" s="13">
        <f>SUMIF(Mercado_Receita!$T$2:$T$505,"44593B1Energia horáriaResidencialResidencialNão se aplicaNão se aplicaIntermediário",Mercado_Receita!$N$2:$N$505)</f>
        <v>0</v>
      </c>
      <c r="O7" s="13">
        <f>SUMIF(Mercado_Receita!$T$2:$T$505,"44621B1Energia horáriaResidencialResidencialNão se aplicaNão se aplicaIntermediário",Mercado_Receita!$N$2:$N$505)</f>
        <v>0</v>
      </c>
      <c r="P7" s="13">
        <f>SUMIF(Mercado_Receita!$T$2:$T$505,"44652B1Energia horáriaResidencialResidencialNão se aplicaNão se aplicaIntermediário",Mercado_Receita!$N$2:$N$505)</f>
        <v>0</v>
      </c>
      <c r="Q7" s="13">
        <f>SUMIF(Mercado_Receita!$T$2:$T$505,"44682B1Energia horáriaResidencialResidencialNão se aplicaNão se aplicaIntermediário",Mercado_Receita!$N$2:$N$505)</f>
        <v>6.0000000000000001E-3</v>
      </c>
      <c r="R7" s="13">
        <f>SUMIF(Mercado_Receita!$T$2:$T$505,"44713B1Energia horáriaResidencialResidencialNão se aplicaNão se aplicaIntermediário",Mercado_Receita!$N$2:$N$505)</f>
        <v>3.2000000000000001E-2</v>
      </c>
      <c r="S7" s="13">
        <f>SUMIF(Mercado_Receita!$T$2:$T$505,"44743B1Energia horáriaResidencialResidencialNão se aplicaNão se aplicaIntermediário",Mercado_Receita!$N$2:$N$505)</f>
        <v>2.4E-2</v>
      </c>
      <c r="T7" s="13">
        <f>SUMIF(Mercado_Receita!$T$2:$T$505,"44774B1Energia horáriaResidencialResidencialNão se aplicaNão se aplicaIntermediário",Mercado_Receita!$N$2:$N$505)</f>
        <v>2.4E-2</v>
      </c>
      <c r="U7" s="13">
        <f t="shared" si="0"/>
        <v>8.5999999999999993E-2</v>
      </c>
      <c r="V7" s="13"/>
      <c r="W7" s="13"/>
    </row>
    <row r="8" spans="1:30" ht="11.25" customHeight="1" x14ac:dyDescent="0.25">
      <c r="A8" s="77"/>
      <c r="B8" s="77"/>
      <c r="C8" s="77"/>
      <c r="D8" s="77"/>
      <c r="E8" s="77"/>
      <c r="F8" s="77"/>
      <c r="G8" s="13" t="s">
        <v>76</v>
      </c>
      <c r="H8" s="13" t="s">
        <v>74</v>
      </c>
      <c r="I8" s="13">
        <f>SUMIF(Mercado_Receita!$T$2:$T$505,"44440B1Energia horáriaResidencialResidencialNão se aplicaNão se aplicaFora ponta",Mercado_Receita!$N$2:$N$505)</f>
        <v>0</v>
      </c>
      <c r="J8" s="13">
        <f>SUMIF(Mercado_Receita!$T$2:$T$505,"44470B1Energia horáriaResidencialResidencialNão se aplicaNão se aplicaFora ponta",Mercado_Receita!$N$2:$N$505)</f>
        <v>0</v>
      </c>
      <c r="K8" s="13">
        <f>SUMIF(Mercado_Receita!$T$2:$T$505,"44501B1Energia horáriaResidencialResidencialNão se aplicaNão se aplicaFora ponta",Mercado_Receita!$N$2:$N$505)</f>
        <v>0</v>
      </c>
      <c r="L8" s="13">
        <f>SUMIF(Mercado_Receita!$T$2:$T$505,"44531B1Energia horáriaResidencialResidencialNão se aplicaNão se aplicaFora ponta",Mercado_Receita!$N$2:$N$505)</f>
        <v>0</v>
      </c>
      <c r="M8" s="13">
        <f>SUMIF(Mercado_Receita!$T$2:$T$505,"44562B1Energia horáriaResidencialResidencialNão se aplicaNão se aplicaFora ponta",Mercado_Receita!$N$2:$N$505)</f>
        <v>0</v>
      </c>
      <c r="N8" s="13">
        <f>SUMIF(Mercado_Receita!$T$2:$T$505,"44593B1Energia horáriaResidencialResidencialNão se aplicaNão se aplicaFora ponta",Mercado_Receita!$N$2:$N$505)</f>
        <v>0</v>
      </c>
      <c r="O8" s="13">
        <f>SUMIF(Mercado_Receita!$T$2:$T$505,"44621B1Energia horáriaResidencialResidencialNão se aplicaNão se aplicaFora ponta",Mercado_Receita!$N$2:$N$505)</f>
        <v>0</v>
      </c>
      <c r="P8" s="13">
        <f>SUMIF(Mercado_Receita!$T$2:$T$505,"44652B1Energia horáriaResidencialResidencialNão se aplicaNão se aplicaFora ponta",Mercado_Receita!$N$2:$N$505)</f>
        <v>0</v>
      </c>
      <c r="Q8" s="13">
        <f>SUMIF(Mercado_Receita!$T$2:$T$505,"44682B1Energia horáriaResidencialResidencialNão se aplicaNão se aplicaFora ponta",Mercado_Receita!$N$2:$N$505)</f>
        <v>0.113</v>
      </c>
      <c r="R8" s="13">
        <f>SUMIF(Mercado_Receita!$T$2:$T$505,"44713B1Energia horáriaResidencialResidencialNão se aplicaNão se aplicaFora ponta",Mercado_Receita!$N$2:$N$505)</f>
        <v>0.35199999999999998</v>
      </c>
      <c r="S8" s="13">
        <f>SUMIF(Mercado_Receita!$T$2:$T$505,"44743B1Energia horáriaResidencialResidencialNão se aplicaNão se aplicaFora ponta",Mercado_Receita!$N$2:$N$505)</f>
        <v>0.24299999999999999</v>
      </c>
      <c r="T8" s="13">
        <f>SUMIF(Mercado_Receita!$T$2:$T$505,"44774B1Energia horáriaResidencialResidencialNão se aplicaNão se aplicaFora ponta",Mercado_Receita!$N$2:$N$505)</f>
        <v>0.24299999999999999</v>
      </c>
      <c r="U8" s="13">
        <f t="shared" si="0"/>
        <v>0.95099999999999996</v>
      </c>
      <c r="V8" s="13"/>
      <c r="W8" s="13"/>
    </row>
    <row r="9" spans="1:30" ht="11.25" customHeight="1" x14ac:dyDescent="0.25">
      <c r="A9" s="77"/>
      <c r="B9" s="76" t="s">
        <v>87</v>
      </c>
      <c r="C9" s="76" t="s">
        <v>24</v>
      </c>
      <c r="D9" s="12" t="s">
        <v>24</v>
      </c>
      <c r="E9" s="12" t="s">
        <v>25</v>
      </c>
      <c r="F9" s="12" t="s">
        <v>25</v>
      </c>
      <c r="G9" s="13" t="s">
        <v>80</v>
      </c>
      <c r="H9" s="13" t="s">
        <v>74</v>
      </c>
      <c r="I9" s="13">
        <f>SUMIF(Mercado_Receita!$T$2:$T$505,"44440B1Energia convencionalResidencialResidencialNão se aplicaNão se aplicaNão se aplica",Mercado_Receita!$N$2:$N$505)</f>
        <v>4612.8760000000002</v>
      </c>
      <c r="J9" s="13">
        <f>SUMIF(Mercado_Receita!$T$2:$T$505,"44470B1Energia convencionalResidencialResidencialNão se aplicaNão se aplicaNão se aplica",Mercado_Receita!$N$2:$N$505)</f>
        <v>4525.2919999999995</v>
      </c>
      <c r="K9" s="13">
        <f>SUMIF(Mercado_Receita!$T$2:$T$505,"44501B1Energia convencionalResidencialResidencialNão se aplicaNão se aplicaNão se aplica",Mercado_Receita!$N$2:$N$505)</f>
        <v>4393.5640000000003</v>
      </c>
      <c r="L9" s="13">
        <f>SUMIF(Mercado_Receita!$T$2:$T$505,"44531B1Energia convencionalResidencialResidencialNão se aplicaNão se aplicaNão se aplica",Mercado_Receita!$N$2:$N$505)</f>
        <v>4595.4199999999992</v>
      </c>
      <c r="M9" s="13">
        <f>SUMIF(Mercado_Receita!$T$2:$T$505,"44562B1Energia convencionalResidencialResidencialNão se aplicaNão se aplicaNão se aplica",Mercado_Receita!$N$2:$N$505)</f>
        <v>5805.1419999999998</v>
      </c>
      <c r="N9" s="13">
        <f>SUMIF(Mercado_Receita!$T$2:$T$505,"44593B1Energia convencionalResidencialResidencialNão se aplicaNão se aplicaNão se aplica",Mercado_Receita!$N$2:$N$505)</f>
        <v>6093.8149999999996</v>
      </c>
      <c r="O9" s="13">
        <f>SUMIF(Mercado_Receita!$T$2:$T$505,"44621B1Energia convencionalResidencialResidencialNão se aplicaNão se aplicaNão se aplica",Mercado_Receita!$N$2:$N$505)</f>
        <v>5641.8530000000001</v>
      </c>
      <c r="P9" s="13">
        <f>SUMIF(Mercado_Receita!$T$2:$T$505,"44652B1Energia convencionalResidencialResidencialNão se aplicaNão se aplicaNão se aplica",Mercado_Receita!$N$2:$N$505)</f>
        <v>4760.0790000000006</v>
      </c>
      <c r="Q9" s="13">
        <f>SUMIF(Mercado_Receita!$T$2:$T$505,"44682B1Energia convencionalResidencialResidencialNão se aplicaNão se aplicaNão se aplica",Mercado_Receita!$N$2:$N$505)</f>
        <v>4270.5949999999993</v>
      </c>
      <c r="R9" s="13">
        <f>SUMIF(Mercado_Receita!$T$2:$T$505,"44713B1Energia convencionalResidencialResidencialNão se aplicaNão se aplicaNão se aplica",Mercado_Receita!$N$2:$N$505)</f>
        <v>4558.3890000000001</v>
      </c>
      <c r="S9" s="13">
        <f>SUMIF(Mercado_Receita!$T$2:$T$505,"44743B1Energia convencionalResidencialResidencialNão se aplicaNão se aplicaNão se aplica",Mercado_Receita!$N$2:$N$505)</f>
        <v>4642.7289999999994</v>
      </c>
      <c r="T9" s="13">
        <f>SUMIF(Mercado_Receita!$T$2:$T$505,"44774B1Energia convencionalResidencialResidencialNão se aplicaNão se aplicaNão se aplica",Mercado_Receita!$N$2:$N$505)</f>
        <v>4642.7289999999994</v>
      </c>
      <c r="U9" s="13">
        <f t="shared" si="0"/>
        <v>58542.483</v>
      </c>
      <c r="V9" s="13"/>
      <c r="W9" s="13"/>
    </row>
    <row r="10" spans="1:30" ht="11.25" customHeight="1" x14ac:dyDescent="0.25">
      <c r="A10" s="77"/>
      <c r="B10" s="77"/>
      <c r="C10" s="77"/>
      <c r="D10" s="12" t="s">
        <v>29</v>
      </c>
      <c r="E10" s="12" t="s">
        <v>25</v>
      </c>
      <c r="F10" s="12" t="s">
        <v>25</v>
      </c>
      <c r="G10" s="13" t="s">
        <v>80</v>
      </c>
      <c r="H10" s="13" t="s">
        <v>74</v>
      </c>
      <c r="I10" s="13">
        <f>SUMIF(Mercado_Receita!$T$2:$T$505,"44440B1Energia convencionalResidencialResidencial baixa renda – faixa 01Não se aplicaNão se aplicaNão se aplica",Mercado_Receita!$N$2:$N$505)</f>
        <v>12.63</v>
      </c>
      <c r="J10" s="13">
        <f>SUMIF(Mercado_Receita!$T$2:$T$505,"44470B1Energia convencionalResidencialResidencial baixa renda – faixa 01Não se aplicaNão se aplicaNão se aplica",Mercado_Receita!$N$2:$N$505)</f>
        <v>12.9</v>
      </c>
      <c r="K10" s="13">
        <f>SUMIF(Mercado_Receita!$T$2:$T$505,"44501B1Energia convencionalResidencialResidencial baixa renda – faixa 01Não se aplicaNão se aplicaNão se aplica",Mercado_Receita!$N$2:$N$505)</f>
        <v>13.145</v>
      </c>
      <c r="L10" s="13">
        <f>SUMIF(Mercado_Receita!$T$2:$T$505,"44531B1Energia convencionalResidencialResidencial baixa renda – faixa 01Não se aplicaNão se aplicaNão se aplica",Mercado_Receita!$N$2:$N$505)</f>
        <v>13.44</v>
      </c>
      <c r="M10" s="13">
        <f>SUMIF(Mercado_Receita!$T$2:$T$505,"44562B1Energia convencionalResidencialResidencial baixa renda – faixa 01Não se aplicaNão se aplicaNão se aplica",Mercado_Receita!$N$2:$N$505)</f>
        <v>13.53</v>
      </c>
      <c r="N10" s="13">
        <f>SUMIF(Mercado_Receita!$T$2:$T$505,"44593B1Energia convencionalResidencialResidencial baixa renda – faixa 01Não se aplicaNão se aplicaNão se aplica",Mercado_Receita!$N$2:$N$505)</f>
        <v>14.97</v>
      </c>
      <c r="O10" s="13">
        <f>SUMIF(Mercado_Receita!$T$2:$T$505,"44621B1Energia convencionalResidencialResidencial baixa renda – faixa 01Não se aplicaNão se aplicaNão se aplica",Mercado_Receita!$N$2:$N$505)</f>
        <v>19.440000000000001</v>
      </c>
      <c r="P10" s="13">
        <f>SUMIF(Mercado_Receita!$T$2:$T$505,"44652B1Energia convencionalResidencialResidencial baixa renda – faixa 01Não se aplicaNão se aplicaNão se aplica",Mercado_Receita!$N$2:$N$505)</f>
        <v>21.99</v>
      </c>
      <c r="Q10" s="13">
        <f>SUMIF(Mercado_Receita!$T$2:$T$505,"44682B1Energia convencionalResidencialResidencial baixa renda – faixa 01Não se aplicaNão se aplicaNão se aplica",Mercado_Receita!$N$2:$N$505)</f>
        <v>22.77</v>
      </c>
      <c r="R10" s="13">
        <f>SUMIF(Mercado_Receita!$T$2:$T$505,"44713B1Energia convencionalResidencialResidencial baixa renda – faixa 01Não se aplicaNão se aplicaNão se aplica",Mercado_Receita!$N$2:$N$505)</f>
        <v>22.44</v>
      </c>
      <c r="S10" s="13">
        <f>SUMIF(Mercado_Receita!$T$2:$T$505,"44743B1Energia convencionalResidencialResidencial baixa renda – faixa 01Não se aplicaNão se aplicaNão se aplica",Mercado_Receita!$N$2:$N$505)</f>
        <v>21.09</v>
      </c>
      <c r="T10" s="13">
        <f>SUMIF(Mercado_Receita!$T$2:$T$505,"44774B1Energia convencionalResidencialResidencial baixa renda – faixa 01Não se aplicaNão se aplicaNão se aplica",Mercado_Receita!$N$2:$N$505)</f>
        <v>21.09</v>
      </c>
      <c r="U10" s="13">
        <f t="shared" si="0"/>
        <v>209.435</v>
      </c>
      <c r="V10" s="13"/>
      <c r="W10" s="13"/>
    </row>
    <row r="11" spans="1:30" ht="11.25" customHeight="1" x14ac:dyDescent="0.25">
      <c r="A11" s="77"/>
      <c r="B11" s="77"/>
      <c r="C11" s="77"/>
      <c r="D11" s="12" t="s">
        <v>30</v>
      </c>
      <c r="E11" s="12" t="s">
        <v>25</v>
      </c>
      <c r="F11" s="12" t="s">
        <v>25</v>
      </c>
      <c r="G11" s="13" t="s">
        <v>80</v>
      </c>
      <c r="H11" s="13" t="s">
        <v>74</v>
      </c>
      <c r="I11" s="13">
        <f>SUMIF(Mercado_Receita!$T$2:$T$505,"44440B1Energia convencionalResidencialResidencial baixa renda – faixa 02Não se aplicaNão se aplicaNão se aplica",Mercado_Receita!$N$2:$N$505)</f>
        <v>27.273</v>
      </c>
      <c r="J11" s="13">
        <f>SUMIF(Mercado_Receita!$T$2:$T$505,"44470B1Energia convencionalResidencialResidencial baixa renda – faixa 02Não se aplicaNão se aplicaNão se aplica",Mercado_Receita!$N$2:$N$505)</f>
        <v>27.638999999999999</v>
      </c>
      <c r="K11" s="13">
        <f>SUMIF(Mercado_Receita!$T$2:$T$505,"44501B1Energia convencionalResidencialResidencial baixa renda – faixa 02Não se aplicaNão se aplicaNão se aplica",Mercado_Receita!$N$2:$N$505)</f>
        <v>28.382000000000001</v>
      </c>
      <c r="L11" s="13">
        <f>SUMIF(Mercado_Receita!$T$2:$T$505,"44531B1Energia convencionalResidencialResidencial baixa renda – faixa 02Não se aplicaNão se aplicaNão se aplica",Mercado_Receita!$N$2:$N$505)</f>
        <v>28.824999999999999</v>
      </c>
      <c r="M11" s="13">
        <f>SUMIF(Mercado_Receita!$T$2:$T$505,"44562B1Energia convencionalResidencialResidencial baixa renda – faixa 02Não se aplicaNão se aplicaNão se aplica",Mercado_Receita!$N$2:$N$505)</f>
        <v>29.748000000000001</v>
      </c>
      <c r="N11" s="13">
        <f>SUMIF(Mercado_Receita!$T$2:$T$505,"44593B1Energia convencionalResidencialResidencial baixa renda – faixa 02Não se aplicaNão se aplicaNão se aplica",Mercado_Receita!$N$2:$N$505)</f>
        <v>33.079000000000001</v>
      </c>
      <c r="O11" s="13">
        <f>SUMIF(Mercado_Receita!$T$2:$T$505,"44621B1Energia convencionalResidencialResidencial baixa renda – faixa 02Não se aplicaNão se aplicaNão se aplica",Mercado_Receita!$N$2:$N$505)</f>
        <v>42.780999999999999</v>
      </c>
      <c r="P11" s="13">
        <f>SUMIF(Mercado_Receita!$T$2:$T$505,"44652B1Energia convencionalResidencialResidencial baixa renda – faixa 02Não se aplicaNão se aplicaNão se aplica",Mercado_Receita!$N$2:$N$505)</f>
        <v>47.735999999999997</v>
      </c>
      <c r="Q11" s="13">
        <f>SUMIF(Mercado_Receita!$T$2:$T$505,"44682B1Energia convencionalResidencialResidencial baixa renda – faixa 02Não se aplicaNão se aplicaNão se aplica",Mercado_Receita!$N$2:$N$505)</f>
        <v>48.088000000000001</v>
      </c>
      <c r="R11" s="13">
        <f>SUMIF(Mercado_Receita!$T$2:$T$505,"44713B1Energia convencionalResidencialResidencial baixa renda – faixa 02Não se aplicaNão se aplicaNão se aplica",Mercado_Receita!$N$2:$N$505)</f>
        <v>47.252000000000002</v>
      </c>
      <c r="S11" s="13">
        <f>SUMIF(Mercado_Receita!$T$2:$T$505,"44743B1Energia convencionalResidencialResidencial baixa renda – faixa 02Não se aplicaNão se aplicaNão se aplica",Mercado_Receita!$N$2:$N$505)</f>
        <v>44.747999999999998</v>
      </c>
      <c r="T11" s="13">
        <f>SUMIF(Mercado_Receita!$T$2:$T$505,"44774B1Energia convencionalResidencialResidencial baixa renda – faixa 02Não se aplicaNão se aplicaNão se aplica",Mercado_Receita!$N$2:$N$505)</f>
        <v>44.747999999999998</v>
      </c>
      <c r="U11" s="13">
        <f t="shared" si="0"/>
        <v>450.29900000000004</v>
      </c>
      <c r="V11" s="13"/>
      <c r="W11" s="13"/>
    </row>
    <row r="12" spans="1:30" ht="11.25" customHeight="1" x14ac:dyDescent="0.25">
      <c r="A12" s="77"/>
      <c r="B12" s="77"/>
      <c r="C12" s="77"/>
      <c r="D12" s="12" t="s">
        <v>31</v>
      </c>
      <c r="E12" s="12" t="s">
        <v>25</v>
      </c>
      <c r="F12" s="12" t="s">
        <v>25</v>
      </c>
      <c r="G12" s="13" t="s">
        <v>80</v>
      </c>
      <c r="H12" s="13" t="s">
        <v>74</v>
      </c>
      <c r="I12" s="13">
        <f>SUMIF(Mercado_Receita!$T$2:$T$505,"44440B1Energia convencionalResidencialResidencial baixa renda – faixa 03Não se aplicaNão se aplicaNão se aplica",Mercado_Receita!$N$2:$N$505)</f>
        <v>31.975999999999999</v>
      </c>
      <c r="J12" s="13">
        <f>SUMIF(Mercado_Receita!$T$2:$T$505,"44470B1Energia convencionalResidencialResidencial baixa renda – faixa 03Não se aplicaNão se aplicaNão se aplica",Mercado_Receita!$N$2:$N$505)</f>
        <v>32.045999999999999</v>
      </c>
      <c r="K12" s="13">
        <f>SUMIF(Mercado_Receita!$T$2:$T$505,"44501B1Energia convencionalResidencialResidencial baixa renda – faixa 03Não se aplicaNão se aplicaNão se aplica",Mercado_Receita!$N$2:$N$505)</f>
        <v>32.201000000000001</v>
      </c>
      <c r="L12" s="13">
        <f>SUMIF(Mercado_Receita!$T$2:$T$505,"44531B1Energia convencionalResidencialResidencial baixa renda – faixa 03Não se aplicaNão se aplicaNão se aplica",Mercado_Receita!$N$2:$N$505)</f>
        <v>33.396999999999998</v>
      </c>
      <c r="M12" s="13">
        <f>SUMIF(Mercado_Receita!$T$2:$T$505,"44562B1Energia convencionalResidencialResidencial baixa renda – faixa 03Não se aplicaNão se aplicaNão se aplica",Mercado_Receita!$N$2:$N$505)</f>
        <v>39.515000000000001</v>
      </c>
      <c r="N12" s="13">
        <f>SUMIF(Mercado_Receita!$T$2:$T$505,"44593B1Energia convencionalResidencialResidencial baixa renda – faixa 03Não se aplicaNão se aplicaNão se aplica",Mercado_Receita!$N$2:$N$505)</f>
        <v>42.529999999999994</v>
      </c>
      <c r="O12" s="13">
        <f>SUMIF(Mercado_Receita!$T$2:$T$505,"44621B1Energia convencionalResidencialResidencial baixa renda – faixa 03Não se aplicaNão se aplicaNão se aplica",Mercado_Receita!$N$2:$N$505)</f>
        <v>53.284999999999997</v>
      </c>
      <c r="P12" s="13">
        <f>SUMIF(Mercado_Receita!$T$2:$T$505,"44652B1Energia convencionalResidencialResidencial baixa renda – faixa 03Não se aplicaNão se aplicaNão se aplica",Mercado_Receita!$N$2:$N$505)</f>
        <v>54.87</v>
      </c>
      <c r="Q12" s="13">
        <f>SUMIF(Mercado_Receita!$T$2:$T$505,"44682B1Energia convencionalResidencialResidencial baixa renda – faixa 03Não se aplicaNão se aplicaNão se aplica",Mercado_Receita!$N$2:$N$505)</f>
        <v>48.58</v>
      </c>
      <c r="R12" s="13">
        <f>SUMIF(Mercado_Receita!$T$2:$T$505,"44713B1Energia convencionalResidencialResidencial baixa renda – faixa 03Não se aplicaNão se aplicaNão se aplica",Mercado_Receita!$N$2:$N$505)</f>
        <v>49.460999999999999</v>
      </c>
      <c r="S12" s="13">
        <f>SUMIF(Mercado_Receita!$T$2:$T$505,"44743B1Energia convencionalResidencialResidencial baixa renda – faixa 03Não se aplicaNão se aplicaNão se aplica",Mercado_Receita!$N$2:$N$505)</f>
        <v>48.317999999999998</v>
      </c>
      <c r="T12" s="13">
        <f>SUMIF(Mercado_Receita!$T$2:$T$505,"44774B1Energia convencionalResidencialResidencial baixa renda – faixa 03Não se aplicaNão se aplicaNão se aplica",Mercado_Receita!$N$2:$N$505)</f>
        <v>48.317999999999998</v>
      </c>
      <c r="U12" s="13">
        <f t="shared" si="0"/>
        <v>514.49699999999996</v>
      </c>
      <c r="V12" s="13"/>
      <c r="W12" s="13"/>
    </row>
    <row r="13" spans="1:30" ht="11.25" customHeight="1" x14ac:dyDescent="0.25">
      <c r="A13" s="77"/>
      <c r="B13" s="77"/>
      <c r="C13" s="77"/>
      <c r="D13" s="12" t="s">
        <v>32</v>
      </c>
      <c r="E13" s="12" t="s">
        <v>25</v>
      </c>
      <c r="F13" s="12" t="s">
        <v>25</v>
      </c>
      <c r="G13" s="13" t="s">
        <v>80</v>
      </c>
      <c r="H13" s="13" t="s">
        <v>74</v>
      </c>
      <c r="I13" s="13">
        <f>SUMIF(Mercado_Receita!$T$2:$T$505,"44440B1Energia convencionalResidencialResidencial baixa renda – faixa 04Não se aplicaNão se aplicaNão se aplica",Mercado_Receita!$N$2:$N$505)</f>
        <v>11.452</v>
      </c>
      <c r="J13" s="13">
        <f>SUMIF(Mercado_Receita!$T$2:$T$505,"44470B1Energia convencionalResidencialResidencial baixa renda – faixa 04Não se aplicaNão se aplicaNão se aplica",Mercado_Receita!$N$2:$N$505)</f>
        <v>11.125999999999999</v>
      </c>
      <c r="K13" s="13">
        <f>SUMIF(Mercado_Receita!$T$2:$T$505,"44501B1Energia convencionalResidencialResidencial baixa renda – faixa 04Não se aplicaNão se aplicaNão se aplica",Mercado_Receita!$N$2:$N$505)</f>
        <v>11.003</v>
      </c>
      <c r="L13" s="13">
        <f>SUMIF(Mercado_Receita!$T$2:$T$505,"44531B1Energia convencionalResidencialResidencial baixa renda – faixa 04Não se aplicaNão se aplicaNão se aplica",Mercado_Receita!$N$2:$N$505)</f>
        <v>13.891</v>
      </c>
      <c r="M13" s="13">
        <f>SUMIF(Mercado_Receita!$T$2:$T$505,"44562B1Energia convencionalResidencialResidencial baixa renda – faixa 04Não se aplicaNão se aplicaNão se aplica",Mercado_Receita!$N$2:$N$505)</f>
        <v>31.126999999999999</v>
      </c>
      <c r="N13" s="13">
        <f>SUMIF(Mercado_Receita!$T$2:$T$505,"44593B1Energia convencionalResidencialResidencial baixa renda – faixa 04Não se aplicaNão se aplicaNão se aplica",Mercado_Receita!$N$2:$N$505)</f>
        <v>35.084999999999994</v>
      </c>
      <c r="O13" s="13">
        <f>SUMIF(Mercado_Receita!$T$2:$T$505,"44621B1Energia convencionalResidencialResidencial baixa renda – faixa 04Não se aplicaNão se aplicaNão se aplica",Mercado_Receita!$N$2:$N$505)</f>
        <v>40.997999999999998</v>
      </c>
      <c r="P13" s="13">
        <f>SUMIF(Mercado_Receita!$T$2:$T$505,"44652B1Energia convencionalResidencialResidencial baixa renda – faixa 04Não se aplicaNão se aplicaNão se aplica",Mercado_Receita!$N$2:$N$505)</f>
        <v>28.201000000000001</v>
      </c>
      <c r="Q13" s="13">
        <f>SUMIF(Mercado_Receita!$T$2:$T$505,"44682B1Energia convencionalResidencialResidencial baixa renda – faixa 04Não se aplicaNão se aplicaNão se aplica",Mercado_Receita!$N$2:$N$505)</f>
        <v>19.608000000000001</v>
      </c>
      <c r="R13" s="13">
        <f>SUMIF(Mercado_Receita!$T$2:$T$505,"44713B1Energia convencionalResidencialResidencial baixa renda – faixa 04Não se aplicaNão se aplicaNão se aplica",Mercado_Receita!$N$2:$N$505)</f>
        <v>25.545999999999999</v>
      </c>
      <c r="S13" s="13">
        <f>SUMIF(Mercado_Receita!$T$2:$T$505,"44743B1Energia convencionalResidencialResidencial baixa renda – faixa 04Não se aplicaNão se aplicaNão se aplica",Mercado_Receita!$N$2:$N$505)</f>
        <v>24.925999999999998</v>
      </c>
      <c r="T13" s="13">
        <f>SUMIF(Mercado_Receita!$T$2:$T$505,"44774B1Energia convencionalResidencialResidencial baixa renda – faixa 04Não se aplicaNão se aplicaNão se aplica",Mercado_Receita!$N$2:$N$505)</f>
        <v>24.925999999999998</v>
      </c>
      <c r="U13" s="13">
        <f t="shared" si="0"/>
        <v>277.88899999999995</v>
      </c>
      <c r="V13" s="13"/>
      <c r="W13" s="13"/>
    </row>
    <row r="14" spans="1:30" ht="11.25" customHeight="1" x14ac:dyDescent="0.25">
      <c r="A14" s="77"/>
      <c r="B14" s="76" t="s">
        <v>88</v>
      </c>
      <c r="C14" s="76" t="s">
        <v>24</v>
      </c>
      <c r="D14" s="12" t="s">
        <v>24</v>
      </c>
      <c r="E14" s="12" t="s">
        <v>25</v>
      </c>
      <c r="F14" s="12" t="s">
        <v>25</v>
      </c>
      <c r="G14" s="13" t="s">
        <v>80</v>
      </c>
      <c r="H14" s="13" t="s">
        <v>74</v>
      </c>
      <c r="I14" s="13">
        <f>SUMIF(Mercado_Receita!$T$2:$T$505,"44440B1Energia convencional pré-pagamentoResidencialResidencialNão se aplicaNão se aplicaNão se aplica",Mercado_Receita!$N$2:$N$505)</f>
        <v>0</v>
      </c>
      <c r="J14" s="13">
        <f>SUMIF(Mercado_Receita!$T$2:$T$505,"44470B1Energia convencional pré-pagamentoResidencialResidencialNão se aplicaNão se aplicaNão se aplica",Mercado_Receita!$N$2:$N$505)</f>
        <v>0</v>
      </c>
      <c r="K14" s="13">
        <f>SUMIF(Mercado_Receita!$T$2:$T$505,"44501B1Energia convencional pré-pagamentoResidencialResidencialNão se aplicaNão se aplicaNão se aplica",Mercado_Receita!$N$2:$N$505)</f>
        <v>0</v>
      </c>
      <c r="L14" s="13">
        <f>SUMIF(Mercado_Receita!$T$2:$T$505,"44531B1Energia convencional pré-pagamentoResidencialResidencialNão se aplicaNão se aplicaNão se aplica",Mercado_Receita!$N$2:$N$505)</f>
        <v>0</v>
      </c>
      <c r="M14" s="13">
        <f>SUMIF(Mercado_Receita!$T$2:$T$505,"44562B1Energia convencional pré-pagamentoResidencialResidencialNão se aplicaNão se aplicaNão se aplica",Mercado_Receita!$N$2:$N$505)</f>
        <v>0</v>
      </c>
      <c r="N14" s="13">
        <f>SUMIF(Mercado_Receita!$T$2:$T$505,"44593B1Energia convencional pré-pagamentoResidencialResidencialNão se aplicaNão se aplicaNão se aplica",Mercado_Receita!$N$2:$N$505)</f>
        <v>0</v>
      </c>
      <c r="O14" s="13">
        <f>SUMIF(Mercado_Receita!$T$2:$T$505,"44621B1Energia convencional pré-pagamentoResidencialResidencialNão se aplicaNão se aplicaNão se aplica",Mercado_Receita!$N$2:$N$505)</f>
        <v>0</v>
      </c>
      <c r="P14" s="13">
        <f>SUMIF(Mercado_Receita!$T$2:$T$505,"44652B1Energia convencional pré-pagamentoResidencialResidencialNão se aplicaNão se aplicaNão se aplica",Mercado_Receita!$N$2:$N$505)</f>
        <v>0</v>
      </c>
      <c r="Q14" s="13">
        <f>SUMIF(Mercado_Receita!$T$2:$T$505,"44682B1Energia convencional pré-pagamentoResidencialResidencialNão se aplicaNão se aplicaNão se aplica",Mercado_Receita!$N$2:$N$505)</f>
        <v>0</v>
      </c>
      <c r="R14" s="13">
        <f>SUMIF(Mercado_Receita!$T$2:$T$505,"44713B1Energia convencional pré-pagamentoResidencialResidencialNão se aplicaNão se aplicaNão se aplica",Mercado_Receita!$N$2:$N$505)</f>
        <v>0</v>
      </c>
      <c r="S14" s="13">
        <f>SUMIF(Mercado_Receita!$T$2:$T$505,"44743B1Energia convencional pré-pagamentoResidencialResidencialNão se aplicaNão se aplicaNão se aplica",Mercado_Receita!$N$2:$N$505)</f>
        <v>0</v>
      </c>
      <c r="T14" s="13">
        <f>SUMIF(Mercado_Receita!$T$2:$T$505,"44774B1Energia convencional pré-pagamentoResidencialResidencialNão se aplicaNão se aplicaNão se aplica",Mercado_Receita!$N$2:$N$505)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12" t="s">
        <v>29</v>
      </c>
      <c r="E15" s="12" t="s">
        <v>25</v>
      </c>
      <c r="F15" s="12" t="s">
        <v>25</v>
      </c>
      <c r="G15" s="13" t="s">
        <v>80</v>
      </c>
      <c r="H15" s="13" t="s">
        <v>74</v>
      </c>
      <c r="I15" s="13">
        <f>SUMIF(Mercado_Receita!$T$2:$T$505,"44440B1Energia convencional pré-pagamentoResidencialResidencial baixa renda – faixa 01Não se aplicaNão se aplicaNão se aplica",Mercado_Receita!$N$2:$N$505)</f>
        <v>0</v>
      </c>
      <c r="J15" s="13">
        <f>SUMIF(Mercado_Receita!$T$2:$T$505,"44470B1Energia convencional pré-pagamentoResidencialResidencial baixa renda – faixa 01Não se aplicaNão se aplicaNão se aplica",Mercado_Receita!$N$2:$N$505)</f>
        <v>0</v>
      </c>
      <c r="K15" s="13">
        <f>SUMIF(Mercado_Receita!$T$2:$T$505,"44501B1Energia convencional pré-pagamentoResidencialResidencial baixa renda – faixa 01Não se aplicaNão se aplicaNão se aplica",Mercado_Receita!$N$2:$N$505)</f>
        <v>0</v>
      </c>
      <c r="L15" s="13">
        <f>SUMIF(Mercado_Receita!$T$2:$T$505,"44531B1Energia convencional pré-pagamentoResidencialResidencial baixa renda – faixa 01Não se aplicaNão se aplicaNão se aplica",Mercado_Receita!$N$2:$N$505)</f>
        <v>0</v>
      </c>
      <c r="M15" s="13">
        <f>SUMIF(Mercado_Receita!$T$2:$T$505,"44562B1Energia convencional pré-pagamentoResidencialResidencial baixa renda – faixa 01Não se aplicaNão se aplicaNão se aplica",Mercado_Receita!$N$2:$N$505)</f>
        <v>0</v>
      </c>
      <c r="N15" s="13">
        <f>SUMIF(Mercado_Receita!$T$2:$T$505,"44593B1Energia convencional pré-pagamentoResidencialResidencial baixa renda – faixa 01Não se aplicaNão se aplicaNão se aplica",Mercado_Receita!$N$2:$N$505)</f>
        <v>0</v>
      </c>
      <c r="O15" s="13">
        <f>SUMIF(Mercado_Receita!$T$2:$T$505,"44621B1Energia convencional pré-pagamentoResidencialResidencial baixa renda – faixa 01Não se aplicaNão se aplicaNão se aplica",Mercado_Receita!$N$2:$N$505)</f>
        <v>0</v>
      </c>
      <c r="P15" s="13">
        <f>SUMIF(Mercado_Receita!$T$2:$T$505,"44652B1Energia convencional pré-pagamentoResidencialResidencial baixa renda – faixa 01Não se aplicaNão se aplicaNão se aplica",Mercado_Receita!$N$2:$N$505)</f>
        <v>0</v>
      </c>
      <c r="Q15" s="13">
        <f>SUMIF(Mercado_Receita!$T$2:$T$505,"44682B1Energia convencional pré-pagamentoResidencialResidencial baixa renda – faixa 01Não se aplicaNão se aplicaNão se aplica",Mercado_Receita!$N$2:$N$505)</f>
        <v>0</v>
      </c>
      <c r="R15" s="13">
        <f>SUMIF(Mercado_Receita!$T$2:$T$505,"44713B1Energia convencional pré-pagamentoResidencialResidencial baixa renda – faixa 01Não se aplicaNão se aplicaNão se aplica",Mercado_Receita!$N$2:$N$505)</f>
        <v>0</v>
      </c>
      <c r="S15" s="13">
        <f>SUMIF(Mercado_Receita!$T$2:$T$505,"44743B1Energia convencional pré-pagamentoResidencialResidencial baixa renda – faixa 01Não se aplicaNão se aplicaNão se aplica",Mercado_Receita!$N$2:$N$505)</f>
        <v>0</v>
      </c>
      <c r="T15" s="13">
        <f>SUMIF(Mercado_Receita!$T$2:$T$505,"44774B1Energia convencional pré-pagamentoResidencialResidencial baixa renda – faixa 01Não se aplicaNão se aplicaNão se aplica",Mercado_Receita!$N$2:$N$505)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12" t="s">
        <v>30</v>
      </c>
      <c r="E16" s="12" t="s">
        <v>25</v>
      </c>
      <c r="F16" s="12" t="s">
        <v>25</v>
      </c>
      <c r="G16" s="13" t="s">
        <v>80</v>
      </c>
      <c r="H16" s="13" t="s">
        <v>74</v>
      </c>
      <c r="I16" s="13">
        <f>SUMIF(Mercado_Receita!$T$2:$T$505,"44440B1Energia convencional pré-pagamentoResidencialResidencial baixa renda – faixa 02Não se aplicaNão se aplicaNão se aplica",Mercado_Receita!$N$2:$N$505)</f>
        <v>0</v>
      </c>
      <c r="J16" s="13">
        <f>SUMIF(Mercado_Receita!$T$2:$T$505,"44470B1Energia convencional pré-pagamentoResidencialResidencial baixa renda – faixa 02Não se aplicaNão se aplicaNão se aplica",Mercado_Receita!$N$2:$N$505)</f>
        <v>0</v>
      </c>
      <c r="K16" s="13">
        <f>SUMIF(Mercado_Receita!$T$2:$T$505,"44501B1Energia convencional pré-pagamentoResidencialResidencial baixa renda – faixa 02Não se aplicaNão se aplicaNão se aplica",Mercado_Receita!$N$2:$N$505)</f>
        <v>0</v>
      </c>
      <c r="L16" s="13">
        <f>SUMIF(Mercado_Receita!$T$2:$T$505,"44531B1Energia convencional pré-pagamentoResidencialResidencial baixa renda – faixa 02Não se aplicaNão se aplicaNão se aplica",Mercado_Receita!$N$2:$N$505)</f>
        <v>0</v>
      </c>
      <c r="M16" s="13">
        <f>SUMIF(Mercado_Receita!$T$2:$T$505,"44562B1Energia convencional pré-pagamentoResidencialResidencial baixa renda – faixa 02Não se aplicaNão se aplicaNão se aplica",Mercado_Receita!$N$2:$N$505)</f>
        <v>0</v>
      </c>
      <c r="N16" s="13">
        <f>SUMIF(Mercado_Receita!$T$2:$T$505,"44593B1Energia convencional pré-pagamentoResidencialResidencial baixa renda – faixa 02Não se aplicaNão se aplicaNão se aplica",Mercado_Receita!$N$2:$N$505)</f>
        <v>0</v>
      </c>
      <c r="O16" s="13">
        <f>SUMIF(Mercado_Receita!$T$2:$T$505,"44621B1Energia convencional pré-pagamentoResidencialResidencial baixa renda – faixa 02Não se aplicaNão se aplicaNão se aplica",Mercado_Receita!$N$2:$N$505)</f>
        <v>0</v>
      </c>
      <c r="P16" s="13">
        <f>SUMIF(Mercado_Receita!$T$2:$T$505,"44652B1Energia convencional pré-pagamentoResidencialResidencial baixa renda – faixa 02Não se aplicaNão se aplicaNão se aplica",Mercado_Receita!$N$2:$N$505)</f>
        <v>0</v>
      </c>
      <c r="Q16" s="13">
        <f>SUMIF(Mercado_Receita!$T$2:$T$505,"44682B1Energia convencional pré-pagamentoResidencialResidencial baixa renda – faixa 02Não se aplicaNão se aplicaNão se aplica",Mercado_Receita!$N$2:$N$505)</f>
        <v>0</v>
      </c>
      <c r="R16" s="13">
        <f>SUMIF(Mercado_Receita!$T$2:$T$505,"44713B1Energia convencional pré-pagamentoResidencialResidencial baixa renda – faixa 02Não se aplicaNão se aplicaNão se aplica",Mercado_Receita!$N$2:$N$505)</f>
        <v>0</v>
      </c>
      <c r="S16" s="13">
        <f>SUMIF(Mercado_Receita!$T$2:$T$505,"44743B1Energia convencional pré-pagamentoResidencialResidencial baixa renda – faixa 02Não se aplicaNão se aplicaNão se aplica",Mercado_Receita!$N$2:$N$505)</f>
        <v>0</v>
      </c>
      <c r="T16" s="13">
        <f>SUMIF(Mercado_Receita!$T$2:$T$505,"44774B1Energia convencional pré-pagamentoResidencialResidencial baixa renda – faixa 02Não se aplicaNão se aplicaNão se aplica",Mercado_Receita!$N$2:$N$505)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/>
      <c r="B17" s="77"/>
      <c r="C17" s="77"/>
      <c r="D17" s="12" t="s">
        <v>31</v>
      </c>
      <c r="E17" s="12" t="s">
        <v>25</v>
      </c>
      <c r="F17" s="12" t="s">
        <v>25</v>
      </c>
      <c r="G17" s="13" t="s">
        <v>80</v>
      </c>
      <c r="H17" s="13" t="s">
        <v>74</v>
      </c>
      <c r="I17" s="13">
        <f>SUMIF(Mercado_Receita!$T$2:$T$505,"44440B1Energia convencional pré-pagamentoResidencialResidencial baixa renda – faixa 03Não se aplicaNão se aplicaNão se aplica",Mercado_Receita!$N$2:$N$505)</f>
        <v>0</v>
      </c>
      <c r="J17" s="13">
        <f>SUMIF(Mercado_Receita!$T$2:$T$505,"44470B1Energia convencional pré-pagamentoResidencialResidencial baixa renda – faixa 03Não se aplicaNão se aplicaNão se aplica",Mercado_Receita!$N$2:$N$505)</f>
        <v>0</v>
      </c>
      <c r="K17" s="13">
        <f>SUMIF(Mercado_Receita!$T$2:$T$505,"44501B1Energia convencional pré-pagamentoResidencialResidencial baixa renda – faixa 03Não se aplicaNão se aplicaNão se aplica",Mercado_Receita!$N$2:$N$505)</f>
        <v>0</v>
      </c>
      <c r="L17" s="13">
        <f>SUMIF(Mercado_Receita!$T$2:$T$505,"44531B1Energia convencional pré-pagamentoResidencialResidencial baixa renda – faixa 03Não se aplicaNão se aplicaNão se aplica",Mercado_Receita!$N$2:$N$505)</f>
        <v>0</v>
      </c>
      <c r="M17" s="13">
        <f>SUMIF(Mercado_Receita!$T$2:$T$505,"44562B1Energia convencional pré-pagamentoResidencialResidencial baixa renda – faixa 03Não se aplicaNão se aplicaNão se aplica",Mercado_Receita!$N$2:$N$505)</f>
        <v>0</v>
      </c>
      <c r="N17" s="13">
        <f>SUMIF(Mercado_Receita!$T$2:$T$505,"44593B1Energia convencional pré-pagamentoResidencialResidencial baixa renda – faixa 03Não se aplicaNão se aplicaNão se aplica",Mercado_Receita!$N$2:$N$505)</f>
        <v>0</v>
      </c>
      <c r="O17" s="13">
        <f>SUMIF(Mercado_Receita!$T$2:$T$505,"44621B1Energia convencional pré-pagamentoResidencialResidencial baixa renda – faixa 03Não se aplicaNão se aplicaNão se aplica",Mercado_Receita!$N$2:$N$505)</f>
        <v>0</v>
      </c>
      <c r="P17" s="13">
        <f>SUMIF(Mercado_Receita!$T$2:$T$505,"44652B1Energia convencional pré-pagamentoResidencialResidencial baixa renda – faixa 03Não se aplicaNão se aplicaNão se aplica",Mercado_Receita!$N$2:$N$505)</f>
        <v>0</v>
      </c>
      <c r="Q17" s="13">
        <f>SUMIF(Mercado_Receita!$T$2:$T$505,"44682B1Energia convencional pré-pagamentoResidencialResidencial baixa renda – faixa 03Não se aplicaNão se aplicaNão se aplica",Mercado_Receita!$N$2:$N$505)</f>
        <v>0</v>
      </c>
      <c r="R17" s="13">
        <f>SUMIF(Mercado_Receita!$T$2:$T$505,"44713B1Energia convencional pré-pagamentoResidencialResidencial baixa renda – faixa 03Não se aplicaNão se aplicaNão se aplica",Mercado_Receita!$N$2:$N$505)</f>
        <v>0</v>
      </c>
      <c r="S17" s="13">
        <f>SUMIF(Mercado_Receita!$T$2:$T$505,"44743B1Energia convencional pré-pagamentoResidencialResidencial baixa renda – faixa 03Não se aplicaNão se aplicaNão se aplica",Mercado_Receita!$N$2:$N$505)</f>
        <v>0</v>
      </c>
      <c r="T17" s="13">
        <f>SUMIF(Mercado_Receita!$T$2:$T$505,"44774B1Energia convencional pré-pagamentoResidencialResidencial baixa renda – faixa 03Não se aplicaNão se aplicaNão se aplica",Mercado_Receita!$N$2:$N$505)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7"/>
      <c r="B18" s="77"/>
      <c r="C18" s="77"/>
      <c r="D18" s="12" t="s">
        <v>32</v>
      </c>
      <c r="E18" s="12" t="s">
        <v>25</v>
      </c>
      <c r="F18" s="12" t="s">
        <v>25</v>
      </c>
      <c r="G18" s="13" t="s">
        <v>80</v>
      </c>
      <c r="H18" s="13" t="s">
        <v>74</v>
      </c>
      <c r="I18" s="13">
        <f>SUMIF(Mercado_Receita!$T$2:$T$505,"44440B1Energia convencional pré-pagamentoResidencialResidencial baixa renda – faixa 04Não se aplicaNão se aplicaNão se aplica",Mercado_Receita!$N$2:$N$505)</f>
        <v>0</v>
      </c>
      <c r="J18" s="13">
        <f>SUMIF(Mercado_Receita!$T$2:$T$505,"44470B1Energia convencional pré-pagamentoResidencialResidencial baixa renda – faixa 04Não se aplicaNão se aplicaNão se aplica",Mercado_Receita!$N$2:$N$505)</f>
        <v>0</v>
      </c>
      <c r="K18" s="13">
        <f>SUMIF(Mercado_Receita!$T$2:$T$505,"44501B1Energia convencional pré-pagamentoResidencialResidencial baixa renda – faixa 04Não se aplicaNão se aplicaNão se aplica",Mercado_Receita!$N$2:$N$505)</f>
        <v>0</v>
      </c>
      <c r="L18" s="13">
        <f>SUMIF(Mercado_Receita!$T$2:$T$505,"44531B1Energia convencional pré-pagamentoResidencialResidencial baixa renda – faixa 04Não se aplicaNão se aplicaNão se aplica",Mercado_Receita!$N$2:$N$505)</f>
        <v>0</v>
      </c>
      <c r="M18" s="13">
        <f>SUMIF(Mercado_Receita!$T$2:$T$505,"44562B1Energia convencional pré-pagamentoResidencialResidencial baixa renda – faixa 04Não se aplicaNão se aplicaNão se aplica",Mercado_Receita!$N$2:$N$505)</f>
        <v>0</v>
      </c>
      <c r="N18" s="13">
        <f>SUMIF(Mercado_Receita!$T$2:$T$505,"44593B1Energia convencional pré-pagamentoResidencialResidencial baixa renda – faixa 04Não se aplicaNão se aplicaNão se aplica",Mercado_Receita!$N$2:$N$505)</f>
        <v>0</v>
      </c>
      <c r="O18" s="13">
        <f>SUMIF(Mercado_Receita!$T$2:$T$505,"44621B1Energia convencional pré-pagamentoResidencialResidencial baixa renda – faixa 04Não se aplicaNão se aplicaNão se aplica",Mercado_Receita!$N$2:$N$505)</f>
        <v>0</v>
      </c>
      <c r="P18" s="13">
        <f>SUMIF(Mercado_Receita!$T$2:$T$505,"44652B1Energia convencional pré-pagamentoResidencialResidencial baixa renda – faixa 04Não se aplicaNão se aplicaNão se aplica",Mercado_Receita!$N$2:$N$505)</f>
        <v>0</v>
      </c>
      <c r="Q18" s="13">
        <f>SUMIF(Mercado_Receita!$T$2:$T$505,"44682B1Energia convencional pré-pagamentoResidencialResidencial baixa renda – faixa 04Não se aplicaNão se aplicaNão se aplica",Mercado_Receita!$N$2:$N$505)</f>
        <v>0</v>
      </c>
      <c r="R18" s="13">
        <f>SUMIF(Mercado_Receita!$T$2:$T$505,"44713B1Energia convencional pré-pagamentoResidencialResidencial baixa renda – faixa 04Não se aplicaNão se aplicaNão se aplica",Mercado_Receita!$N$2:$N$505)</f>
        <v>0</v>
      </c>
      <c r="S18" s="13">
        <f>SUMIF(Mercado_Receita!$T$2:$T$505,"44743B1Energia convencional pré-pagamentoResidencialResidencial baixa renda – faixa 04Não se aplicaNão se aplicaNão se aplica",Mercado_Receita!$N$2:$N$505)</f>
        <v>0</v>
      </c>
      <c r="T18" s="13">
        <f>SUMIF(Mercado_Receita!$T$2:$T$505,"44774B1Energia convencional pré-pagamentoResidencialResidencial baixa renda – faixa 04Não se aplicaNão se aplicaNão se aplica",Mercado_Receita!$N$2:$N$505)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6" t="s">
        <v>42</v>
      </c>
      <c r="B19" s="76" t="s">
        <v>73</v>
      </c>
      <c r="C19" s="76" t="s">
        <v>43</v>
      </c>
      <c r="D19" s="76" t="s">
        <v>25</v>
      </c>
      <c r="E19" s="76" t="s">
        <v>25</v>
      </c>
      <c r="F19" s="76" t="s">
        <v>25</v>
      </c>
      <c r="G19" s="13" t="s">
        <v>75</v>
      </c>
      <c r="H19" s="13" t="s">
        <v>74</v>
      </c>
      <c r="I19" s="13">
        <f>SUMIF(Mercado_Receita!$T$2:$T$505,"44440B2Energia horáriaRuralNão se aplicaNão se aplicaNão se aplicaPonta",Mercado_Receita!$N$2:$N$505)</f>
        <v>0</v>
      </c>
      <c r="J19" s="13">
        <f>SUMIF(Mercado_Receita!$T$2:$T$505,"44470B2Energia horáriaRuralNão se aplicaNão se aplicaNão se aplicaPonta",Mercado_Receita!$N$2:$N$505)</f>
        <v>0</v>
      </c>
      <c r="K19" s="13">
        <f>SUMIF(Mercado_Receita!$T$2:$T$505,"44501B2Energia horáriaRuralNão se aplicaNão se aplicaNão se aplicaPonta",Mercado_Receita!$N$2:$N$505)</f>
        <v>0</v>
      </c>
      <c r="L19" s="13">
        <f>SUMIF(Mercado_Receita!$T$2:$T$505,"44531B2Energia horáriaRuralNão se aplicaNão se aplicaNão se aplicaPonta",Mercado_Receita!$N$2:$N$505)</f>
        <v>0</v>
      </c>
      <c r="M19" s="13">
        <f>SUMIF(Mercado_Receita!$T$2:$T$505,"44562B2Energia horáriaRuralNão se aplicaNão se aplicaNão se aplicaPonta",Mercado_Receita!$N$2:$N$505)</f>
        <v>0</v>
      </c>
      <c r="N19" s="13">
        <f>SUMIF(Mercado_Receita!$T$2:$T$505,"44593B2Energia horáriaRuralNão se aplicaNão se aplicaNão se aplicaPonta",Mercado_Receita!$N$2:$N$505)</f>
        <v>0</v>
      </c>
      <c r="O19" s="13">
        <f>SUMIF(Mercado_Receita!$T$2:$T$505,"44621B2Energia horáriaRuralNão se aplicaNão se aplicaNão se aplicaPonta",Mercado_Receita!$N$2:$N$505)</f>
        <v>0</v>
      </c>
      <c r="P19" s="13">
        <f>SUMIF(Mercado_Receita!$T$2:$T$505,"44652B2Energia horáriaRuralNão se aplicaNão se aplicaNão se aplicaPonta",Mercado_Receita!$N$2:$N$505)</f>
        <v>0</v>
      </c>
      <c r="Q19" s="13">
        <f>SUMIF(Mercado_Receita!$T$2:$T$505,"44682B2Energia horáriaRuralNão se aplicaNão se aplicaNão se aplicaPonta",Mercado_Receita!$N$2:$N$505)</f>
        <v>0</v>
      </c>
      <c r="R19" s="13">
        <f>SUMIF(Mercado_Receita!$T$2:$T$505,"44713B2Energia horáriaRuralNão se aplicaNão se aplicaNão se aplicaPonta",Mercado_Receita!$N$2:$N$505)</f>
        <v>0</v>
      </c>
      <c r="S19" s="13">
        <f>SUMIF(Mercado_Receita!$T$2:$T$505,"44743B2Energia horáriaRuralNão se aplicaNão se aplicaNão se aplicaPonta",Mercado_Receita!$N$2:$N$505)</f>
        <v>0</v>
      </c>
      <c r="T19" s="13">
        <f>SUMIF(Mercado_Receita!$T$2:$T$505,"44774B2Energia horáriaRuralNão se aplicaNão se aplicaNão se aplicaPonta",Mercado_Receita!$N$2:$N$505)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7"/>
      <c r="B20" s="77"/>
      <c r="C20" s="77"/>
      <c r="D20" s="77"/>
      <c r="E20" s="77"/>
      <c r="F20" s="77"/>
      <c r="G20" s="13" t="s">
        <v>86</v>
      </c>
      <c r="H20" s="13" t="s">
        <v>74</v>
      </c>
      <c r="I20" s="13">
        <f>SUMIF(Mercado_Receita!$T$2:$T$505,"44440B2Energia horáriaRuralNão se aplicaNão se aplicaNão se aplicaIntermediário",Mercado_Receita!$N$2:$N$505)</f>
        <v>0</v>
      </c>
      <c r="J20" s="13">
        <f>SUMIF(Mercado_Receita!$T$2:$T$505,"44470B2Energia horáriaRuralNão se aplicaNão se aplicaNão se aplicaIntermediário",Mercado_Receita!$N$2:$N$505)</f>
        <v>0</v>
      </c>
      <c r="K20" s="13">
        <f>SUMIF(Mercado_Receita!$T$2:$T$505,"44501B2Energia horáriaRuralNão se aplicaNão se aplicaNão se aplicaIntermediário",Mercado_Receita!$N$2:$N$505)</f>
        <v>0</v>
      </c>
      <c r="L20" s="13">
        <f>SUMIF(Mercado_Receita!$T$2:$T$505,"44531B2Energia horáriaRuralNão se aplicaNão se aplicaNão se aplicaIntermediário",Mercado_Receita!$N$2:$N$505)</f>
        <v>0</v>
      </c>
      <c r="M20" s="13">
        <f>SUMIF(Mercado_Receita!$T$2:$T$505,"44562B2Energia horáriaRuralNão se aplicaNão se aplicaNão se aplicaIntermediário",Mercado_Receita!$N$2:$N$505)</f>
        <v>0</v>
      </c>
      <c r="N20" s="13">
        <f>SUMIF(Mercado_Receita!$T$2:$T$505,"44593B2Energia horáriaRuralNão se aplicaNão se aplicaNão se aplicaIntermediário",Mercado_Receita!$N$2:$N$505)</f>
        <v>0</v>
      </c>
      <c r="O20" s="13">
        <f>SUMIF(Mercado_Receita!$T$2:$T$505,"44621B2Energia horáriaRuralNão se aplicaNão se aplicaNão se aplicaIntermediário",Mercado_Receita!$N$2:$N$505)</f>
        <v>0</v>
      </c>
      <c r="P20" s="13">
        <f>SUMIF(Mercado_Receita!$T$2:$T$505,"44652B2Energia horáriaRuralNão se aplicaNão se aplicaNão se aplicaIntermediário",Mercado_Receita!$N$2:$N$505)</f>
        <v>0</v>
      </c>
      <c r="Q20" s="13">
        <f>SUMIF(Mercado_Receita!$T$2:$T$505,"44682B2Energia horáriaRuralNão se aplicaNão se aplicaNão se aplicaIntermediário",Mercado_Receita!$N$2:$N$505)</f>
        <v>0</v>
      </c>
      <c r="R20" s="13">
        <f>SUMIF(Mercado_Receita!$T$2:$T$505,"44713B2Energia horáriaRuralNão se aplicaNão se aplicaNão se aplicaIntermediário",Mercado_Receita!$N$2:$N$505)</f>
        <v>0</v>
      </c>
      <c r="S20" s="13">
        <f>SUMIF(Mercado_Receita!$T$2:$T$505,"44743B2Energia horáriaRuralNão se aplicaNão se aplicaNão se aplicaIntermediário",Mercado_Receita!$N$2:$N$505)</f>
        <v>0</v>
      </c>
      <c r="T20" s="13">
        <f>SUMIF(Mercado_Receita!$T$2:$T$505,"44774B2Energia horáriaRuralNão se aplicaNão se aplicaNão se aplicaIntermediário",Mercado_Receita!$N$2:$N$505)</f>
        <v>0</v>
      </c>
      <c r="U20" s="13">
        <f t="shared" si="0"/>
        <v>0</v>
      </c>
      <c r="V20" s="13"/>
      <c r="W20" s="13"/>
    </row>
    <row r="21" spans="1:23" ht="11.25" customHeight="1" x14ac:dyDescent="0.25">
      <c r="A21" s="77"/>
      <c r="B21" s="77"/>
      <c r="C21" s="77"/>
      <c r="D21" s="77"/>
      <c r="E21" s="77"/>
      <c r="F21" s="77"/>
      <c r="G21" s="13" t="s">
        <v>76</v>
      </c>
      <c r="H21" s="13" t="s">
        <v>74</v>
      </c>
      <c r="I21" s="13">
        <f>SUMIF(Mercado_Receita!$T$2:$T$505,"44440B2Energia horáriaRuralNão se aplicaNão se aplicaNão se aplicaFora ponta",Mercado_Receita!$N$2:$N$505)</f>
        <v>0</v>
      </c>
      <c r="J21" s="13">
        <f>SUMIF(Mercado_Receita!$T$2:$T$505,"44470B2Energia horáriaRuralNão se aplicaNão se aplicaNão se aplicaFora ponta",Mercado_Receita!$N$2:$N$505)</f>
        <v>0</v>
      </c>
      <c r="K21" s="13">
        <f>SUMIF(Mercado_Receita!$T$2:$T$505,"44501B2Energia horáriaRuralNão se aplicaNão se aplicaNão se aplicaFora ponta",Mercado_Receita!$N$2:$N$505)</f>
        <v>0</v>
      </c>
      <c r="L21" s="13">
        <f>SUMIF(Mercado_Receita!$T$2:$T$505,"44531B2Energia horáriaRuralNão se aplicaNão se aplicaNão se aplicaFora ponta",Mercado_Receita!$N$2:$N$505)</f>
        <v>0</v>
      </c>
      <c r="M21" s="13">
        <f>SUMIF(Mercado_Receita!$T$2:$T$505,"44562B2Energia horáriaRuralNão se aplicaNão se aplicaNão se aplicaFora ponta",Mercado_Receita!$N$2:$N$505)</f>
        <v>0</v>
      </c>
      <c r="N21" s="13">
        <f>SUMIF(Mercado_Receita!$T$2:$T$505,"44593B2Energia horáriaRuralNão se aplicaNão se aplicaNão se aplicaFora ponta",Mercado_Receita!$N$2:$N$505)</f>
        <v>0</v>
      </c>
      <c r="O21" s="13">
        <f>SUMIF(Mercado_Receita!$T$2:$T$505,"44621B2Energia horáriaRuralNão se aplicaNão se aplicaNão se aplicaFora ponta",Mercado_Receita!$N$2:$N$505)</f>
        <v>0</v>
      </c>
      <c r="P21" s="13">
        <f>SUMIF(Mercado_Receita!$T$2:$T$505,"44652B2Energia horáriaRuralNão se aplicaNão se aplicaNão se aplicaFora ponta",Mercado_Receita!$N$2:$N$505)</f>
        <v>0</v>
      </c>
      <c r="Q21" s="13">
        <f>SUMIF(Mercado_Receita!$T$2:$T$505,"44682B2Energia horáriaRuralNão se aplicaNão se aplicaNão se aplicaFora ponta",Mercado_Receita!$N$2:$N$505)</f>
        <v>0</v>
      </c>
      <c r="R21" s="13">
        <f>SUMIF(Mercado_Receita!$T$2:$T$505,"44713B2Energia horáriaRuralNão se aplicaNão se aplicaNão se aplicaFora ponta",Mercado_Receita!$N$2:$N$505)</f>
        <v>0</v>
      </c>
      <c r="S21" s="13">
        <f>SUMIF(Mercado_Receita!$T$2:$T$505,"44743B2Energia horáriaRuralNão se aplicaNão se aplicaNão se aplicaFora ponta",Mercado_Receita!$N$2:$N$505)</f>
        <v>0</v>
      </c>
      <c r="T21" s="13">
        <f>SUMIF(Mercado_Receita!$T$2:$T$505,"44774B2Energia horáriaRuralNão se aplicaNão se aplicaNão se aplicaFora ponta",Mercado_Receita!$N$2:$N$505)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7"/>
      <c r="B22" s="12" t="s">
        <v>87</v>
      </c>
      <c r="C22" s="12" t="s">
        <v>43</v>
      </c>
      <c r="D22" s="12" t="s">
        <v>25</v>
      </c>
      <c r="E22" s="12" t="s">
        <v>25</v>
      </c>
      <c r="F22" s="12" t="s">
        <v>25</v>
      </c>
      <c r="G22" s="13" t="s">
        <v>80</v>
      </c>
      <c r="H22" s="13" t="s">
        <v>74</v>
      </c>
      <c r="I22" s="13">
        <f>SUMIF(Mercado_Receita!$T$2:$T$505,"44440B2Energia convencionalRuralNão se aplicaNão se aplicaNão se aplicaNão se aplica",Mercado_Receita!$N$2:$N$505)</f>
        <v>1471.3140000000001</v>
      </c>
      <c r="J22" s="13">
        <f>SUMIF(Mercado_Receita!$T$2:$T$505,"44470B2Energia convencionalRuralNão se aplicaNão se aplicaNão se aplicaNão se aplica",Mercado_Receita!$N$2:$N$505)</f>
        <v>1392.752</v>
      </c>
      <c r="K22" s="13">
        <f>SUMIF(Mercado_Receita!$T$2:$T$505,"44501B2Energia convencionalRuralNão se aplicaNão se aplicaNão se aplicaNão se aplica",Mercado_Receita!$N$2:$N$505)</f>
        <v>1535.798</v>
      </c>
      <c r="L22" s="13">
        <f>SUMIF(Mercado_Receita!$T$2:$T$505,"44531B2Energia convencionalRuralNão se aplicaNão se aplicaNão se aplicaNão se aplica",Mercado_Receita!$N$2:$N$505)</f>
        <v>1545.42</v>
      </c>
      <c r="M22" s="13">
        <f>SUMIF(Mercado_Receita!$T$2:$T$505,"44562B2Energia convencionalRuralNão se aplicaNão se aplicaNão se aplicaNão se aplica",Mercado_Receita!$N$2:$N$505)</f>
        <v>1843.6410000000001</v>
      </c>
      <c r="N22" s="13">
        <f>SUMIF(Mercado_Receita!$T$2:$T$505,"44593B2Energia convencionalRuralNão se aplicaNão se aplicaNão se aplicaNão se aplica",Mercado_Receita!$N$2:$N$505)</f>
        <v>1538.5260000000003</v>
      </c>
      <c r="O22" s="13">
        <f>SUMIF(Mercado_Receita!$T$2:$T$505,"44621B2Energia convencionalRuralNão se aplicaNão se aplicaNão se aplicaNão se aplica",Mercado_Receita!$N$2:$N$505)</f>
        <v>1502.7050000000002</v>
      </c>
      <c r="P22" s="13">
        <f>SUMIF(Mercado_Receita!$T$2:$T$505,"44652B2Energia convencionalRuralNão se aplicaNão se aplicaNão se aplicaNão se aplica",Mercado_Receita!$N$2:$N$505)</f>
        <v>1202.615</v>
      </c>
      <c r="Q22" s="13">
        <f>SUMIF(Mercado_Receita!$T$2:$T$505,"44682B2Energia convencionalRuralNão se aplicaNão se aplicaNão se aplicaNão se aplica",Mercado_Receita!$N$2:$N$505)</f>
        <v>1002.2</v>
      </c>
      <c r="R22" s="13">
        <f>SUMIF(Mercado_Receita!$T$2:$T$505,"44713B2Energia convencionalRuralNão se aplicaNão se aplicaNão se aplicaNão se aplica",Mercado_Receita!$N$2:$N$505)</f>
        <v>975.84</v>
      </c>
      <c r="S22" s="13">
        <f>SUMIF(Mercado_Receita!$T$2:$T$505,"44743B2Energia convencionalRuralNão se aplicaNão se aplicaNão se aplicaNão se aplica",Mercado_Receita!$N$2:$N$505)</f>
        <v>990.798</v>
      </c>
      <c r="T22" s="13">
        <f>SUMIF(Mercado_Receita!$T$2:$T$505,"44774B2Energia convencionalRuralNão se aplicaNão se aplicaNão se aplicaNão se aplica",Mercado_Receita!$N$2:$N$505)</f>
        <v>990.798</v>
      </c>
      <c r="U22" s="13">
        <f t="shared" si="0"/>
        <v>15992.407000000001</v>
      </c>
      <c r="V22" s="13"/>
      <c r="W22" s="13"/>
    </row>
    <row r="23" spans="1:23" ht="11.25" customHeight="1" x14ac:dyDescent="0.25">
      <c r="A23" s="77"/>
      <c r="B23" s="76" t="s">
        <v>73</v>
      </c>
      <c r="C23" s="76" t="s">
        <v>43</v>
      </c>
      <c r="D23" s="76" t="s">
        <v>90</v>
      </c>
      <c r="E23" s="76" t="s">
        <v>25</v>
      </c>
      <c r="F23" s="76" t="s">
        <v>25</v>
      </c>
      <c r="G23" s="13" t="s">
        <v>75</v>
      </c>
      <c r="H23" s="13" t="s">
        <v>74</v>
      </c>
      <c r="I23" s="13">
        <f>SUMIF(Mercado_Receita!$T$2:$T$505,"44440B2Energia horáriaRuralCooperativa de eletrificação ruralNão se aplicaNão se aplicaPonta",Mercado_Receita!$N$2:$N$505)</f>
        <v>0</v>
      </c>
      <c r="J23" s="13">
        <f>SUMIF(Mercado_Receita!$T$2:$T$505,"44470B2Energia horáriaRuralCooperativa de eletrificação ruralNão se aplicaNão se aplicaPonta",Mercado_Receita!$N$2:$N$505)</f>
        <v>0</v>
      </c>
      <c r="K23" s="13">
        <f>SUMIF(Mercado_Receita!$T$2:$T$505,"44501B2Energia horáriaRuralCooperativa de eletrificação ruralNão se aplicaNão se aplicaPonta",Mercado_Receita!$N$2:$N$505)</f>
        <v>0</v>
      </c>
      <c r="L23" s="13">
        <f>SUMIF(Mercado_Receita!$T$2:$T$505,"44531B2Energia horáriaRuralCooperativa de eletrificação ruralNão se aplicaNão se aplicaPonta",Mercado_Receita!$N$2:$N$505)</f>
        <v>0</v>
      </c>
      <c r="M23" s="13">
        <f>SUMIF(Mercado_Receita!$T$2:$T$505,"44562B2Energia horáriaRuralCooperativa de eletrificação ruralNão se aplicaNão se aplicaPonta",Mercado_Receita!$N$2:$N$505)</f>
        <v>0</v>
      </c>
      <c r="N23" s="13">
        <f>SUMIF(Mercado_Receita!$T$2:$T$505,"44593B2Energia horáriaRuralCooperativa de eletrificação ruralNão se aplicaNão se aplicaPonta",Mercado_Receita!$N$2:$N$505)</f>
        <v>0</v>
      </c>
      <c r="O23" s="13">
        <f>SUMIF(Mercado_Receita!$T$2:$T$505,"44621B2Energia horáriaRuralCooperativa de eletrificação ruralNão se aplicaNão se aplicaPonta",Mercado_Receita!$N$2:$N$505)</f>
        <v>0</v>
      </c>
      <c r="P23" s="13">
        <f>SUMIF(Mercado_Receita!$T$2:$T$505,"44652B2Energia horáriaRuralCooperativa de eletrificação ruralNão se aplicaNão se aplicaPonta",Mercado_Receita!$N$2:$N$505)</f>
        <v>0</v>
      </c>
      <c r="Q23" s="13">
        <f>SUMIF(Mercado_Receita!$T$2:$T$505,"44682B2Energia horáriaRuralCooperativa de eletrificação ruralNão se aplicaNão se aplicaPonta",Mercado_Receita!$N$2:$N$505)</f>
        <v>0</v>
      </c>
      <c r="R23" s="13">
        <f>SUMIF(Mercado_Receita!$T$2:$T$505,"44713B2Energia horáriaRuralCooperativa de eletrificação ruralNão se aplicaNão se aplicaPonta",Mercado_Receita!$N$2:$N$505)</f>
        <v>0</v>
      </c>
      <c r="S23" s="13">
        <f>SUMIF(Mercado_Receita!$T$2:$T$505,"44743B2Energia horáriaRuralCooperativa de eletrificação ruralNão se aplicaNão se aplicaPonta",Mercado_Receita!$N$2:$N$505)</f>
        <v>0</v>
      </c>
      <c r="T23" s="13">
        <f>SUMIF(Mercado_Receita!$T$2:$T$505,"44774B2Energia horáriaRuralCooperativa de eletrificação ruralNão se aplicaNão se aplicaPonta",Mercado_Receita!$N$2:$N$505)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77"/>
      <c r="C24" s="77"/>
      <c r="D24" s="77"/>
      <c r="E24" s="77"/>
      <c r="F24" s="77"/>
      <c r="G24" s="13" t="s">
        <v>86</v>
      </c>
      <c r="H24" s="13" t="s">
        <v>74</v>
      </c>
      <c r="I24" s="13">
        <f>SUMIF(Mercado_Receita!$T$2:$T$505,"44440B2Energia horáriaRuralCooperativa de eletrificação ruralNão se aplicaNão se aplicaIntermediário",Mercado_Receita!$N$2:$N$505)</f>
        <v>0</v>
      </c>
      <c r="J24" s="13">
        <f>SUMIF(Mercado_Receita!$T$2:$T$505,"44470B2Energia horáriaRuralCooperativa de eletrificação ruralNão se aplicaNão se aplicaIntermediário",Mercado_Receita!$N$2:$N$505)</f>
        <v>0</v>
      </c>
      <c r="K24" s="13">
        <f>SUMIF(Mercado_Receita!$T$2:$T$505,"44501B2Energia horáriaRuralCooperativa de eletrificação ruralNão se aplicaNão se aplicaIntermediário",Mercado_Receita!$N$2:$N$505)</f>
        <v>0</v>
      </c>
      <c r="L24" s="13">
        <f>SUMIF(Mercado_Receita!$T$2:$T$505,"44531B2Energia horáriaRuralCooperativa de eletrificação ruralNão se aplicaNão se aplicaIntermediário",Mercado_Receita!$N$2:$N$505)</f>
        <v>0</v>
      </c>
      <c r="M24" s="13">
        <f>SUMIF(Mercado_Receita!$T$2:$T$505,"44562B2Energia horáriaRuralCooperativa de eletrificação ruralNão se aplicaNão se aplicaIntermediário",Mercado_Receita!$N$2:$N$505)</f>
        <v>0</v>
      </c>
      <c r="N24" s="13">
        <f>SUMIF(Mercado_Receita!$T$2:$T$505,"44593B2Energia horáriaRuralCooperativa de eletrificação ruralNão se aplicaNão se aplicaIntermediário",Mercado_Receita!$N$2:$N$505)</f>
        <v>0</v>
      </c>
      <c r="O24" s="13">
        <f>SUMIF(Mercado_Receita!$T$2:$T$505,"44621B2Energia horáriaRuralCooperativa de eletrificação ruralNão se aplicaNão se aplicaIntermediário",Mercado_Receita!$N$2:$N$505)</f>
        <v>0</v>
      </c>
      <c r="P24" s="13">
        <f>SUMIF(Mercado_Receita!$T$2:$T$505,"44652B2Energia horáriaRuralCooperativa de eletrificação ruralNão se aplicaNão se aplicaIntermediário",Mercado_Receita!$N$2:$N$505)</f>
        <v>0</v>
      </c>
      <c r="Q24" s="13">
        <f>SUMIF(Mercado_Receita!$T$2:$T$505,"44682B2Energia horáriaRuralCooperativa de eletrificação ruralNão se aplicaNão se aplicaIntermediário",Mercado_Receita!$N$2:$N$505)</f>
        <v>0</v>
      </c>
      <c r="R24" s="13">
        <f>SUMIF(Mercado_Receita!$T$2:$T$505,"44713B2Energia horáriaRuralCooperativa de eletrificação ruralNão se aplicaNão se aplicaIntermediário",Mercado_Receita!$N$2:$N$505)</f>
        <v>0</v>
      </c>
      <c r="S24" s="13">
        <f>SUMIF(Mercado_Receita!$T$2:$T$505,"44743B2Energia horáriaRuralCooperativa de eletrificação ruralNão se aplicaNão se aplicaIntermediário",Mercado_Receita!$N$2:$N$505)</f>
        <v>0</v>
      </c>
      <c r="T24" s="13">
        <f>SUMIF(Mercado_Receita!$T$2:$T$505,"44774B2Energia horáriaRuralCooperativa de eletrificação ruralNão se aplicaNão se aplicaIntermediário",Mercado_Receita!$N$2:$N$505)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7"/>
      <c r="C25" s="77"/>
      <c r="D25" s="77"/>
      <c r="E25" s="77"/>
      <c r="F25" s="77"/>
      <c r="G25" s="13" t="s">
        <v>76</v>
      </c>
      <c r="H25" s="13" t="s">
        <v>74</v>
      </c>
      <c r="I25" s="13">
        <f>SUMIF(Mercado_Receita!$T$2:$T$505,"44440B2Energia horáriaRuralCooperativa de eletrificação ruralNão se aplicaNão se aplicaFora ponta",Mercado_Receita!$N$2:$N$505)</f>
        <v>0</v>
      </c>
      <c r="J25" s="13">
        <f>SUMIF(Mercado_Receita!$T$2:$T$505,"44470B2Energia horáriaRuralCooperativa de eletrificação ruralNão se aplicaNão se aplicaFora ponta",Mercado_Receita!$N$2:$N$505)</f>
        <v>0</v>
      </c>
      <c r="K25" s="13">
        <f>SUMIF(Mercado_Receita!$T$2:$T$505,"44501B2Energia horáriaRuralCooperativa de eletrificação ruralNão se aplicaNão se aplicaFora ponta",Mercado_Receita!$N$2:$N$505)</f>
        <v>0</v>
      </c>
      <c r="L25" s="13">
        <f>SUMIF(Mercado_Receita!$T$2:$T$505,"44531B2Energia horáriaRuralCooperativa de eletrificação ruralNão se aplicaNão se aplicaFora ponta",Mercado_Receita!$N$2:$N$505)</f>
        <v>0</v>
      </c>
      <c r="M25" s="13">
        <f>SUMIF(Mercado_Receita!$T$2:$T$505,"44562B2Energia horáriaRuralCooperativa de eletrificação ruralNão se aplicaNão se aplicaFora ponta",Mercado_Receita!$N$2:$N$505)</f>
        <v>0</v>
      </c>
      <c r="N25" s="13">
        <f>SUMIF(Mercado_Receita!$T$2:$T$505,"44593B2Energia horáriaRuralCooperativa de eletrificação ruralNão se aplicaNão se aplicaFora ponta",Mercado_Receita!$N$2:$N$505)</f>
        <v>0</v>
      </c>
      <c r="O25" s="13">
        <f>SUMIF(Mercado_Receita!$T$2:$T$505,"44621B2Energia horáriaRuralCooperativa de eletrificação ruralNão se aplicaNão se aplicaFora ponta",Mercado_Receita!$N$2:$N$505)</f>
        <v>0</v>
      </c>
      <c r="P25" s="13">
        <f>SUMIF(Mercado_Receita!$T$2:$T$505,"44652B2Energia horáriaRuralCooperativa de eletrificação ruralNão se aplicaNão se aplicaFora ponta",Mercado_Receita!$N$2:$N$505)</f>
        <v>0</v>
      </c>
      <c r="Q25" s="13">
        <f>SUMIF(Mercado_Receita!$T$2:$T$505,"44682B2Energia horáriaRuralCooperativa de eletrificação ruralNão se aplicaNão se aplicaFora ponta",Mercado_Receita!$N$2:$N$505)</f>
        <v>0</v>
      </c>
      <c r="R25" s="13">
        <f>SUMIF(Mercado_Receita!$T$2:$T$505,"44713B2Energia horáriaRuralCooperativa de eletrificação ruralNão se aplicaNão se aplicaFora ponta",Mercado_Receita!$N$2:$N$505)</f>
        <v>0</v>
      </c>
      <c r="S25" s="13">
        <f>SUMIF(Mercado_Receita!$T$2:$T$505,"44743B2Energia horáriaRuralCooperativa de eletrificação ruralNão se aplicaNão se aplicaFora ponta",Mercado_Receita!$N$2:$N$505)</f>
        <v>0</v>
      </c>
      <c r="T25" s="13">
        <f>SUMIF(Mercado_Receita!$T$2:$T$505,"44774B2Energia horáriaRuralCooperativa de eletrificação ruralNão se aplicaNão se aplicaFora ponta",Mercado_Receita!$N$2:$N$505)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12" t="s">
        <v>87</v>
      </c>
      <c r="C26" s="12" t="s">
        <v>43</v>
      </c>
      <c r="D26" s="12" t="s">
        <v>90</v>
      </c>
      <c r="E26" s="12" t="s">
        <v>25</v>
      </c>
      <c r="F26" s="12" t="s">
        <v>25</v>
      </c>
      <c r="G26" s="13" t="s">
        <v>80</v>
      </c>
      <c r="H26" s="13" t="s">
        <v>74</v>
      </c>
      <c r="I26" s="13">
        <f>SUMIF(Mercado_Receita!$T$2:$T$505,"44440B2Energia convencionalRuralCooperativa de eletrificação ruralNão se aplicaNão se aplicaNão se aplica",Mercado_Receita!$N$2:$N$505)</f>
        <v>0</v>
      </c>
      <c r="J26" s="13">
        <f>SUMIF(Mercado_Receita!$T$2:$T$505,"44470B2Energia convencionalRuralCooperativa de eletrificação ruralNão se aplicaNão se aplicaNão se aplica",Mercado_Receita!$N$2:$N$505)</f>
        <v>0</v>
      </c>
      <c r="K26" s="13">
        <f>SUMIF(Mercado_Receita!$T$2:$T$505,"44501B2Energia convencionalRuralCooperativa de eletrificação ruralNão se aplicaNão se aplicaNão se aplica",Mercado_Receita!$N$2:$N$505)</f>
        <v>0</v>
      </c>
      <c r="L26" s="13">
        <f>SUMIF(Mercado_Receita!$T$2:$T$505,"44531B2Energia convencionalRuralCooperativa de eletrificação ruralNão se aplicaNão se aplicaNão se aplica",Mercado_Receita!$N$2:$N$505)</f>
        <v>0</v>
      </c>
      <c r="M26" s="13">
        <f>SUMIF(Mercado_Receita!$T$2:$T$505,"44562B2Energia convencionalRuralCooperativa de eletrificação ruralNão se aplicaNão se aplicaNão se aplica",Mercado_Receita!$N$2:$N$505)</f>
        <v>0</v>
      </c>
      <c r="N26" s="13">
        <f>SUMIF(Mercado_Receita!$T$2:$T$505,"44593B2Energia convencionalRuralCooperativa de eletrificação ruralNão se aplicaNão se aplicaNão se aplica",Mercado_Receita!$N$2:$N$505)</f>
        <v>0</v>
      </c>
      <c r="O26" s="13">
        <f>SUMIF(Mercado_Receita!$T$2:$T$505,"44621B2Energia convencionalRuralCooperativa de eletrificação ruralNão se aplicaNão se aplicaNão se aplica",Mercado_Receita!$N$2:$N$505)</f>
        <v>0</v>
      </c>
      <c r="P26" s="13">
        <f>SUMIF(Mercado_Receita!$T$2:$T$505,"44652B2Energia convencionalRuralCooperativa de eletrificação ruralNão se aplicaNão se aplicaNão se aplica",Mercado_Receita!$N$2:$N$505)</f>
        <v>0</v>
      </c>
      <c r="Q26" s="13">
        <f>SUMIF(Mercado_Receita!$T$2:$T$505,"44682B2Energia convencionalRuralCooperativa de eletrificação ruralNão se aplicaNão se aplicaNão se aplica",Mercado_Receita!$N$2:$N$505)</f>
        <v>0</v>
      </c>
      <c r="R26" s="13">
        <f>SUMIF(Mercado_Receita!$T$2:$T$505,"44713B2Energia convencionalRuralCooperativa de eletrificação ruralNão se aplicaNão se aplicaNão se aplica",Mercado_Receita!$N$2:$N$505)</f>
        <v>0</v>
      </c>
      <c r="S26" s="13">
        <f>SUMIF(Mercado_Receita!$T$2:$T$505,"44743B2Energia convencionalRuralCooperativa de eletrificação ruralNão se aplicaNão se aplicaNão se aplica",Mercado_Receita!$N$2:$N$505)</f>
        <v>0</v>
      </c>
      <c r="T26" s="13">
        <f>SUMIF(Mercado_Receita!$T$2:$T$505,"44774B2Energia convencionalRuralCooperativa de eletrificação ruralNão se aplicaNão se aplicaNão se aplica",Mercado_Receita!$N$2:$N$505)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/>
      <c r="B27" s="76" t="s">
        <v>73</v>
      </c>
      <c r="C27" s="76" t="s">
        <v>43</v>
      </c>
      <c r="D27" s="76" t="s">
        <v>91</v>
      </c>
      <c r="E27" s="76" t="s">
        <v>25</v>
      </c>
      <c r="F27" s="76" t="s">
        <v>25</v>
      </c>
      <c r="G27" s="13" t="s">
        <v>75</v>
      </c>
      <c r="H27" s="13" t="s">
        <v>74</v>
      </c>
      <c r="I27" s="13">
        <f>SUMIF(Mercado_Receita!$T$2:$T$505,"44440B2Energia horáriaRuralServiço público de irrigação ruralNão se aplicaNão se aplicaPonta",Mercado_Receita!$N$2:$N$505)</f>
        <v>0</v>
      </c>
      <c r="J27" s="13">
        <f>SUMIF(Mercado_Receita!$T$2:$T$505,"44470B2Energia horáriaRuralServiço público de irrigação ruralNão se aplicaNão se aplicaPonta",Mercado_Receita!$N$2:$N$505)</f>
        <v>0</v>
      </c>
      <c r="K27" s="13">
        <f>SUMIF(Mercado_Receita!$T$2:$T$505,"44501B2Energia horáriaRuralServiço público de irrigação ruralNão se aplicaNão se aplicaPonta",Mercado_Receita!$N$2:$N$505)</f>
        <v>0</v>
      </c>
      <c r="L27" s="13">
        <f>SUMIF(Mercado_Receita!$T$2:$T$505,"44531B2Energia horáriaRuralServiço público de irrigação ruralNão se aplicaNão se aplicaPonta",Mercado_Receita!$N$2:$N$505)</f>
        <v>0</v>
      </c>
      <c r="M27" s="13">
        <f>SUMIF(Mercado_Receita!$T$2:$T$505,"44562B2Energia horáriaRuralServiço público de irrigação ruralNão se aplicaNão se aplicaPonta",Mercado_Receita!$N$2:$N$505)</f>
        <v>0</v>
      </c>
      <c r="N27" s="13">
        <f>SUMIF(Mercado_Receita!$T$2:$T$505,"44593B2Energia horáriaRuralServiço público de irrigação ruralNão se aplicaNão se aplicaPonta",Mercado_Receita!$N$2:$N$505)</f>
        <v>0</v>
      </c>
      <c r="O27" s="13">
        <f>SUMIF(Mercado_Receita!$T$2:$T$505,"44621B2Energia horáriaRuralServiço público de irrigação ruralNão se aplicaNão se aplicaPonta",Mercado_Receita!$N$2:$N$505)</f>
        <v>0</v>
      </c>
      <c r="P27" s="13">
        <f>SUMIF(Mercado_Receita!$T$2:$T$505,"44652B2Energia horáriaRuralServiço público de irrigação ruralNão se aplicaNão se aplicaPonta",Mercado_Receita!$N$2:$N$505)</f>
        <v>0</v>
      </c>
      <c r="Q27" s="13">
        <f>SUMIF(Mercado_Receita!$T$2:$T$505,"44682B2Energia horáriaRuralServiço público de irrigação ruralNão se aplicaNão se aplicaPonta",Mercado_Receita!$N$2:$N$505)</f>
        <v>0</v>
      </c>
      <c r="R27" s="13">
        <f>SUMIF(Mercado_Receita!$T$2:$T$505,"44713B2Energia horáriaRuralServiço público de irrigação ruralNão se aplicaNão se aplicaPonta",Mercado_Receita!$N$2:$N$505)</f>
        <v>0</v>
      </c>
      <c r="S27" s="13">
        <f>SUMIF(Mercado_Receita!$T$2:$T$505,"44743B2Energia horáriaRuralServiço público de irrigação ruralNão se aplicaNão se aplicaPonta",Mercado_Receita!$N$2:$N$505)</f>
        <v>0</v>
      </c>
      <c r="T27" s="13">
        <f>SUMIF(Mercado_Receita!$T$2:$T$505,"44774B2Energia horáriaRuralServiço público de irrigação ruralNão se aplicaNão se aplicaPonta",Mercado_Receita!$N$2:$N$505)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77"/>
      <c r="C28" s="77"/>
      <c r="D28" s="77"/>
      <c r="E28" s="77"/>
      <c r="F28" s="77"/>
      <c r="G28" s="13" t="s">
        <v>86</v>
      </c>
      <c r="H28" s="13" t="s">
        <v>74</v>
      </c>
      <c r="I28" s="13">
        <f>SUMIF(Mercado_Receita!$T$2:$T$505,"44440B2Energia horáriaRuralServiço público de irrigação ruralNão se aplicaNão se aplicaIntermediário",Mercado_Receita!$N$2:$N$505)</f>
        <v>0</v>
      </c>
      <c r="J28" s="13">
        <f>SUMIF(Mercado_Receita!$T$2:$T$505,"44470B2Energia horáriaRuralServiço público de irrigação ruralNão se aplicaNão se aplicaIntermediário",Mercado_Receita!$N$2:$N$505)</f>
        <v>0</v>
      </c>
      <c r="K28" s="13">
        <f>SUMIF(Mercado_Receita!$T$2:$T$505,"44501B2Energia horáriaRuralServiço público de irrigação ruralNão se aplicaNão se aplicaIntermediário",Mercado_Receita!$N$2:$N$505)</f>
        <v>0</v>
      </c>
      <c r="L28" s="13">
        <f>SUMIF(Mercado_Receita!$T$2:$T$505,"44531B2Energia horáriaRuralServiço público de irrigação ruralNão se aplicaNão se aplicaIntermediário",Mercado_Receita!$N$2:$N$505)</f>
        <v>0</v>
      </c>
      <c r="M28" s="13">
        <f>SUMIF(Mercado_Receita!$T$2:$T$505,"44562B2Energia horáriaRuralServiço público de irrigação ruralNão se aplicaNão se aplicaIntermediário",Mercado_Receita!$N$2:$N$505)</f>
        <v>0</v>
      </c>
      <c r="N28" s="13">
        <f>SUMIF(Mercado_Receita!$T$2:$T$505,"44593B2Energia horáriaRuralServiço público de irrigação ruralNão se aplicaNão se aplicaIntermediário",Mercado_Receita!$N$2:$N$505)</f>
        <v>0</v>
      </c>
      <c r="O28" s="13">
        <f>SUMIF(Mercado_Receita!$T$2:$T$505,"44621B2Energia horáriaRuralServiço público de irrigação ruralNão se aplicaNão se aplicaIntermediário",Mercado_Receita!$N$2:$N$505)</f>
        <v>0</v>
      </c>
      <c r="P28" s="13">
        <f>SUMIF(Mercado_Receita!$T$2:$T$505,"44652B2Energia horáriaRuralServiço público de irrigação ruralNão se aplicaNão se aplicaIntermediário",Mercado_Receita!$N$2:$N$505)</f>
        <v>0</v>
      </c>
      <c r="Q28" s="13">
        <f>SUMIF(Mercado_Receita!$T$2:$T$505,"44682B2Energia horáriaRuralServiço público de irrigação ruralNão se aplicaNão se aplicaIntermediário",Mercado_Receita!$N$2:$N$505)</f>
        <v>0</v>
      </c>
      <c r="R28" s="13">
        <f>SUMIF(Mercado_Receita!$T$2:$T$505,"44713B2Energia horáriaRuralServiço público de irrigação ruralNão se aplicaNão se aplicaIntermediário",Mercado_Receita!$N$2:$N$505)</f>
        <v>0</v>
      </c>
      <c r="S28" s="13">
        <f>SUMIF(Mercado_Receita!$T$2:$T$505,"44743B2Energia horáriaRuralServiço público de irrigação ruralNão se aplicaNão se aplicaIntermediário",Mercado_Receita!$N$2:$N$505)</f>
        <v>0</v>
      </c>
      <c r="T28" s="13">
        <f>SUMIF(Mercado_Receita!$T$2:$T$505,"44774B2Energia horáriaRuralServiço público de irrigação ruralNão se aplicaNão se aplicaIntermediário",Mercado_Receita!$N$2:$N$505)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7"/>
      <c r="C29" s="77"/>
      <c r="D29" s="77"/>
      <c r="E29" s="77"/>
      <c r="F29" s="77"/>
      <c r="G29" s="13" t="s">
        <v>76</v>
      </c>
      <c r="H29" s="13" t="s">
        <v>74</v>
      </c>
      <c r="I29" s="13">
        <f>SUMIF(Mercado_Receita!$T$2:$T$505,"44440B2Energia horáriaRuralServiço público de irrigação ruralNão se aplicaNão se aplicaFora ponta",Mercado_Receita!$N$2:$N$505)</f>
        <v>0</v>
      </c>
      <c r="J29" s="13">
        <f>SUMIF(Mercado_Receita!$T$2:$T$505,"44470B2Energia horáriaRuralServiço público de irrigação ruralNão se aplicaNão se aplicaFora ponta",Mercado_Receita!$N$2:$N$505)</f>
        <v>0</v>
      </c>
      <c r="K29" s="13">
        <f>SUMIF(Mercado_Receita!$T$2:$T$505,"44501B2Energia horáriaRuralServiço público de irrigação ruralNão se aplicaNão se aplicaFora ponta",Mercado_Receita!$N$2:$N$505)</f>
        <v>0</v>
      </c>
      <c r="L29" s="13">
        <f>SUMIF(Mercado_Receita!$T$2:$T$505,"44531B2Energia horáriaRuralServiço público de irrigação ruralNão se aplicaNão se aplicaFora ponta",Mercado_Receita!$N$2:$N$505)</f>
        <v>0</v>
      </c>
      <c r="M29" s="13">
        <f>SUMIF(Mercado_Receita!$T$2:$T$505,"44562B2Energia horáriaRuralServiço público de irrigação ruralNão se aplicaNão se aplicaFora ponta",Mercado_Receita!$N$2:$N$505)</f>
        <v>0</v>
      </c>
      <c r="N29" s="13">
        <f>SUMIF(Mercado_Receita!$T$2:$T$505,"44593B2Energia horáriaRuralServiço público de irrigação ruralNão se aplicaNão se aplicaFora ponta",Mercado_Receita!$N$2:$N$505)</f>
        <v>0</v>
      </c>
      <c r="O29" s="13">
        <f>SUMIF(Mercado_Receita!$T$2:$T$505,"44621B2Energia horáriaRuralServiço público de irrigação ruralNão se aplicaNão se aplicaFora ponta",Mercado_Receita!$N$2:$N$505)</f>
        <v>0</v>
      </c>
      <c r="P29" s="13">
        <f>SUMIF(Mercado_Receita!$T$2:$T$505,"44652B2Energia horáriaRuralServiço público de irrigação ruralNão se aplicaNão se aplicaFora ponta",Mercado_Receita!$N$2:$N$505)</f>
        <v>0</v>
      </c>
      <c r="Q29" s="13">
        <f>SUMIF(Mercado_Receita!$T$2:$T$505,"44682B2Energia horáriaRuralServiço público de irrigação ruralNão se aplicaNão se aplicaFora ponta",Mercado_Receita!$N$2:$N$505)</f>
        <v>0</v>
      </c>
      <c r="R29" s="13">
        <f>SUMIF(Mercado_Receita!$T$2:$T$505,"44713B2Energia horáriaRuralServiço público de irrigação ruralNão se aplicaNão se aplicaFora ponta",Mercado_Receita!$N$2:$N$505)</f>
        <v>0</v>
      </c>
      <c r="S29" s="13">
        <f>SUMIF(Mercado_Receita!$T$2:$T$505,"44743B2Energia horáriaRuralServiço público de irrigação ruralNão se aplicaNão se aplicaFora ponta",Mercado_Receita!$N$2:$N$505)</f>
        <v>0</v>
      </c>
      <c r="T29" s="13">
        <f>SUMIF(Mercado_Receita!$T$2:$T$505,"44774B2Energia horáriaRuralServiço público de irrigação ruralNão se aplicaNão se aplicaFora ponta",Mercado_Receita!$N$2:$N$505)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12" t="s">
        <v>87</v>
      </c>
      <c r="C30" s="12" t="s">
        <v>43</v>
      </c>
      <c r="D30" s="12" t="s">
        <v>91</v>
      </c>
      <c r="E30" s="12" t="s">
        <v>25</v>
      </c>
      <c r="F30" s="12" t="s">
        <v>25</v>
      </c>
      <c r="G30" s="13" t="s">
        <v>80</v>
      </c>
      <c r="H30" s="13" t="s">
        <v>74</v>
      </c>
      <c r="I30" s="13">
        <f>SUMIF(Mercado_Receita!$T$2:$T$505,"44440B2Energia convencionalRuralServiço público de irrigação ruralNão se aplicaNão se aplicaNão se aplica",Mercado_Receita!$N$2:$N$505)</f>
        <v>0</v>
      </c>
      <c r="J30" s="13">
        <f>SUMIF(Mercado_Receita!$T$2:$T$505,"44470B2Energia convencionalRuralServiço público de irrigação ruralNão se aplicaNão se aplicaNão se aplica",Mercado_Receita!$N$2:$N$505)</f>
        <v>0</v>
      </c>
      <c r="K30" s="13">
        <f>SUMIF(Mercado_Receita!$T$2:$T$505,"44501B2Energia convencionalRuralServiço público de irrigação ruralNão se aplicaNão se aplicaNão se aplica",Mercado_Receita!$N$2:$N$505)</f>
        <v>0</v>
      </c>
      <c r="L30" s="13">
        <f>SUMIF(Mercado_Receita!$T$2:$T$505,"44531B2Energia convencionalRuralServiço público de irrigação ruralNão se aplicaNão se aplicaNão se aplica",Mercado_Receita!$N$2:$N$505)</f>
        <v>0</v>
      </c>
      <c r="M30" s="13">
        <f>SUMIF(Mercado_Receita!$T$2:$T$505,"44562B2Energia convencionalRuralServiço público de irrigação ruralNão se aplicaNão se aplicaNão se aplica",Mercado_Receita!$N$2:$N$505)</f>
        <v>0</v>
      </c>
      <c r="N30" s="13">
        <f>SUMIF(Mercado_Receita!$T$2:$T$505,"44593B2Energia convencionalRuralServiço público de irrigação ruralNão se aplicaNão se aplicaNão se aplica",Mercado_Receita!$N$2:$N$505)</f>
        <v>0</v>
      </c>
      <c r="O30" s="13">
        <f>SUMIF(Mercado_Receita!$T$2:$T$505,"44621B2Energia convencionalRuralServiço público de irrigação ruralNão se aplicaNão se aplicaNão se aplica",Mercado_Receita!$N$2:$N$505)</f>
        <v>0</v>
      </c>
      <c r="P30" s="13">
        <f>SUMIF(Mercado_Receita!$T$2:$T$505,"44652B2Energia convencionalRuralServiço público de irrigação ruralNão se aplicaNão se aplicaNão se aplica",Mercado_Receita!$N$2:$N$505)</f>
        <v>0</v>
      </c>
      <c r="Q30" s="13">
        <f>SUMIF(Mercado_Receita!$T$2:$T$505,"44682B2Energia convencionalRuralServiço público de irrigação ruralNão se aplicaNão se aplicaNão se aplica",Mercado_Receita!$N$2:$N$505)</f>
        <v>0</v>
      </c>
      <c r="R30" s="13">
        <f>SUMIF(Mercado_Receita!$T$2:$T$505,"44713B2Energia convencionalRuralServiço público de irrigação ruralNão se aplicaNão se aplicaNão se aplica",Mercado_Receita!$N$2:$N$505)</f>
        <v>0</v>
      </c>
      <c r="S30" s="13">
        <f>SUMIF(Mercado_Receita!$T$2:$T$505,"44743B2Energia convencionalRuralServiço público de irrigação ruralNão se aplicaNão se aplicaNão se aplica",Mercado_Receita!$N$2:$N$505)</f>
        <v>0</v>
      </c>
      <c r="T30" s="13">
        <f>SUMIF(Mercado_Receita!$T$2:$T$505,"44774B2Energia convencionalRuralServiço público de irrigação ruralNão se aplicaNão se aplicaNão se aplica",Mercado_Receita!$N$2:$N$505)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7"/>
      <c r="B31" s="76" t="s">
        <v>88</v>
      </c>
      <c r="C31" s="76" t="s">
        <v>43</v>
      </c>
      <c r="D31" s="12" t="s">
        <v>25</v>
      </c>
      <c r="E31" s="12" t="s">
        <v>25</v>
      </c>
      <c r="F31" s="12" t="s">
        <v>25</v>
      </c>
      <c r="G31" s="13" t="s">
        <v>80</v>
      </c>
      <c r="H31" s="13" t="s">
        <v>74</v>
      </c>
      <c r="I31" s="13">
        <f>SUMIF(Mercado_Receita!$T$2:$T$505,"44440B2Energia convencional pré-pagamentoRuralNão se aplicaNão se aplicaNão se aplicaNão se aplica",Mercado_Receita!$N$2:$N$505)</f>
        <v>0</v>
      </c>
      <c r="J31" s="13">
        <f>SUMIF(Mercado_Receita!$T$2:$T$505,"44470B2Energia convencional pré-pagamentoRuralNão se aplicaNão se aplicaNão se aplicaNão se aplica",Mercado_Receita!$N$2:$N$505)</f>
        <v>0</v>
      </c>
      <c r="K31" s="13">
        <f>SUMIF(Mercado_Receita!$T$2:$T$505,"44501B2Energia convencional pré-pagamentoRuralNão se aplicaNão se aplicaNão se aplicaNão se aplica",Mercado_Receita!$N$2:$N$505)</f>
        <v>0</v>
      </c>
      <c r="L31" s="13">
        <f>SUMIF(Mercado_Receita!$T$2:$T$505,"44531B2Energia convencional pré-pagamentoRuralNão se aplicaNão se aplicaNão se aplicaNão se aplica",Mercado_Receita!$N$2:$N$505)</f>
        <v>0</v>
      </c>
      <c r="M31" s="13">
        <f>SUMIF(Mercado_Receita!$T$2:$T$505,"44562B2Energia convencional pré-pagamentoRuralNão se aplicaNão se aplicaNão se aplicaNão se aplica",Mercado_Receita!$N$2:$N$505)</f>
        <v>0</v>
      </c>
      <c r="N31" s="13">
        <f>SUMIF(Mercado_Receita!$T$2:$T$505,"44593B2Energia convencional pré-pagamentoRuralNão se aplicaNão se aplicaNão se aplicaNão se aplica",Mercado_Receita!$N$2:$N$505)</f>
        <v>0</v>
      </c>
      <c r="O31" s="13">
        <f>SUMIF(Mercado_Receita!$T$2:$T$505,"44621B2Energia convencional pré-pagamentoRuralNão se aplicaNão se aplicaNão se aplicaNão se aplica",Mercado_Receita!$N$2:$N$505)</f>
        <v>0</v>
      </c>
      <c r="P31" s="13">
        <f>SUMIF(Mercado_Receita!$T$2:$T$505,"44652B2Energia convencional pré-pagamentoRuralNão se aplicaNão se aplicaNão se aplicaNão se aplica",Mercado_Receita!$N$2:$N$505)</f>
        <v>0</v>
      </c>
      <c r="Q31" s="13">
        <f>SUMIF(Mercado_Receita!$T$2:$T$505,"44682B2Energia convencional pré-pagamentoRuralNão se aplicaNão se aplicaNão se aplicaNão se aplica",Mercado_Receita!$N$2:$N$505)</f>
        <v>0</v>
      </c>
      <c r="R31" s="13">
        <f>SUMIF(Mercado_Receita!$T$2:$T$505,"44713B2Energia convencional pré-pagamentoRuralNão se aplicaNão se aplicaNão se aplicaNão se aplica",Mercado_Receita!$N$2:$N$505)</f>
        <v>0</v>
      </c>
      <c r="S31" s="13">
        <f>SUMIF(Mercado_Receita!$T$2:$T$505,"44743B2Energia convencional pré-pagamentoRuralNão se aplicaNão se aplicaNão se aplicaNão se aplica",Mercado_Receita!$N$2:$N$505)</f>
        <v>0</v>
      </c>
      <c r="T31" s="13">
        <f>SUMIF(Mercado_Receita!$T$2:$T$505,"44774B2Energia convencional pré-pagamentoRuralNão se aplicaNão se aplicaNão se aplicaNão se aplica",Mercado_Receita!$N$2:$N$505)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/>
      <c r="B32" s="77"/>
      <c r="C32" s="77"/>
      <c r="D32" s="12" t="s">
        <v>90</v>
      </c>
      <c r="E32" s="12" t="s">
        <v>25</v>
      </c>
      <c r="F32" s="12" t="s">
        <v>25</v>
      </c>
      <c r="G32" s="13" t="s">
        <v>80</v>
      </c>
      <c r="H32" s="13" t="s">
        <v>74</v>
      </c>
      <c r="I32" s="13">
        <f>SUMIF(Mercado_Receita!$T$2:$T$505,"44440B2Energia convencional pré-pagamentoRuralCooperativa de eletrificação ruralNão se aplicaNão se aplicaNão se aplica",Mercado_Receita!$N$2:$N$505)</f>
        <v>0</v>
      </c>
      <c r="J32" s="13">
        <f>SUMIF(Mercado_Receita!$T$2:$T$505,"44470B2Energia convencional pré-pagamentoRuralCooperativa de eletrificação ruralNão se aplicaNão se aplicaNão se aplica",Mercado_Receita!$N$2:$N$505)</f>
        <v>0</v>
      </c>
      <c r="K32" s="13">
        <f>SUMIF(Mercado_Receita!$T$2:$T$505,"44501B2Energia convencional pré-pagamentoRuralCooperativa de eletrificação ruralNão se aplicaNão se aplicaNão se aplica",Mercado_Receita!$N$2:$N$505)</f>
        <v>0</v>
      </c>
      <c r="L32" s="13">
        <f>SUMIF(Mercado_Receita!$T$2:$T$505,"44531B2Energia convencional pré-pagamentoRuralCooperativa de eletrificação ruralNão se aplicaNão se aplicaNão se aplica",Mercado_Receita!$N$2:$N$505)</f>
        <v>0</v>
      </c>
      <c r="M32" s="13">
        <f>SUMIF(Mercado_Receita!$T$2:$T$505,"44562B2Energia convencional pré-pagamentoRuralCooperativa de eletrificação ruralNão se aplicaNão se aplicaNão se aplica",Mercado_Receita!$N$2:$N$505)</f>
        <v>0</v>
      </c>
      <c r="N32" s="13">
        <f>SUMIF(Mercado_Receita!$T$2:$T$505,"44593B2Energia convencional pré-pagamentoRuralCooperativa de eletrificação ruralNão se aplicaNão se aplicaNão se aplica",Mercado_Receita!$N$2:$N$505)</f>
        <v>0</v>
      </c>
      <c r="O32" s="13">
        <f>SUMIF(Mercado_Receita!$T$2:$T$505,"44621B2Energia convencional pré-pagamentoRuralCooperativa de eletrificação ruralNão se aplicaNão se aplicaNão se aplica",Mercado_Receita!$N$2:$N$505)</f>
        <v>0</v>
      </c>
      <c r="P32" s="13">
        <f>SUMIF(Mercado_Receita!$T$2:$T$505,"44652B2Energia convencional pré-pagamentoRuralCooperativa de eletrificação ruralNão se aplicaNão se aplicaNão se aplica",Mercado_Receita!$N$2:$N$505)</f>
        <v>0</v>
      </c>
      <c r="Q32" s="13">
        <f>SUMIF(Mercado_Receita!$T$2:$T$505,"44682B2Energia convencional pré-pagamentoRuralCooperativa de eletrificação ruralNão se aplicaNão se aplicaNão se aplica",Mercado_Receita!$N$2:$N$505)</f>
        <v>0</v>
      </c>
      <c r="R32" s="13">
        <f>SUMIF(Mercado_Receita!$T$2:$T$505,"44713B2Energia convencional pré-pagamentoRuralCooperativa de eletrificação ruralNão se aplicaNão se aplicaNão se aplica",Mercado_Receita!$N$2:$N$505)</f>
        <v>0</v>
      </c>
      <c r="S32" s="13">
        <f>SUMIF(Mercado_Receita!$T$2:$T$505,"44743B2Energia convencional pré-pagamentoRuralCooperativa de eletrificação ruralNão se aplicaNão se aplicaNão se aplica",Mercado_Receita!$N$2:$N$505)</f>
        <v>0</v>
      </c>
      <c r="T32" s="13">
        <f>SUMIF(Mercado_Receita!$T$2:$T$505,"44774B2Energia convencional pré-pagamentoRuralCooperativa de eletrificação ruralNão se aplicaNão se aplicaNão se aplica",Mercado_Receita!$N$2:$N$505)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7"/>
      <c r="B33" s="77"/>
      <c r="C33" s="77"/>
      <c r="D33" s="12" t="s">
        <v>91</v>
      </c>
      <c r="E33" s="12" t="s">
        <v>25</v>
      </c>
      <c r="F33" s="12" t="s">
        <v>25</v>
      </c>
      <c r="G33" s="13" t="s">
        <v>80</v>
      </c>
      <c r="H33" s="13" t="s">
        <v>74</v>
      </c>
      <c r="I33" s="13">
        <f>SUMIF(Mercado_Receita!$T$2:$T$505,"44440B2Energia convencional pré-pagamentoRuralServiço público de irrigação ruralNão se aplicaNão se aplicaNão se aplica",Mercado_Receita!$N$2:$N$505)</f>
        <v>0</v>
      </c>
      <c r="J33" s="13">
        <f>SUMIF(Mercado_Receita!$T$2:$T$505,"44470B2Energia convencional pré-pagamentoRuralServiço público de irrigação ruralNão se aplicaNão se aplicaNão se aplica",Mercado_Receita!$N$2:$N$505)</f>
        <v>0</v>
      </c>
      <c r="K33" s="13">
        <f>SUMIF(Mercado_Receita!$T$2:$T$505,"44501B2Energia convencional pré-pagamentoRuralServiço público de irrigação ruralNão se aplicaNão se aplicaNão se aplica",Mercado_Receita!$N$2:$N$505)</f>
        <v>0</v>
      </c>
      <c r="L33" s="13">
        <f>SUMIF(Mercado_Receita!$T$2:$T$505,"44531B2Energia convencional pré-pagamentoRuralServiço público de irrigação ruralNão se aplicaNão se aplicaNão se aplica",Mercado_Receita!$N$2:$N$505)</f>
        <v>0</v>
      </c>
      <c r="M33" s="13">
        <f>SUMIF(Mercado_Receita!$T$2:$T$505,"44562B2Energia convencional pré-pagamentoRuralServiço público de irrigação ruralNão se aplicaNão se aplicaNão se aplica",Mercado_Receita!$N$2:$N$505)</f>
        <v>0</v>
      </c>
      <c r="N33" s="13">
        <f>SUMIF(Mercado_Receita!$T$2:$T$505,"44593B2Energia convencional pré-pagamentoRuralServiço público de irrigação ruralNão se aplicaNão se aplicaNão se aplica",Mercado_Receita!$N$2:$N$505)</f>
        <v>0</v>
      </c>
      <c r="O33" s="13">
        <f>SUMIF(Mercado_Receita!$T$2:$T$505,"44621B2Energia convencional pré-pagamentoRuralServiço público de irrigação ruralNão se aplicaNão se aplicaNão se aplica",Mercado_Receita!$N$2:$N$505)</f>
        <v>0</v>
      </c>
      <c r="P33" s="13">
        <f>SUMIF(Mercado_Receita!$T$2:$T$505,"44652B2Energia convencional pré-pagamentoRuralServiço público de irrigação ruralNão se aplicaNão se aplicaNão se aplica",Mercado_Receita!$N$2:$N$505)</f>
        <v>0</v>
      </c>
      <c r="Q33" s="13">
        <f>SUMIF(Mercado_Receita!$T$2:$T$505,"44682B2Energia convencional pré-pagamentoRuralServiço público de irrigação ruralNão se aplicaNão se aplicaNão se aplica",Mercado_Receita!$N$2:$N$505)</f>
        <v>0</v>
      </c>
      <c r="R33" s="13">
        <f>SUMIF(Mercado_Receita!$T$2:$T$505,"44713B2Energia convencional pré-pagamentoRuralServiço público de irrigação ruralNão se aplicaNão se aplicaNão se aplica",Mercado_Receita!$N$2:$N$505)</f>
        <v>0</v>
      </c>
      <c r="S33" s="13">
        <f>SUMIF(Mercado_Receita!$T$2:$T$505,"44743B2Energia convencional pré-pagamentoRuralServiço público de irrigação ruralNão se aplicaNão se aplicaNão se aplica",Mercado_Receita!$N$2:$N$505)</f>
        <v>0</v>
      </c>
      <c r="T33" s="13">
        <f>SUMIF(Mercado_Receita!$T$2:$T$505,"44774B2Energia convencional pré-pagamentoRuralServiço público de irrigação ruralNão se aplicaNão se aplicaNão se aplica",Mercado_Receita!$N$2:$N$505)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6" t="s">
        <v>33</v>
      </c>
      <c r="B34" s="76" t="s">
        <v>73</v>
      </c>
      <c r="C34" s="76" t="s">
        <v>25</v>
      </c>
      <c r="D34" s="76" t="s">
        <v>25</v>
      </c>
      <c r="E34" s="76" t="s">
        <v>25</v>
      </c>
      <c r="F34" s="76" t="s">
        <v>25</v>
      </c>
      <c r="G34" s="13" t="s">
        <v>75</v>
      </c>
      <c r="H34" s="13" t="s">
        <v>74</v>
      </c>
      <c r="I34" s="13">
        <f>SUMIF(Mercado_Receita!$T$2:$T$505,"44440B3Energia horáriaNão se aplicaNão se aplicaNão se aplicaNão se aplicaPonta",Mercado_Receita!$N$2:$N$505)</f>
        <v>0</v>
      </c>
      <c r="J34" s="13">
        <f>SUMIF(Mercado_Receita!$T$2:$T$505,"44470B3Energia horáriaNão se aplicaNão se aplicaNão se aplicaNão se aplicaPonta",Mercado_Receita!$N$2:$N$505)</f>
        <v>0</v>
      </c>
      <c r="K34" s="13">
        <f>SUMIF(Mercado_Receita!$T$2:$T$505,"44501B3Energia horáriaNão se aplicaNão se aplicaNão se aplicaNão se aplicaPonta",Mercado_Receita!$N$2:$N$505)</f>
        <v>0</v>
      </c>
      <c r="L34" s="13">
        <f>SUMIF(Mercado_Receita!$T$2:$T$505,"44531B3Energia horáriaNão se aplicaNão se aplicaNão se aplicaNão se aplicaPonta",Mercado_Receita!$N$2:$N$505)</f>
        <v>0</v>
      </c>
      <c r="M34" s="13">
        <f>SUMIF(Mercado_Receita!$T$2:$T$505,"44562B3Energia horáriaNão se aplicaNão se aplicaNão se aplicaNão se aplicaPonta",Mercado_Receita!$N$2:$N$505)</f>
        <v>0</v>
      </c>
      <c r="N34" s="13">
        <f>SUMIF(Mercado_Receita!$T$2:$T$505,"44593B3Energia horáriaNão se aplicaNão se aplicaNão se aplicaNão se aplicaPonta",Mercado_Receita!$N$2:$N$505)</f>
        <v>0</v>
      </c>
      <c r="O34" s="13">
        <f>SUMIF(Mercado_Receita!$T$2:$T$505,"44621B3Energia horáriaNão se aplicaNão se aplicaNão se aplicaNão se aplicaPonta",Mercado_Receita!$N$2:$N$505)</f>
        <v>0</v>
      </c>
      <c r="P34" s="13">
        <f>SUMIF(Mercado_Receita!$T$2:$T$505,"44652B3Energia horáriaNão se aplicaNão se aplicaNão se aplicaNão se aplicaPonta",Mercado_Receita!$N$2:$N$505)</f>
        <v>0</v>
      </c>
      <c r="Q34" s="13">
        <f>SUMIF(Mercado_Receita!$T$2:$T$505,"44682B3Energia horáriaNão se aplicaNão se aplicaNão se aplicaNão se aplicaPonta",Mercado_Receita!$N$2:$N$505)</f>
        <v>0</v>
      </c>
      <c r="R34" s="13">
        <f>SUMIF(Mercado_Receita!$T$2:$T$505,"44713B3Energia horáriaNão se aplicaNão se aplicaNão se aplicaNão se aplicaPonta",Mercado_Receita!$N$2:$N$505)</f>
        <v>0</v>
      </c>
      <c r="S34" s="13">
        <f>SUMIF(Mercado_Receita!$T$2:$T$505,"44743B3Energia horáriaNão se aplicaNão se aplicaNão se aplicaNão se aplicaPonta",Mercado_Receita!$N$2:$N$505)</f>
        <v>0</v>
      </c>
      <c r="T34" s="13">
        <f>SUMIF(Mercado_Receita!$T$2:$T$505,"44774B3Energia horáriaNão se aplicaNão se aplicaNão se aplicaNão se aplicaPonta",Mercado_Receita!$N$2:$N$505)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7"/>
      <c r="B35" s="77"/>
      <c r="C35" s="77"/>
      <c r="D35" s="77"/>
      <c r="E35" s="77"/>
      <c r="F35" s="77"/>
      <c r="G35" s="13" t="s">
        <v>86</v>
      </c>
      <c r="H35" s="13" t="s">
        <v>74</v>
      </c>
      <c r="I35" s="13">
        <f>SUMIF(Mercado_Receita!$T$2:$T$505,"44440B3Energia horáriaNão se aplicaNão se aplicaNão se aplicaNão se aplicaIntermediário",Mercado_Receita!$N$2:$N$505)</f>
        <v>0</v>
      </c>
      <c r="J35" s="13">
        <f>SUMIF(Mercado_Receita!$T$2:$T$505,"44470B3Energia horáriaNão se aplicaNão se aplicaNão se aplicaNão se aplicaIntermediário",Mercado_Receita!$N$2:$N$505)</f>
        <v>0</v>
      </c>
      <c r="K35" s="13">
        <f>SUMIF(Mercado_Receita!$T$2:$T$505,"44501B3Energia horáriaNão se aplicaNão se aplicaNão se aplicaNão se aplicaIntermediário",Mercado_Receita!$N$2:$N$505)</f>
        <v>0</v>
      </c>
      <c r="L35" s="13">
        <f>SUMIF(Mercado_Receita!$T$2:$T$505,"44531B3Energia horáriaNão se aplicaNão se aplicaNão se aplicaNão se aplicaIntermediário",Mercado_Receita!$N$2:$N$505)</f>
        <v>0</v>
      </c>
      <c r="M35" s="13">
        <f>SUMIF(Mercado_Receita!$T$2:$T$505,"44562B3Energia horáriaNão se aplicaNão se aplicaNão se aplicaNão se aplicaIntermediário",Mercado_Receita!$N$2:$N$505)</f>
        <v>0</v>
      </c>
      <c r="N35" s="13">
        <f>SUMIF(Mercado_Receita!$T$2:$T$505,"44593B3Energia horáriaNão se aplicaNão se aplicaNão se aplicaNão se aplicaIntermediário",Mercado_Receita!$N$2:$N$505)</f>
        <v>0</v>
      </c>
      <c r="O35" s="13">
        <f>SUMIF(Mercado_Receita!$T$2:$T$505,"44621B3Energia horáriaNão se aplicaNão se aplicaNão se aplicaNão se aplicaIntermediário",Mercado_Receita!$N$2:$N$505)</f>
        <v>0</v>
      </c>
      <c r="P35" s="13">
        <f>SUMIF(Mercado_Receita!$T$2:$T$505,"44652B3Energia horáriaNão se aplicaNão se aplicaNão se aplicaNão se aplicaIntermediário",Mercado_Receita!$N$2:$N$505)</f>
        <v>0</v>
      </c>
      <c r="Q35" s="13">
        <f>SUMIF(Mercado_Receita!$T$2:$T$505,"44682B3Energia horáriaNão se aplicaNão se aplicaNão se aplicaNão se aplicaIntermediário",Mercado_Receita!$N$2:$N$505)</f>
        <v>0</v>
      </c>
      <c r="R35" s="13">
        <f>SUMIF(Mercado_Receita!$T$2:$T$505,"44713B3Energia horáriaNão se aplicaNão se aplicaNão se aplicaNão se aplicaIntermediário",Mercado_Receita!$N$2:$N$505)</f>
        <v>0</v>
      </c>
      <c r="S35" s="13">
        <f>SUMIF(Mercado_Receita!$T$2:$T$505,"44743B3Energia horáriaNão se aplicaNão se aplicaNão se aplicaNão se aplicaIntermediário",Mercado_Receita!$N$2:$N$505)</f>
        <v>0</v>
      </c>
      <c r="T35" s="13">
        <f>SUMIF(Mercado_Receita!$T$2:$T$505,"44774B3Energia horáriaNão se aplicaNão se aplicaNão se aplicaNão se aplicaIntermediário",Mercado_Receita!$N$2:$N$505)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7"/>
      <c r="B36" s="77"/>
      <c r="C36" s="77"/>
      <c r="D36" s="77"/>
      <c r="E36" s="77"/>
      <c r="F36" s="77"/>
      <c r="G36" s="13" t="s">
        <v>76</v>
      </c>
      <c r="H36" s="13" t="s">
        <v>74</v>
      </c>
      <c r="I36" s="13">
        <f>SUMIF(Mercado_Receita!$T$2:$T$505,"44440B3Energia horáriaNão se aplicaNão se aplicaNão se aplicaNão se aplicaFora ponta",Mercado_Receita!$N$2:$N$505)</f>
        <v>0</v>
      </c>
      <c r="J36" s="13">
        <f>SUMIF(Mercado_Receita!$T$2:$T$505,"44470B3Energia horáriaNão se aplicaNão se aplicaNão se aplicaNão se aplicaFora ponta",Mercado_Receita!$N$2:$N$505)</f>
        <v>0</v>
      </c>
      <c r="K36" s="13">
        <f>SUMIF(Mercado_Receita!$T$2:$T$505,"44501B3Energia horáriaNão se aplicaNão se aplicaNão se aplicaNão se aplicaFora ponta",Mercado_Receita!$N$2:$N$505)</f>
        <v>0</v>
      </c>
      <c r="L36" s="13">
        <f>SUMIF(Mercado_Receita!$T$2:$T$505,"44531B3Energia horáriaNão se aplicaNão se aplicaNão se aplicaNão se aplicaFora ponta",Mercado_Receita!$N$2:$N$505)</f>
        <v>0</v>
      </c>
      <c r="M36" s="13">
        <f>SUMIF(Mercado_Receita!$T$2:$T$505,"44562B3Energia horáriaNão se aplicaNão se aplicaNão se aplicaNão se aplicaFora ponta",Mercado_Receita!$N$2:$N$505)</f>
        <v>0</v>
      </c>
      <c r="N36" s="13">
        <f>SUMIF(Mercado_Receita!$T$2:$T$505,"44593B3Energia horáriaNão se aplicaNão se aplicaNão se aplicaNão se aplicaFora ponta",Mercado_Receita!$N$2:$N$505)</f>
        <v>0</v>
      </c>
      <c r="O36" s="13">
        <f>SUMIF(Mercado_Receita!$T$2:$T$505,"44621B3Energia horáriaNão se aplicaNão se aplicaNão se aplicaNão se aplicaFora ponta",Mercado_Receita!$N$2:$N$505)</f>
        <v>0</v>
      </c>
      <c r="P36" s="13">
        <f>SUMIF(Mercado_Receita!$T$2:$T$505,"44652B3Energia horáriaNão se aplicaNão se aplicaNão se aplicaNão se aplicaFora ponta",Mercado_Receita!$N$2:$N$505)</f>
        <v>0</v>
      </c>
      <c r="Q36" s="13">
        <f>SUMIF(Mercado_Receita!$T$2:$T$505,"44682B3Energia horáriaNão se aplicaNão se aplicaNão se aplicaNão se aplicaFora ponta",Mercado_Receita!$N$2:$N$505)</f>
        <v>0</v>
      </c>
      <c r="R36" s="13">
        <f>SUMIF(Mercado_Receita!$T$2:$T$505,"44713B3Energia horáriaNão se aplicaNão se aplicaNão se aplicaNão se aplicaFora ponta",Mercado_Receita!$N$2:$N$505)</f>
        <v>0</v>
      </c>
      <c r="S36" s="13">
        <f>SUMIF(Mercado_Receita!$T$2:$T$505,"44743B3Energia horáriaNão se aplicaNão se aplicaNão se aplicaNão se aplicaFora ponta",Mercado_Receita!$N$2:$N$505)</f>
        <v>0</v>
      </c>
      <c r="T36" s="13">
        <f>SUMIF(Mercado_Receita!$T$2:$T$505,"44774B3Energia horáriaNão se aplicaNão se aplicaNão se aplicaNão se aplicaFora ponta",Mercado_Receita!$N$2:$N$505)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/>
      <c r="B37" s="12" t="s">
        <v>87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80</v>
      </c>
      <c r="H37" s="13" t="s">
        <v>74</v>
      </c>
      <c r="I37" s="13">
        <f>SUMIF(Mercado_Receita!$T$2:$T$505,"44440B3Energia convencionalNão se aplicaNão se aplicaNão se aplicaNão se aplicaNão se aplica",Mercado_Receita!$N$2:$N$505)</f>
        <v>1695.8159999999998</v>
      </c>
      <c r="J37" s="13">
        <f>SUMIF(Mercado_Receita!$T$2:$T$505,"44470B3Energia convencionalNão se aplicaNão se aplicaNão se aplicaNão se aplicaNão se aplica",Mercado_Receita!$N$2:$N$505)</f>
        <v>1684.309</v>
      </c>
      <c r="K37" s="13">
        <f>SUMIF(Mercado_Receita!$T$2:$T$505,"44501B3Energia convencionalNão se aplicaNão se aplicaNão se aplicaNão se aplicaNão se aplica",Mercado_Receita!$N$2:$N$505)</f>
        <v>1711.1589999999999</v>
      </c>
      <c r="L37" s="13">
        <f>SUMIF(Mercado_Receita!$T$2:$T$505,"44531B3Energia convencionalNão se aplicaNão se aplicaNão se aplicaNão se aplicaNão se aplica",Mercado_Receita!$N$2:$N$505)</f>
        <v>1835.1700000000003</v>
      </c>
      <c r="M37" s="13">
        <f>SUMIF(Mercado_Receita!$T$2:$T$505,"44562B3Energia convencionalNão se aplicaNão se aplicaNão se aplicaNão se aplicaNão se aplica",Mercado_Receita!$N$2:$N$505)</f>
        <v>1934.8400000000001</v>
      </c>
      <c r="N37" s="13">
        <f>SUMIF(Mercado_Receita!$T$2:$T$505,"44593B3Energia convencionalNão se aplicaNão se aplicaNão se aplicaNão se aplicaNão se aplica",Mercado_Receita!$N$2:$N$505)</f>
        <v>2098.085</v>
      </c>
      <c r="O37" s="13">
        <f>SUMIF(Mercado_Receita!$T$2:$T$505,"44621B3Energia convencionalNão se aplicaNão se aplicaNão se aplicaNão se aplicaNão se aplica",Mercado_Receita!$N$2:$N$505)</f>
        <v>2152.739</v>
      </c>
      <c r="P37" s="13">
        <f>SUMIF(Mercado_Receita!$T$2:$T$505,"44652B3Energia convencionalNão se aplicaNão se aplicaNão se aplicaNão se aplicaNão se aplica",Mercado_Receita!$N$2:$N$505)</f>
        <v>1907.1559999999999</v>
      </c>
      <c r="Q37" s="13">
        <f>SUMIF(Mercado_Receita!$T$2:$T$505,"44682B3Energia convencionalNão se aplicaNão se aplicaNão se aplicaNão se aplicaNão se aplica",Mercado_Receita!$N$2:$N$505)</f>
        <v>1638.9849999999997</v>
      </c>
      <c r="R37" s="13">
        <f>SUMIF(Mercado_Receita!$T$2:$T$505,"44713B3Energia convencionalNão se aplicaNão se aplicaNão se aplicaNão se aplicaNão se aplica",Mercado_Receita!$N$2:$N$505)</f>
        <v>1627.998</v>
      </c>
      <c r="S37" s="13">
        <f>SUMIF(Mercado_Receita!$T$2:$T$505,"44743B3Energia convencionalNão se aplicaNão se aplicaNão se aplicaNão se aplicaNão se aplica",Mercado_Receita!$N$2:$N$505)</f>
        <v>1607.4080000000001</v>
      </c>
      <c r="T37" s="13">
        <f>SUMIF(Mercado_Receita!$T$2:$T$505,"44774B3Energia convencionalNão se aplicaNão se aplicaNão se aplicaNão se aplicaNão se aplica",Mercado_Receita!$N$2:$N$505)</f>
        <v>1607.4080000000001</v>
      </c>
      <c r="U37" s="13">
        <f t="shared" si="0"/>
        <v>21501.073</v>
      </c>
      <c r="V37" s="13"/>
      <c r="W37" s="13"/>
    </row>
    <row r="38" spans="1:23" ht="11.25" customHeight="1" x14ac:dyDescent="0.25">
      <c r="A38" s="77"/>
      <c r="B38" s="12" t="s">
        <v>88</v>
      </c>
      <c r="C38" s="12" t="s">
        <v>25</v>
      </c>
      <c r="D38" s="12" t="s">
        <v>25</v>
      </c>
      <c r="E38" s="12" t="s">
        <v>25</v>
      </c>
      <c r="F38" s="12" t="s">
        <v>25</v>
      </c>
      <c r="G38" s="13" t="s">
        <v>80</v>
      </c>
      <c r="H38" s="13" t="s">
        <v>74</v>
      </c>
      <c r="I38" s="13">
        <f>SUMIF(Mercado_Receita!$T$2:$T$505,"44440B3Energia convencional pré-pagamentoNão se aplicaNão se aplicaNão se aplicaNão se aplicaNão se aplica",Mercado_Receita!$N$2:$N$505)</f>
        <v>0</v>
      </c>
      <c r="J38" s="13">
        <f>SUMIF(Mercado_Receita!$T$2:$T$505,"44470B3Energia convencional pré-pagamentoNão se aplicaNão se aplicaNão se aplicaNão se aplicaNão se aplica",Mercado_Receita!$N$2:$N$505)</f>
        <v>0</v>
      </c>
      <c r="K38" s="13">
        <f>SUMIF(Mercado_Receita!$T$2:$T$505,"44501B3Energia convencional pré-pagamentoNão se aplicaNão se aplicaNão se aplicaNão se aplicaNão se aplica",Mercado_Receita!$N$2:$N$505)</f>
        <v>0</v>
      </c>
      <c r="L38" s="13">
        <f>SUMIF(Mercado_Receita!$T$2:$T$505,"44531B3Energia convencional pré-pagamentoNão se aplicaNão se aplicaNão se aplicaNão se aplicaNão se aplica",Mercado_Receita!$N$2:$N$505)</f>
        <v>0</v>
      </c>
      <c r="M38" s="13">
        <f>SUMIF(Mercado_Receita!$T$2:$T$505,"44562B3Energia convencional pré-pagamentoNão se aplicaNão se aplicaNão se aplicaNão se aplicaNão se aplica",Mercado_Receita!$N$2:$N$505)</f>
        <v>0</v>
      </c>
      <c r="N38" s="13">
        <f>SUMIF(Mercado_Receita!$T$2:$T$505,"44593B3Energia convencional pré-pagamentoNão se aplicaNão se aplicaNão se aplicaNão se aplicaNão se aplica",Mercado_Receita!$N$2:$N$505)</f>
        <v>0</v>
      </c>
      <c r="O38" s="13">
        <f>SUMIF(Mercado_Receita!$T$2:$T$505,"44621B3Energia convencional pré-pagamentoNão se aplicaNão se aplicaNão se aplicaNão se aplicaNão se aplica",Mercado_Receita!$N$2:$N$505)</f>
        <v>0</v>
      </c>
      <c r="P38" s="13">
        <f>SUMIF(Mercado_Receita!$T$2:$T$505,"44652B3Energia convencional pré-pagamentoNão se aplicaNão se aplicaNão se aplicaNão se aplicaNão se aplica",Mercado_Receita!$N$2:$N$505)</f>
        <v>0</v>
      </c>
      <c r="Q38" s="13">
        <f>SUMIF(Mercado_Receita!$T$2:$T$505,"44682B3Energia convencional pré-pagamentoNão se aplicaNão se aplicaNão se aplicaNão se aplicaNão se aplica",Mercado_Receita!$N$2:$N$505)</f>
        <v>0</v>
      </c>
      <c r="R38" s="13">
        <f>SUMIF(Mercado_Receita!$T$2:$T$505,"44713B3Energia convencional pré-pagamentoNão se aplicaNão se aplicaNão se aplicaNão se aplicaNão se aplica",Mercado_Receita!$N$2:$N$505)</f>
        <v>0</v>
      </c>
      <c r="S38" s="13">
        <f>SUMIF(Mercado_Receita!$T$2:$T$505,"44743B3Energia convencional pré-pagamentoNão se aplicaNão se aplicaNão se aplicaNão se aplicaNão se aplica",Mercado_Receita!$N$2:$N$505)</f>
        <v>0</v>
      </c>
      <c r="T38" s="13">
        <f>SUMIF(Mercado_Receita!$T$2:$T$505,"44774B3Energia convencional pré-pagamentoNão se aplicaNão se aplicaNão se aplicaNão se aplicaNão se aplica",Mercado_Receita!$N$2:$N$505)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6" t="s">
        <v>45</v>
      </c>
      <c r="B39" s="76" t="s">
        <v>87</v>
      </c>
      <c r="C39" s="76" t="s">
        <v>46</v>
      </c>
      <c r="D39" s="12" t="s">
        <v>47</v>
      </c>
      <c r="E39" s="12" t="s">
        <v>25</v>
      </c>
      <c r="F39" s="12" t="s">
        <v>25</v>
      </c>
      <c r="G39" s="13" t="s">
        <v>80</v>
      </c>
      <c r="H39" s="13" t="s">
        <v>74</v>
      </c>
      <c r="I39" s="13">
        <f>SUMIF(Mercado_Receita!$T$2:$T$505,"44440B4Energia convencionalIluminação públicaIluminação pública – B4aNão se aplicaNão se aplicaNão se aplica",Mercado_Receita!$N$2:$N$505)</f>
        <v>859.23299999999995</v>
      </c>
      <c r="J39" s="13">
        <f>SUMIF(Mercado_Receita!$T$2:$T$505,"44470B4Energia convencionalIluminação públicaIluminação pública – B4aNão se aplicaNão se aplicaNão se aplica",Mercado_Receita!$N$2:$N$505)</f>
        <v>817.678</v>
      </c>
      <c r="K39" s="13">
        <f>SUMIF(Mercado_Receita!$T$2:$T$505,"44501B4Energia convencionalIluminação públicaIluminação pública – B4aNão se aplicaNão se aplicaNão se aplica",Mercado_Receita!$N$2:$N$505)</f>
        <v>736.83299999999997</v>
      </c>
      <c r="L39" s="13">
        <f>SUMIF(Mercado_Receita!$T$2:$T$505,"44531B4Energia convencionalIluminação públicaIluminação pública – B4aNão se aplicaNão se aplicaNão se aplica",Mercado_Receita!$N$2:$N$505)</f>
        <v>747.09400000000005</v>
      </c>
      <c r="M39" s="13">
        <f>SUMIF(Mercado_Receita!$T$2:$T$505,"44562B4Energia convencionalIluminação públicaIluminação pública – B4aNão se aplicaNão se aplicaNão se aplica",Mercado_Receita!$N$2:$N$505)</f>
        <v>766.45399999999995</v>
      </c>
      <c r="N39" s="13">
        <f>SUMIF(Mercado_Receita!$T$2:$T$505,"44593B4Energia convencionalIluminação públicaIluminação pública – B4aNão se aplicaNão se aplicaNão se aplica",Mercado_Receita!$N$2:$N$505)</f>
        <v>738.93299999999999</v>
      </c>
      <c r="O39" s="13">
        <f>SUMIF(Mercado_Receita!$T$2:$T$505,"44621B4Energia convencionalIluminação públicaIluminação pública – B4aNão se aplicaNão se aplicaNão se aplica",Mercado_Receita!$N$2:$N$505)</f>
        <v>880.73500000000001</v>
      </c>
      <c r="P39" s="13">
        <f>SUMIF(Mercado_Receita!$T$2:$T$505,"44652B4Energia convencionalIluminação públicaIluminação pública – B4aNão se aplicaNão se aplicaNão se aplica",Mercado_Receita!$N$2:$N$505)</f>
        <v>916.23199999999997</v>
      </c>
      <c r="Q39" s="13">
        <f>SUMIF(Mercado_Receita!$T$2:$T$505,"44682B4Energia convencionalIluminação públicaIluminação pública – B4aNão se aplicaNão se aplicaNão se aplica",Mercado_Receita!$N$2:$N$505)</f>
        <v>1000.045</v>
      </c>
      <c r="R39" s="13">
        <f>SUMIF(Mercado_Receita!$T$2:$T$505,"44713B4Energia convencionalIluminação públicaIluminação pública – B4aNão se aplicaNão se aplicaNão se aplica",Mercado_Receita!$N$2:$N$505)</f>
        <v>993.78499999999997</v>
      </c>
      <c r="S39" s="13">
        <f>SUMIF(Mercado_Receita!$T$2:$T$505,"44743B4Energia convencionalIluminação públicaIluminação pública – B4aNão se aplicaNão se aplicaNão se aplica",Mercado_Receita!$N$2:$N$505)</f>
        <v>1011.848</v>
      </c>
      <c r="T39" s="13">
        <f>SUMIF(Mercado_Receita!$T$2:$T$505,"44774B4Energia convencionalIluminação públicaIluminação pública – B4aNão se aplicaNão se aplicaNão se aplica",Mercado_Receita!$N$2:$N$505)</f>
        <v>1011.848</v>
      </c>
      <c r="U39" s="13">
        <f t="shared" si="0"/>
        <v>10480.718000000001</v>
      </c>
      <c r="V39" s="13"/>
      <c r="W39" s="13"/>
    </row>
    <row r="40" spans="1:23" ht="11.25" customHeight="1" x14ac:dyDescent="0.25">
      <c r="A40" s="77"/>
      <c r="B40" s="77"/>
      <c r="C40" s="77"/>
      <c r="D40" s="13" t="s">
        <v>92</v>
      </c>
      <c r="E40" s="13" t="s">
        <v>25</v>
      </c>
      <c r="F40" s="13" t="s">
        <v>25</v>
      </c>
      <c r="G40" s="13" t="s">
        <v>80</v>
      </c>
      <c r="H40" s="13" t="s">
        <v>74</v>
      </c>
      <c r="I40" s="13">
        <f>SUMIF(Mercado_Receita!$T$2:$T$505,"44440B4Energia convencionalIluminação públicaIluminação pública – B4bNão se aplicaNão se aplicaNão se aplica",Mercado_Receita!$N$2:$N$505)</f>
        <v>0</v>
      </c>
      <c r="J40" s="13">
        <f>SUMIF(Mercado_Receita!$T$2:$T$505,"44470B4Energia convencionalIluminação públicaIluminação pública – B4bNão se aplicaNão se aplicaNão se aplica",Mercado_Receita!$N$2:$N$505)</f>
        <v>0</v>
      </c>
      <c r="K40" s="13">
        <f>SUMIF(Mercado_Receita!$T$2:$T$505,"44501B4Energia convencionalIluminação públicaIluminação pública – B4bNão se aplicaNão se aplicaNão se aplica",Mercado_Receita!$N$2:$N$505)</f>
        <v>0</v>
      </c>
      <c r="L40" s="13">
        <f>SUMIF(Mercado_Receita!$T$2:$T$505,"44531B4Energia convencionalIluminação públicaIluminação pública – B4bNão se aplicaNão se aplicaNão se aplica",Mercado_Receita!$N$2:$N$505)</f>
        <v>0</v>
      </c>
      <c r="M40" s="13">
        <f>SUMIF(Mercado_Receita!$T$2:$T$505,"44562B4Energia convencionalIluminação públicaIluminação pública – B4bNão se aplicaNão se aplicaNão se aplica",Mercado_Receita!$N$2:$N$505)</f>
        <v>0</v>
      </c>
      <c r="N40" s="13">
        <f>SUMIF(Mercado_Receita!$T$2:$T$505,"44593B4Energia convencionalIluminação públicaIluminação pública – B4bNão se aplicaNão se aplicaNão se aplica",Mercado_Receita!$N$2:$N$505)</f>
        <v>0</v>
      </c>
      <c r="O40" s="13">
        <f>SUMIF(Mercado_Receita!$T$2:$T$505,"44621B4Energia convencionalIluminação públicaIluminação pública – B4bNão se aplicaNão se aplicaNão se aplica",Mercado_Receita!$N$2:$N$505)</f>
        <v>0</v>
      </c>
      <c r="P40" s="13">
        <f>SUMIF(Mercado_Receita!$T$2:$T$505,"44652B4Energia convencionalIluminação públicaIluminação pública – B4bNão se aplicaNão se aplicaNão se aplica",Mercado_Receita!$N$2:$N$505)</f>
        <v>0</v>
      </c>
      <c r="Q40" s="13">
        <f>SUMIF(Mercado_Receita!$T$2:$T$505,"44682B4Energia convencionalIluminação públicaIluminação pública – B4bNão se aplicaNão se aplicaNão se aplica",Mercado_Receita!$N$2:$N$505)</f>
        <v>0</v>
      </c>
      <c r="R40" s="13">
        <f>SUMIF(Mercado_Receita!$T$2:$T$505,"44713B4Energia convencionalIluminação públicaIluminação pública – B4bNão se aplicaNão se aplicaNão se aplica",Mercado_Receita!$N$2:$N$505)</f>
        <v>0</v>
      </c>
      <c r="S40" s="13">
        <f>SUMIF(Mercado_Receita!$T$2:$T$505,"44743B4Energia convencionalIluminação públicaIluminação pública – B4bNão se aplicaNão se aplicaNão se aplica",Mercado_Receita!$N$2:$N$505)</f>
        <v>0</v>
      </c>
      <c r="T40" s="13">
        <f>SUMIF(Mercado_Receita!$T$2:$T$505,"44774B4Energia convencionalIluminação públicaIluminação pública – B4bNão se aplicaNão se aplicaNão se aplica",Mercado_Receita!$N$2:$N$505)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8" t="s">
        <v>447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13"/>
      <c r="W41" s="13"/>
    </row>
  </sheetData>
  <mergeCells count="50">
    <mergeCell ref="A39:A40"/>
    <mergeCell ref="B39:B40"/>
    <mergeCell ref="C39:C40"/>
    <mergeCell ref="A41:U41"/>
    <mergeCell ref="C31:C33"/>
    <mergeCell ref="B31:B33"/>
    <mergeCell ref="A19:A33"/>
    <mergeCell ref="F34:F36"/>
    <mergeCell ref="E34:E36"/>
    <mergeCell ref="D34:D36"/>
    <mergeCell ref="C34:C36"/>
    <mergeCell ref="B34:B36"/>
    <mergeCell ref="A34:A38"/>
    <mergeCell ref="F23:F25"/>
    <mergeCell ref="E23:E25"/>
    <mergeCell ref="D23:D25"/>
    <mergeCell ref="C23:C25"/>
    <mergeCell ref="B23:B25"/>
    <mergeCell ref="F27:F29"/>
    <mergeCell ref="E27:E29"/>
    <mergeCell ref="D27:D29"/>
    <mergeCell ref="C27:C29"/>
    <mergeCell ref="B27:B29"/>
    <mergeCell ref="C14:C18"/>
    <mergeCell ref="B14:B18"/>
    <mergeCell ref="A6:A18"/>
    <mergeCell ref="F19:F21"/>
    <mergeCell ref="E19:E21"/>
    <mergeCell ref="D19:D21"/>
    <mergeCell ref="C19:C21"/>
    <mergeCell ref="B19:B21"/>
    <mergeCell ref="F6:F8"/>
    <mergeCell ref="E6:E8"/>
    <mergeCell ref="D6:D8"/>
    <mergeCell ref="C6:C8"/>
    <mergeCell ref="B6:B8"/>
    <mergeCell ref="C9:C13"/>
    <mergeCell ref="B9:B13"/>
    <mergeCell ref="A4:A5"/>
    <mergeCell ref="F2:F3"/>
    <mergeCell ref="E2:E3"/>
    <mergeCell ref="D2:D3"/>
    <mergeCell ref="C2:C3"/>
    <mergeCell ref="B2:B3"/>
    <mergeCell ref="A2:A3"/>
    <mergeCell ref="F4:F5"/>
    <mergeCell ref="E4:E5"/>
    <mergeCell ref="D4:D5"/>
    <mergeCell ref="C4:C5"/>
    <mergeCell ref="B4:B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58A1-3087-47D5-A99C-3DF2774C4242}">
  <dimension ref="A1:AD200"/>
  <sheetViews>
    <sheetView showGridLines="0" topLeftCell="A77" workbookViewId="0">
      <selection activeCell="O100" sqref="O100:AD200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4" style="14" bestFit="1" customWidth="1"/>
    <col min="17" max="16384" width="9.140625" style="14"/>
  </cols>
  <sheetData>
    <row r="1" spans="1:30" ht="12" customHeight="1" x14ac:dyDescent="0.2">
      <c r="A1" s="10" t="s">
        <v>487</v>
      </c>
      <c r="B1" s="10" t="s">
        <v>488</v>
      </c>
      <c r="C1" s="10" t="s">
        <v>489</v>
      </c>
      <c r="D1" s="10" t="s">
        <v>490</v>
      </c>
      <c r="E1" s="10" t="s">
        <v>491</v>
      </c>
      <c r="F1" s="10" t="s">
        <v>492</v>
      </c>
      <c r="G1" s="7"/>
      <c r="H1" s="7"/>
      <c r="I1" s="7"/>
      <c r="J1" s="7"/>
      <c r="K1" s="7"/>
      <c r="L1" s="82" t="s">
        <v>493</v>
      </c>
      <c r="M1" s="87"/>
      <c r="N1" s="7"/>
      <c r="O1" s="82" t="s">
        <v>580</v>
      </c>
      <c r="P1" s="83"/>
      <c r="Q1" s="83"/>
      <c r="R1" s="83"/>
      <c r="S1" s="83"/>
      <c r="T1" s="83"/>
      <c r="U1" s="8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8" t="s">
        <v>448</v>
      </c>
      <c r="B2" s="88" t="s">
        <v>449</v>
      </c>
      <c r="C2" s="16" t="s">
        <v>534</v>
      </c>
      <c r="D2" s="13">
        <v>9419991.3842511326</v>
      </c>
      <c r="E2" s="13">
        <v>-128162.06640272774</v>
      </c>
      <c r="F2" s="13">
        <v>0</v>
      </c>
      <c r="G2" s="15"/>
      <c r="H2" s="15"/>
      <c r="I2" s="15"/>
      <c r="J2" s="15"/>
      <c r="K2" s="15"/>
      <c r="L2" s="13" t="s">
        <v>494</v>
      </c>
      <c r="M2" s="17">
        <v>1.49E-2</v>
      </c>
      <c r="N2" s="15"/>
      <c r="O2" s="34" t="s">
        <v>581</v>
      </c>
      <c r="P2" s="34" t="s">
        <v>35</v>
      </c>
      <c r="Q2" s="34" t="s">
        <v>582</v>
      </c>
      <c r="R2" s="34" t="s">
        <v>39</v>
      </c>
      <c r="S2" s="34" t="s">
        <v>583</v>
      </c>
      <c r="T2" s="34" t="s">
        <v>83</v>
      </c>
      <c r="U2" s="34"/>
      <c r="V2" s="15"/>
      <c r="W2" s="15"/>
      <c r="X2" s="13" t="s">
        <v>547</v>
      </c>
      <c r="Y2" s="15"/>
      <c r="Z2" s="15"/>
      <c r="AA2" s="15" t="s">
        <v>591</v>
      </c>
      <c r="AB2" s="15"/>
      <c r="AC2" s="15"/>
      <c r="AD2" s="15"/>
    </row>
    <row r="3" spans="1:30" ht="12" customHeight="1" x14ac:dyDescent="0.2">
      <c r="A3" s="89"/>
      <c r="B3" s="89"/>
      <c r="C3" s="16" t="s">
        <v>450</v>
      </c>
      <c r="D3" s="13">
        <v>174059.44361910204</v>
      </c>
      <c r="E3" s="13">
        <v>-3549.1525413601648</v>
      </c>
      <c r="F3" s="13">
        <v>0</v>
      </c>
      <c r="G3" s="15"/>
      <c r="H3" s="15"/>
      <c r="I3" s="15"/>
      <c r="J3" s="15"/>
      <c r="K3" s="15"/>
      <c r="L3" s="13" t="s">
        <v>495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584</v>
      </c>
      <c r="V3" s="15"/>
      <c r="W3" s="15"/>
      <c r="X3" s="13" t="s">
        <v>548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9"/>
      <c r="B4" s="89"/>
      <c r="C4" s="16" t="s">
        <v>451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496</v>
      </c>
      <c r="M4" s="17">
        <v>8.5874515481677571E-2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82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9"/>
      <c r="B5" s="89"/>
      <c r="C5" s="16" t="s">
        <v>452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497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9"/>
      <c r="B6" s="89"/>
      <c r="C6" s="16" t="s">
        <v>453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498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9"/>
      <c r="B7" s="89"/>
      <c r="C7" s="16" t="s">
        <v>454</v>
      </c>
      <c r="D7" s="13">
        <v>26430216.89694</v>
      </c>
      <c r="E7" s="13">
        <v>-245185.61438902293</v>
      </c>
      <c r="F7" s="13">
        <v>0</v>
      </c>
      <c r="G7" s="15"/>
      <c r="H7" s="15"/>
      <c r="I7" s="15"/>
      <c r="J7" s="15"/>
      <c r="K7" s="15"/>
      <c r="L7" s="13" t="s">
        <v>499</v>
      </c>
      <c r="M7" s="13">
        <f>M8+M9+M10+M11</f>
        <v>20009.359000000015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9"/>
      <c r="B8" s="89"/>
      <c r="C8" s="16" t="s">
        <v>455</v>
      </c>
      <c r="D8" s="13">
        <v>4738373.3178900015</v>
      </c>
      <c r="E8" s="13">
        <v>-37884.487566450392</v>
      </c>
      <c r="F8" s="13">
        <v>0</v>
      </c>
      <c r="G8" s="15"/>
      <c r="H8" s="15"/>
      <c r="I8" s="15"/>
      <c r="J8" s="15"/>
      <c r="K8" s="15"/>
      <c r="L8" s="18" t="s">
        <v>500</v>
      </c>
      <c r="M8" s="13">
        <v>20009.359000000015</v>
      </c>
      <c r="N8" s="15"/>
      <c r="O8" s="13" t="s">
        <v>533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9"/>
      <c r="B9" s="89"/>
      <c r="C9" s="16" t="s">
        <v>456</v>
      </c>
      <c r="D9" s="13"/>
      <c r="E9" s="13"/>
      <c r="F9" s="13"/>
      <c r="G9" s="15"/>
      <c r="H9" s="15"/>
      <c r="I9" s="15"/>
      <c r="J9" s="15"/>
      <c r="K9" s="15"/>
      <c r="L9" s="19" t="s">
        <v>501</v>
      </c>
      <c r="M9" s="13">
        <v>0</v>
      </c>
      <c r="N9" s="15"/>
      <c r="O9" s="13" t="s">
        <v>538</v>
      </c>
      <c r="P9" s="22">
        <f>SUM(Mercado_Receita!$J$2:$J$505)</f>
        <v>848875</v>
      </c>
      <c r="Q9" s="22">
        <v>848875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9"/>
      <c r="B10" s="90"/>
      <c r="C10" s="16" t="s">
        <v>457</v>
      </c>
      <c r="D10" s="13">
        <f>SUM(D$2:D9)</f>
        <v>40762641.042700239</v>
      </c>
      <c r="E10" s="13">
        <f>SUM(E$2:E9)</f>
        <v>-414781.32089956122</v>
      </c>
      <c r="F10" s="13">
        <f>SUM(F$2:F9)</f>
        <v>0</v>
      </c>
      <c r="G10" s="15"/>
      <c r="H10" s="15"/>
      <c r="I10" s="15"/>
      <c r="J10" s="15"/>
      <c r="K10" s="15"/>
      <c r="L10" s="18" t="s">
        <v>502</v>
      </c>
      <c r="M10" s="13">
        <v>0</v>
      </c>
      <c r="N10" s="15"/>
      <c r="O10" s="13" t="s">
        <v>539</v>
      </c>
      <c r="P10" s="22">
        <f>SUM(Mercado_Receita!$L$2:$L$505)</f>
        <v>336793.47300000093</v>
      </c>
      <c r="Q10" s="22">
        <v>336793.473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9"/>
      <c r="B11" s="88" t="s">
        <v>458</v>
      </c>
      <c r="C11" s="16" t="s">
        <v>459</v>
      </c>
      <c r="D11" s="13">
        <v>9344727</v>
      </c>
      <c r="E11" s="13">
        <v>977316.44974697579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503</v>
      </c>
      <c r="M11" s="13">
        <v>0</v>
      </c>
      <c r="N11" s="15"/>
      <c r="O11" s="13" t="s">
        <v>540</v>
      </c>
      <c r="P11" s="22">
        <f>SUM(Mercado_Receita!$N$2:$N$505)</f>
        <v>336793.47300000093</v>
      </c>
      <c r="Q11" s="22">
        <v>336793.473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9"/>
      <c r="B12" s="89"/>
      <c r="C12" s="16" t="s">
        <v>460</v>
      </c>
      <c r="D12" s="13">
        <v>1309770</v>
      </c>
      <c r="E12" s="13">
        <v>136982.03985895967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504</v>
      </c>
      <c r="M12" s="13">
        <v>356802.83200000005</v>
      </c>
      <c r="N12" s="15"/>
      <c r="O12" s="13" t="s">
        <v>541</v>
      </c>
      <c r="P12" s="22">
        <f>SUMIF('MERCADO TUSD'!$H$2:$H$52,"kW",'MERCADO TUSD'!$U$2:$U$52)</f>
        <v>848875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9"/>
      <c r="B13" s="89"/>
      <c r="C13" s="16" t="s">
        <v>461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505</v>
      </c>
      <c r="M13" s="13">
        <v>5759.4236211601437</v>
      </c>
      <c r="N13" s="15"/>
      <c r="O13" s="13" t="s">
        <v>542</v>
      </c>
      <c r="P13" s="22">
        <f>SUMIF('MERCADO TUSD'!$H$2:$H$52,"MWh",'MERCADO TUSD'!$U$2:$U$52)</f>
        <v>336793.473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9"/>
      <c r="B14" s="89"/>
      <c r="C14" s="16" t="s">
        <v>462</v>
      </c>
      <c r="D14" s="13"/>
      <c r="E14" s="13"/>
      <c r="F14" s="13"/>
      <c r="G14" s="15"/>
      <c r="H14" s="15"/>
      <c r="I14" s="15"/>
      <c r="J14" s="15"/>
      <c r="K14" s="15"/>
      <c r="L14" s="13" t="s">
        <v>506</v>
      </c>
      <c r="M14" s="13">
        <v>114.95980219992504</v>
      </c>
      <c r="N14" s="15"/>
      <c r="O14" s="13" t="s">
        <v>543</v>
      </c>
      <c r="P14" s="22">
        <f>SUMIF('MERCADO TE'!$H$2:$H$40,"MWh",'MERCADO TE'!$U$2:$U$40)</f>
        <v>336793.473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9"/>
      <c r="B15" s="89"/>
      <c r="C15" s="16" t="s">
        <v>463</v>
      </c>
      <c r="D15" s="13">
        <v>0</v>
      </c>
      <c r="E15" s="13">
        <v>0</v>
      </c>
      <c r="F15" s="13">
        <v>0</v>
      </c>
      <c r="G15" s="15"/>
      <c r="H15" s="15"/>
      <c r="I15" s="15"/>
      <c r="J15" s="15"/>
      <c r="K15" s="15"/>
      <c r="L15" s="13" t="s">
        <v>507</v>
      </c>
      <c r="M15" s="13">
        <f>M14*M12</f>
        <v>41017982.991093092</v>
      </c>
      <c r="N15" s="15"/>
      <c r="O15" s="13" t="s">
        <v>544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9"/>
      <c r="B16" s="89"/>
      <c r="C16" s="16" t="s">
        <v>464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508</v>
      </c>
      <c r="M16" s="13">
        <v>-642827.16384295956</v>
      </c>
      <c r="N16" s="15"/>
      <c r="O16" s="13" t="s">
        <v>545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9"/>
      <c r="B17" s="89"/>
      <c r="C17" s="16" t="s">
        <v>465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509</v>
      </c>
      <c r="M17" s="13">
        <v>0</v>
      </c>
      <c r="N17" s="15"/>
      <c r="O17" s="13" t="s">
        <v>546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9"/>
      <c r="B18" s="90"/>
      <c r="C18" s="16" t="s">
        <v>457</v>
      </c>
      <c r="D18" s="13">
        <f>SUM(D$11:D17)</f>
        <v>10654497</v>
      </c>
      <c r="E18" s="13">
        <f>SUM(E$11:E17)</f>
        <v>1114298.4896059355</v>
      </c>
      <c r="F18" s="13">
        <f>SUM(F$11:F17)</f>
        <v>0</v>
      </c>
      <c r="G18" s="15"/>
      <c r="H18" s="15"/>
      <c r="I18" s="15"/>
      <c r="J18" s="15"/>
      <c r="K18" s="15"/>
      <c r="L18" s="13" t="s">
        <v>510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9"/>
      <c r="B19" s="88" t="s">
        <v>466</v>
      </c>
      <c r="C19" s="16" t="s">
        <v>467</v>
      </c>
      <c r="D19" s="13">
        <v>39323417.770000003</v>
      </c>
      <c r="E19" s="13">
        <v>-1208758.9664889562</v>
      </c>
      <c r="F19" s="13">
        <v>0</v>
      </c>
      <c r="G19" s="15"/>
      <c r="H19" s="15"/>
      <c r="I19" s="15"/>
      <c r="J19" s="15"/>
      <c r="K19" s="15"/>
      <c r="L19" s="13" t="s">
        <v>511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9"/>
      <c r="B20" s="90"/>
      <c r="C20" s="16" t="s">
        <v>457</v>
      </c>
      <c r="D20" s="13">
        <f>SUM(D$19:D19)</f>
        <v>39323417.770000003</v>
      </c>
      <c r="E20" s="13">
        <f>SUM(E$19:E19)</f>
        <v>-1208758.9664889562</v>
      </c>
      <c r="F20" s="13">
        <f>SUM(F$19:F19)</f>
        <v>0</v>
      </c>
      <c r="G20" s="15"/>
      <c r="H20" s="15"/>
      <c r="I20" s="15"/>
      <c r="J20" s="15"/>
      <c r="K20" s="15"/>
      <c r="L20" s="13" t="s">
        <v>512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9"/>
      <c r="B21" s="88" t="s">
        <v>468</v>
      </c>
      <c r="C21" s="16" t="s">
        <v>469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513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9"/>
      <c r="B22" s="89"/>
      <c r="C22" s="16" t="s">
        <v>470</v>
      </c>
      <c r="D22" s="13"/>
      <c r="E22" s="13"/>
      <c r="F22" s="13"/>
      <c r="G22" s="15"/>
      <c r="H22" s="15"/>
      <c r="I22" s="15"/>
      <c r="J22" s="15"/>
      <c r="K22" s="15"/>
      <c r="L22" s="13" t="s">
        <v>535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9"/>
      <c r="B23" s="90"/>
      <c r="C23" s="16" t="s">
        <v>457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514</v>
      </c>
      <c r="M23" s="1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9"/>
      <c r="B24" s="88" t="s">
        <v>471</v>
      </c>
      <c r="C24" s="16" t="s">
        <v>472</v>
      </c>
      <c r="D24" s="13">
        <f>$M$14*$M$8</f>
        <v>2300271.9527872917</v>
      </c>
      <c r="E24" s="13">
        <f>$M$16*$M$8/$M$12</f>
        <v>-36049.488240288418</v>
      </c>
      <c r="F24" s="13">
        <f>$M$17*$M$8/$M$12</f>
        <v>0</v>
      </c>
      <c r="G24" s="15"/>
      <c r="H24" s="15"/>
      <c r="I24" s="15"/>
      <c r="J24" s="15"/>
      <c r="K24" s="15"/>
      <c r="L24" s="13" t="s">
        <v>515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9"/>
      <c r="B25" s="89"/>
      <c r="C25" s="16" t="s">
        <v>473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3" t="s">
        <v>516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9"/>
      <c r="B26" s="89"/>
      <c r="C26" s="16" t="s">
        <v>474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517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9"/>
      <c r="B27" s="89"/>
      <c r="C27" s="16" t="s">
        <v>475</v>
      </c>
      <c r="D27" s="13"/>
      <c r="E27" s="13"/>
      <c r="F27" s="13"/>
      <c r="G27" s="15"/>
      <c r="H27" s="15"/>
      <c r="I27" s="15"/>
      <c r="J27" s="15"/>
      <c r="K27" s="15"/>
      <c r="L27" s="13" t="s">
        <v>518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9"/>
      <c r="B28" s="90"/>
      <c r="C28" s="16" t="s">
        <v>457</v>
      </c>
      <c r="D28" s="13">
        <f>SUM(D$24:D27)</f>
        <v>2300271.9527872917</v>
      </c>
      <c r="E28" s="13">
        <f>SUM(E$24:E27)</f>
        <v>-36049.488240288418</v>
      </c>
      <c r="F28" s="13">
        <f>SUM(F$24:F27)</f>
        <v>0</v>
      </c>
      <c r="G28" s="15"/>
      <c r="H28" s="15"/>
      <c r="I28" s="15"/>
      <c r="J28" s="15"/>
      <c r="K28" s="15"/>
      <c r="L28" s="13" t="s">
        <v>519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0"/>
      <c r="B29" s="80" t="s">
        <v>457</v>
      </c>
      <c r="C29" s="81"/>
      <c r="D29" s="13">
        <f>SUMIF(C$2:C28,"SUBTOTAL",D$2:D28)</f>
        <v>93040827.765487537</v>
      </c>
      <c r="E29" s="13">
        <f>SUMIF(C$2:C28,"SUBTOTAL",E$2:E28)</f>
        <v>-545291.28602287045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520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8" t="s">
        <v>476</v>
      </c>
      <c r="B30" s="88" t="s">
        <v>449</v>
      </c>
      <c r="C30" s="16" t="s">
        <v>451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521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9"/>
      <c r="B31" s="89"/>
      <c r="C31" s="16" t="s">
        <v>477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3" t="s">
        <v>522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9"/>
      <c r="B32" s="89"/>
      <c r="C32" s="16" t="s">
        <v>478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523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9"/>
      <c r="B33" s="89"/>
      <c r="C33" s="16" t="s">
        <v>537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524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9"/>
      <c r="B34" s="89"/>
      <c r="C34" s="16" t="s">
        <v>479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525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9"/>
      <c r="B35" s="90"/>
      <c r="C35" s="16" t="s">
        <v>457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3" t="s">
        <v>526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9"/>
      <c r="B36" s="88" t="s">
        <v>480</v>
      </c>
      <c r="C36" s="16" t="s">
        <v>481</v>
      </c>
      <c r="D36" s="13">
        <f>$M$14*($M$12-$M$7)</f>
        <v>38717711.038305797</v>
      </c>
      <c r="E36" s="13">
        <f>$M$16*($M$12-$M$7)/$M$12</f>
        <v>-606777.67560267111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527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9"/>
      <c r="B37" s="90"/>
      <c r="C37" s="16" t="s">
        <v>457</v>
      </c>
      <c r="D37" s="13">
        <f>SUM(D$36:D36)</f>
        <v>38717711.038305797</v>
      </c>
      <c r="E37" s="13">
        <f>SUM(E$36:E36)</f>
        <v>-606777.67560267111</v>
      </c>
      <c r="F37" s="13">
        <f>SUM(F$36:F36)</f>
        <v>0</v>
      </c>
      <c r="G37" s="15"/>
      <c r="H37" s="15"/>
      <c r="I37" s="15"/>
      <c r="J37" s="15"/>
      <c r="K37" s="15"/>
      <c r="L37" s="13" t="s">
        <v>528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9"/>
      <c r="B38" s="88" t="s">
        <v>458</v>
      </c>
      <c r="C38" s="16" t="s">
        <v>482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529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585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9"/>
      <c r="B39" s="89"/>
      <c r="C39" s="16" t="s">
        <v>483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530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602</v>
      </c>
      <c r="P39" s="15" t="s">
        <v>603</v>
      </c>
      <c r="Q39" s="15" t="s">
        <v>604</v>
      </c>
      <c r="R39" s="15" t="s">
        <v>605</v>
      </c>
      <c r="S39" s="15" t="s">
        <v>1</v>
      </c>
      <c r="T39" s="15" t="s">
        <v>606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9"/>
      <c r="B40" s="89"/>
      <c r="C40" s="16" t="s">
        <v>484</v>
      </c>
      <c r="D40" s="13"/>
      <c r="E40" s="13"/>
      <c r="F40" s="13"/>
      <c r="G40" s="15"/>
      <c r="H40" s="15"/>
      <c r="I40" s="15"/>
      <c r="J40" s="15"/>
      <c r="K40" s="15"/>
      <c r="L40" s="13" t="s">
        <v>531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9"/>
      <c r="B41" s="90"/>
      <c r="C41" s="16" t="s">
        <v>457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9"/>
      <c r="B42" s="88" t="s">
        <v>468</v>
      </c>
      <c r="C42" s="16" t="s">
        <v>469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9"/>
      <c r="B43" s="90"/>
      <c r="C43" s="16" t="s">
        <v>457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9"/>
      <c r="B44" s="88" t="s">
        <v>471</v>
      </c>
      <c r="C44" s="16" t="s">
        <v>485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9"/>
      <c r="B45" s="90"/>
      <c r="C45" s="16" t="s">
        <v>457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0"/>
      <c r="B46" s="80" t="s">
        <v>457</v>
      </c>
      <c r="C46" s="81"/>
      <c r="D46" s="13">
        <f>SUMIF(C$30:C45,"SUBTOTAL",D$30:D45)</f>
        <v>38717711.038305797</v>
      </c>
      <c r="E46" s="13">
        <f>SUMIF(C$30:C45,"SUBTOTAL",E$30:E45)</f>
        <v>-606777.67560267111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0" t="s">
        <v>486</v>
      </c>
      <c r="B47" s="86"/>
      <c r="C47" s="81"/>
      <c r="D47" s="13">
        <f>SUMIF(C$2:C46,"SUBTOTAL",D$2:D46)</f>
        <v>131758538.80379334</v>
      </c>
      <c r="E47" s="13">
        <f>SUMIF(C$2:C46,"SUBTOTAL",E$2:E46)</f>
        <v>-1152068.9616255416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4" t="s">
        <v>578</v>
      </c>
      <c r="B48" s="85"/>
      <c r="C48" s="85"/>
      <c r="D48" s="32">
        <f ca="1">'TUSD BE'!$AM$57+'TUSD BE'!$AM$61+'TE BE'!$AB$45</f>
        <v>131758538.80379336</v>
      </c>
      <c r="E48" s="32">
        <f ca="1">'TUSD BF'!$AM$57+'TE BF'!$AB$45</f>
        <v>-1152068.9616255416</v>
      </c>
      <c r="F48" s="32">
        <f ca="1">'TUSD CVA'!$AM$57+'TE CVA'!$AB$45</f>
        <v>0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84" t="s">
        <v>579</v>
      </c>
      <c r="B49" s="85"/>
      <c r="C49" s="85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532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602</v>
      </c>
      <c r="P101" s="39" t="s">
        <v>607</v>
      </c>
      <c r="Q101" s="39" t="s">
        <v>608</v>
      </c>
      <c r="R101" s="39" t="s">
        <v>609</v>
      </c>
      <c r="S101" s="39" t="s">
        <v>610</v>
      </c>
      <c r="T101" s="39" t="s">
        <v>611</v>
      </c>
      <c r="U101" s="39" t="s">
        <v>612</v>
      </c>
      <c r="V101" s="39" t="s">
        <v>613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23</v>
      </c>
      <c r="Q102" s="39" t="s">
        <v>42</v>
      </c>
      <c r="R102" s="39" t="s">
        <v>43</v>
      </c>
      <c r="S102" s="39" t="s">
        <v>25</v>
      </c>
      <c r="T102" s="39" t="s">
        <v>43</v>
      </c>
      <c r="U102" s="39">
        <v>4</v>
      </c>
      <c r="V102" s="39">
        <v>0.3</v>
      </c>
      <c r="W102" s="39">
        <v>0.24</v>
      </c>
      <c r="X102" s="39">
        <v>0.18</v>
      </c>
      <c r="Y102" s="39">
        <v>0.12</v>
      </c>
      <c r="Z102" s="39">
        <v>0.06</v>
      </c>
      <c r="AA102" s="39">
        <v>0</v>
      </c>
      <c r="AB102" s="39"/>
      <c r="AC102" s="39"/>
      <c r="AD102" s="39"/>
    </row>
    <row r="103" spans="15:30" ht="12" customHeight="1" x14ac:dyDescent="0.25"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5:30" ht="12" customHeight="1" x14ac:dyDescent="0.25"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5:30" ht="12" customHeight="1" x14ac:dyDescent="0.25"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5:30" ht="12" customHeight="1" x14ac:dyDescent="0.25"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5:30" ht="12" customHeight="1" x14ac:dyDescent="0.25"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5:30" ht="12" customHeight="1" x14ac:dyDescent="0.25"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5:30" ht="12" customHeight="1" x14ac:dyDescent="0.25"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5:30" ht="12" customHeight="1" x14ac:dyDescent="0.25"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5:30" ht="12" customHeight="1" x14ac:dyDescent="0.25"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5:30" ht="12" customHeight="1" x14ac:dyDescent="0.25"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5:30" ht="12" customHeight="1" x14ac:dyDescent="0.25"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5:30" ht="12" customHeight="1" x14ac:dyDescent="0.25"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5:30" ht="12" customHeight="1" x14ac:dyDescent="0.25"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5:30" ht="12" customHeight="1" x14ac:dyDescent="0.25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25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25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5F20-76B0-474A-B7D7-9CBF59A4D7E3}">
  <dimension ref="A1:AP55"/>
  <sheetViews>
    <sheetView showGridLines="0" topLeftCell="A32" workbookViewId="0">
      <selection activeCell="K66" sqref="K66:P66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2" width="10" style="9" bestFit="1" customWidth="1"/>
    <col min="23" max="24" width="9.85546875" style="9" bestFit="1" customWidth="1"/>
    <col min="25" max="25" width="5.1406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550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5"/>
      <c r="AP4" s="93"/>
    </row>
    <row r="5" spans="1:42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4.6409000000000002</v>
      </c>
      <c r="V5" s="13">
        <v>0.82330000000000003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/>
      <c r="AC5" s="13">
        <v>22.992000000000001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4.2534999999999998</v>
      </c>
      <c r="V6" s="13">
        <v>0.74319999999999997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/>
      <c r="AC6" s="13">
        <v>4.9202000000000004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4.5942999999999996</v>
      </c>
      <c r="V9" s="13">
        <v>0.86360000000000003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46.733600000000003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>
        <v>1</v>
      </c>
    </row>
    <row r="10" spans="1:42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4.2613000000000003</v>
      </c>
      <c r="V10" s="13">
        <v>0.79490000000000005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/>
      <c r="AC10" s="13">
        <v>13.0589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/>
      <c r="AC11" s="13">
        <v>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/>
      <c r="AC13" s="13">
        <v>5.9078999999999997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/>
    </row>
    <row r="14" spans="1:42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4.2613000000000003</v>
      </c>
      <c r="V14" s="13">
        <v>0.79490000000000005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13.0589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110.49209999999999</v>
      </c>
      <c r="V15" s="13">
        <v>20.772500000000001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1123.9446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>
        <v>1</v>
      </c>
    </row>
    <row r="16" spans="1:42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0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>
        <v>1</v>
      </c>
    </row>
    <row r="17" spans="1:42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110.49209999999999</v>
      </c>
      <c r="V17" s="13">
        <v>20.772500000000001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/>
      <c r="AC17" s="13">
        <v>1123.9446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0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/>
      <c r="AC19" s="13">
        <v>6.0938999999999997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/>
    </row>
    <row r="20" spans="1:42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12.398300000000001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/>
    </row>
    <row r="21" spans="1:42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50.064900000000002</v>
      </c>
      <c r="V21" s="13">
        <v>9.3856000000000002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/>
      <c r="AC21" s="13">
        <v>525.13969999999995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v>1</v>
      </c>
    </row>
    <row r="22" spans="1:42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30.038900000000002</v>
      </c>
      <c r="V22" s="13">
        <v>5.6314000000000002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/>
      <c r="AC22" s="13">
        <v>315.08390000000003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v>1</v>
      </c>
    </row>
    <row r="23" spans="1:42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10.013</v>
      </c>
      <c r="V23" s="13">
        <v>1.8772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/>
      <c r="AC23" s="13">
        <v>105.0279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v>1</v>
      </c>
    </row>
    <row r="24" spans="1:42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18.5426</v>
      </c>
      <c r="V24" s="13">
        <v>3.476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/>
      <c r="AC24" s="13">
        <v>194.49619999999999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v>1</v>
      </c>
    </row>
    <row r="25" spans="1:42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f>(1 - CUSTOS!$M$24)*18.5426</f>
        <v>18.5426</v>
      </c>
      <c r="V25" s="13">
        <f>(1 - CUSTOS!$M$24)*3.476</f>
        <v>3.476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/>
      <c r="AC25" s="13">
        <f>(1 - CUSTOS!$M$24)*194.4962</f>
        <v>194.49619999999999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f>IF((1 - CUSTOS!$M$24)&lt;&gt;0,1/(1 - CUSTOS!$M$24),1)</f>
        <v>1</v>
      </c>
    </row>
    <row r="26" spans="1:42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f>(1 - CUSTOS!$M$25)*18.5426</f>
        <v>18.5426</v>
      </c>
      <c r="V26" s="13">
        <f>(1 - CUSTOS!$M$25)*3.476</f>
        <v>3.476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/>
      <c r="AC26" s="13">
        <f>(1 - CUSTOS!$M$25)*194.4962</f>
        <v>194.49619999999999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CUSTOS!$M$25)&lt;&gt;0,1/(1 - CUSTOS!$M$25),1)</f>
        <v>1</v>
      </c>
    </row>
    <row r="27" spans="1:42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f>(1 - CUSTOS!$M$26)*18.5426</f>
        <v>18.5426</v>
      </c>
      <c r="V27" s="13">
        <f>(1 - CUSTOS!$M$26)*3.476</f>
        <v>3.476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/>
      <c r="AC27" s="13">
        <f>(1 - CUSTOS!$M$26)*194.4962</f>
        <v>194.49619999999999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CUSTOS!$M$26)&lt;&gt;0,1/(1 - CUSTOS!$M$26),1)</f>
        <v>1</v>
      </c>
    </row>
    <row r="28" spans="1:42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f>(1 - CUSTOS!$M$27)*18.5426</f>
        <v>18.5426</v>
      </c>
      <c r="V28" s="13">
        <f>(1 - CUSTOS!$M$27)*3.476</f>
        <v>3.476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/>
      <c r="AC28" s="13">
        <f>(1 - CUSTOS!$M$27)*194.4962</f>
        <v>194.49619999999999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CUSTOS!$M$27)&lt;&gt;0,1/(1 - CUSTOS!$M$27),1)</f>
        <v>1</v>
      </c>
    </row>
    <row r="29" spans="1:42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18.5426</v>
      </c>
      <c r="V29" s="13">
        <v>3.476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/>
      <c r="AC29" s="13">
        <v>194.49619999999999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v>1</v>
      </c>
    </row>
    <row r="30" spans="1:42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f>(1 - CUSTOS!$M$24)*18.5426</f>
        <v>18.5426</v>
      </c>
      <c r="V30" s="13">
        <f>(1 - CUSTOS!$M$24)*3.476</f>
        <v>3.476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/>
      <c r="AC30" s="13">
        <f>(1 - CUSTOS!$M$24)*194.4962</f>
        <v>194.49619999999999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CUSTOS!$M$24)&lt;&gt;0,1/(1 - CUSTOS!$M$24),1)</f>
        <v>1</v>
      </c>
    </row>
    <row r="31" spans="1:42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f>(1 - CUSTOS!$M$25)*18.5426</f>
        <v>18.5426</v>
      </c>
      <c r="V31" s="13">
        <f>(1 - CUSTOS!$M$25)*3.476</f>
        <v>3.476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/>
      <c r="AC31" s="13">
        <f>(1 - CUSTOS!$M$25)*194.4962</f>
        <v>194.49619999999999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CUSTOS!$M$25)&lt;&gt;0,1/(1 - CUSTOS!$M$25),1)</f>
        <v>1</v>
      </c>
    </row>
    <row r="32" spans="1:42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f>(1 - CUSTOS!$M$26)*18.5426</f>
        <v>18.5426</v>
      </c>
      <c r="V32" s="13">
        <f>(1 - CUSTOS!$M$26)*3.476</f>
        <v>3.476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>
        <f>(1 - CUSTOS!$M$26)*194.4962</f>
        <v>194.49619999999999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CUSTOS!$M$26)&lt;&gt;0,1/(1 - CUSTOS!$M$26),1)</f>
        <v>1</v>
      </c>
    </row>
    <row r="33" spans="1:42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f>(1 - CUSTOS!$M$27)*18.5426</f>
        <v>18.5426</v>
      </c>
      <c r="V33" s="13">
        <f>(1 - CUSTOS!$M$27)*3.476</f>
        <v>3.476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/>
      <c r="AC33" s="13">
        <f>(1 - CUSTOS!$M$27)*194.4962</f>
        <v>194.49619999999999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CUSTOS!$M$27)&lt;&gt;0,1/(1 - CUSTOS!$M$27),1)</f>
        <v>1</v>
      </c>
    </row>
    <row r="34" spans="1:42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f>(1 - CUSTOS!$M$28)*54.7006</f>
        <v>54.700600000000001</v>
      </c>
      <c r="V34" s="13">
        <f>(1 - CUSTOS!$M$28)*10.2547</f>
        <v>10.2547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/>
      <c r="AC34" s="13">
        <f>(1 - CUSTOS!$M$28)*573.7638</f>
        <v>573.76379999999995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CUSTOS!$M$28)&lt;&gt;0,1/(1 - CUSTOS!$M$28),1)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f>(1 - CUSTOS!$M$28)*32.8203</f>
        <v>32.820300000000003</v>
      </c>
      <c r="V35" s="13">
        <f>(1 - CUSTOS!$M$28)*6.1528</f>
        <v>6.1528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/>
      <c r="AC35" s="13">
        <f>(1 - CUSTOS!$M$28)*344.2582</f>
        <v>344.25819999999999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CUSTOS!$M$28)&lt;&gt;0,1/(1 - CUSTOS!$M$28),1)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f>(1 - CUSTOS!$M$28)*10.9401</f>
        <v>10.940099999999999</v>
      </c>
      <c r="V36" s="13">
        <f>(1 - CUSTOS!$M$28)*2.0509</f>
        <v>2.0508999999999999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/>
      <c r="AC36" s="13">
        <f>(1 - CUSTOS!$M$28)*114.7528</f>
        <v>114.75279999999999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CUSTOS!$M$28)&lt;&gt;0,1/(1 - CUSTOS!$M$28),1)</f>
        <v>1</v>
      </c>
    </row>
    <row r="37" spans="1:42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f>(1 - CUSTOS!$M$28)*18.5426</f>
        <v>18.5426</v>
      </c>
      <c r="V37" s="13">
        <f>(1 - CUSTOS!$M$28)*3.476</f>
        <v>3.476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/>
      <c r="AC37" s="13">
        <f>(1 - CUSTOS!$M$28)*194.4962</f>
        <v>194.49619999999999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CUSTOS!$M$28)&lt;&gt;0,1/(1 - CUSTOS!$M$28),1)</f>
        <v>1</v>
      </c>
    </row>
    <row r="38" spans="1:42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f>(1 - CUSTOS!$M$29)*54.7006</f>
        <v>54.700600000000001</v>
      </c>
      <c r="V38" s="13">
        <f>(1 - CUSTOS!$M$29)*10.2547</f>
        <v>10.2547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/>
      <c r="AC38" s="13">
        <f>(1 - CUSTOS!$M$29)*573.7638</f>
        <v>573.76379999999995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CUSTOS!$M$29)&lt;&gt;0,1/(1 - CUSTOS!$M$29),1)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f>(1 - CUSTOS!$M$29)*32.8203</f>
        <v>32.820300000000003</v>
      </c>
      <c r="V39" s="13">
        <f>(1 - CUSTOS!$M$29)*6.1528</f>
        <v>6.1528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/>
      <c r="AC39" s="13">
        <f>(1 - CUSTOS!$M$29)*344.2582</f>
        <v>344.25819999999999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CUSTOS!$M$29)&lt;&gt;0,1/(1 - CUSTOS!$M$29),1)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f>(1 - CUSTOS!$M$29)*10.9401</f>
        <v>10.940099999999999</v>
      </c>
      <c r="V40" s="13">
        <f>(1 - CUSTOS!$M$29)*2.0509</f>
        <v>2.0508999999999999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/>
      <c r="AC40" s="13">
        <f>(1 - CUSTOS!$M$29)*114.7528</f>
        <v>114.75279999999999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CUSTOS!$M$29)&lt;&gt;0,1/(1 - CUSTOS!$M$29),1)</f>
        <v>1</v>
      </c>
    </row>
    <row r="41" spans="1:42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f>(1 - CUSTOS!$M$29)*18.5426</f>
        <v>18.5426</v>
      </c>
      <c r="V41" s="13">
        <f>(1 - CUSTOS!$M$29)*3.476</f>
        <v>3.476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/>
      <c r="AC41" s="13">
        <f>(1 - CUSTOS!$M$29)*194.4962</f>
        <v>194.49619999999999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CUSTOS!$M$29)&lt;&gt;0,1/(1 - CUSTOS!$M$29),1)</f>
        <v>1</v>
      </c>
    </row>
    <row r="42" spans="1:42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f>(1 - CUSTOS!$M$30)*54.7006</f>
        <v>54.700600000000001</v>
      </c>
      <c r="V42" s="13">
        <f>(1 - CUSTOS!$M$30)*10.2547</f>
        <v>10.2547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/>
      <c r="AC42" s="13">
        <f>(1 - CUSTOS!$M$30)*573.7638</f>
        <v>573.76379999999995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CUSTOS!$M$30)&lt;&gt;0,1/(1 - CUSTOS!$M$30),1)</f>
        <v>1</v>
      </c>
    </row>
    <row r="43" spans="1:42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f>(1 - CUSTOS!$M$30)*32.8203</f>
        <v>32.820300000000003</v>
      </c>
      <c r="V43" s="13">
        <f>(1 - CUSTOS!$M$30)*6.1528</f>
        <v>6.1528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/>
      <c r="AC43" s="13">
        <f>(1 - CUSTOS!$M$30)*344.2582</f>
        <v>344.25819999999999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CUSTOS!$M$30)&lt;&gt;0,1/(1 - CUSTOS!$M$30),1)</f>
        <v>1</v>
      </c>
    </row>
    <row r="44" spans="1:42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f>(1 - CUSTOS!$M$30)*10.9401</f>
        <v>10.940099999999999</v>
      </c>
      <c r="V44" s="13">
        <f>(1 - CUSTOS!$M$30)*2.0509</f>
        <v>2.0508999999999999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/>
      <c r="AC44" s="13">
        <f>(1 - CUSTOS!$M$30)*114.7528</f>
        <v>114.75279999999999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f>(1 - CUSTOS!$M$30)*18.5426</f>
        <v>18.5426</v>
      </c>
      <c r="V45" s="13">
        <f>(1 - CUSTOS!$M$30)*3.476</f>
        <v>3.476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/>
      <c r="AC45" s="13">
        <f>(1 - CUSTOS!$M$30)*194.4962</f>
        <v>194.49619999999999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CUSTOS!$M$30)&lt;&gt;0,1/(1 - CUSTOS!$M$30),1)</f>
        <v>1</v>
      </c>
    </row>
    <row r="46" spans="1:42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f>(1 - CUSTOS!$M$28)*18.5426</f>
        <v>18.5426</v>
      </c>
      <c r="V46" s="13">
        <f>(1 - CUSTOS!$M$28)*3.476</f>
        <v>3.476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/>
      <c r="AC46" s="13">
        <f>(1 - CUSTOS!$M$28)*194.4962</f>
        <v>194.49619999999999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CUSTOS!$M$28)&lt;&gt;0,1/(1 - CUSTOS!$M$28),1)</f>
        <v>1</v>
      </c>
    </row>
    <row r="47" spans="1:42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f>(1 - CUSTOS!$M$29)*18.5426</f>
        <v>18.5426</v>
      </c>
      <c r="V47" s="13">
        <f>(1 - CUSTOS!$M$29)*3.476</f>
        <v>3.476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/>
      <c r="AC47" s="13">
        <f>(1 - CUSTOS!$M$29)*194.4962</f>
        <v>194.49619999999999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CUSTOS!$M$29)&lt;&gt;0,1/(1 - CUSTOS!$M$29),1)</f>
        <v>1</v>
      </c>
    </row>
    <row r="48" spans="1:42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f>(1 - CUSTOS!$M$30)*18.5426</f>
        <v>18.5426</v>
      </c>
      <c r="V48" s="13">
        <f>(1 - CUSTOS!$M$30)*3.476</f>
        <v>3.476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/>
      <c r="AC48" s="13">
        <f>(1 - CUSTOS!$M$30)*194.4962</f>
        <v>194.49619999999999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CUSTOS!$M$30)&lt;&gt;0,1/(1 - CUSTOS!$M$30),1)</f>
        <v>1</v>
      </c>
    </row>
    <row r="49" spans="1:42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f>(1 - CUSTOS!$M$31)*63.972</f>
        <v>63.972000000000001</v>
      </c>
      <c r="V49" s="13">
        <f>(1 - CUSTOS!$M$31)*11.9926</f>
        <v>11.992599999999999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/>
      <c r="AC49" s="13">
        <f>(1 - CUSTOS!$M$31)*671.0118</f>
        <v>671.01179999999999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f>(1 - CUSTOS!$M$31)*38.3832</f>
        <v>38.383200000000002</v>
      </c>
      <c r="V50" s="13">
        <f>(1 - CUSTOS!$M$31)*7.1957</f>
        <v>7.1957000000000004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/>
      <c r="AC50" s="13">
        <f>(1 - CUSTOS!$M$31)*402.6071</f>
        <v>402.6071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CUSTOS!$M$31)&lt;&gt;0,1/(1 - CUSTOS!$M$31),1)</f>
        <v>1</v>
      </c>
    </row>
    <row r="51" spans="1:42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f>(1 - CUSTOS!$M$31)*12.7944</f>
        <v>12.7944</v>
      </c>
      <c r="V51" s="13">
        <f>(1 - CUSTOS!$M$31)*2.3985</f>
        <v>2.3984999999999999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/>
      <c r="AC51" s="13">
        <f>(1 - CUSTOS!$M$31)*134.2025</f>
        <v>134.20249999999999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CUSTOS!$M$31)&lt;&gt;0,1/(1 - CUSTOS!$M$31),1)</f>
        <v>1</v>
      </c>
    </row>
    <row r="52" spans="1:42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/>
      <c r="M52" s="13"/>
      <c r="N52" s="13"/>
      <c r="O52" s="13"/>
      <c r="P52" s="13"/>
      <c r="Q52" s="13"/>
      <c r="R52" s="13"/>
      <c r="S52" s="13"/>
      <c r="T52" s="13"/>
      <c r="U52" s="13">
        <f>(1 - CUSTOS!$M$31)*18.5426</f>
        <v>18.5426</v>
      </c>
      <c r="V52" s="13">
        <f>(1 - CUSTOS!$M$31)*3.476</f>
        <v>3.476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/>
      <c r="AC52" s="13">
        <f>(1 - CUSTOS!$M$31)*194.4962</f>
        <v>194.49619999999999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P52" s="13">
        <f>IF((1 - CUSTOS!$M$31)&lt;&gt;0,1/(1 - CUSTOS!$M$31),1)</f>
        <v>1</v>
      </c>
    </row>
    <row r="53" spans="1:42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/>
      <c r="M53" s="13"/>
      <c r="N53" s="13"/>
      <c r="O53" s="13"/>
      <c r="P53" s="13"/>
      <c r="Q53" s="13"/>
      <c r="R53" s="13"/>
      <c r="S53" s="13"/>
      <c r="T53" s="13"/>
      <c r="U53" s="13">
        <f>(1 - CUSTOS!$M$31)*18.5426</f>
        <v>18.5426</v>
      </c>
      <c r="V53" s="13">
        <f>(1 - CUSTOS!$M$31)*3.476</f>
        <v>3.476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/>
      <c r="AC53" s="13">
        <f>(1 - CUSTOS!$M$31)*194.4962</f>
        <v>194.49619999999999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P53" s="13">
        <f>IF((1 - CUSTOS!$M$31)&lt;&gt;0,1/(1 - CUSTOS!$M$31),1)</f>
        <v>1</v>
      </c>
    </row>
    <row r="54" spans="1:42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/>
      <c r="M54" s="13"/>
      <c r="N54" s="13"/>
      <c r="O54" s="13"/>
      <c r="P54" s="13"/>
      <c r="Q54" s="13"/>
      <c r="R54" s="13"/>
      <c r="S54" s="13"/>
      <c r="T54" s="13"/>
      <c r="U54" s="13">
        <f>(1 - CUSTOS!$M$32)*18.5426</f>
        <v>10.19843</v>
      </c>
      <c r="V54" s="13">
        <f>(1 - CUSTOS!$M$32)*3.476</f>
        <v>1.9118000000000002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/>
      <c r="AC54" s="13">
        <f>(1 - CUSTOS!$M$32)*194.4962</f>
        <v>106.97291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P54" s="13">
        <f>IF((1 - CUSTOS!$M$32)&lt;&gt;0,1/(1 - CUSTOS!$M$32),1)</f>
        <v>1.8181818181818181</v>
      </c>
    </row>
    <row r="55" spans="1:42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/>
      <c r="M55" s="13"/>
      <c r="N55" s="13"/>
      <c r="O55" s="13"/>
      <c r="P55" s="13"/>
      <c r="Q55" s="13"/>
      <c r="R55" s="13"/>
      <c r="S55" s="13"/>
      <c r="T55" s="13"/>
      <c r="U55" s="13">
        <f>(1 - CUSTOS!$M$33)*18.5426</f>
        <v>11.12556</v>
      </c>
      <c r="V55" s="13">
        <f>(1 - CUSTOS!$M$33)*3.476</f>
        <v>2.0855999999999999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/>
      <c r="AC55" s="13">
        <f>(1 - CUSTOS!$M$33)*194.4962</f>
        <v>116.69771999999999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P55" s="13">
        <f>IF((1 - CUSTOS!$M$33)&lt;&gt;0,1/(1 - CUSTOS!$M$33),1)</f>
        <v>1.6666666666666667</v>
      </c>
    </row>
  </sheetData>
  <mergeCells count="79">
    <mergeCell ref="E49:E51"/>
    <mergeCell ref="F49:F51"/>
    <mergeCell ref="A54:A55"/>
    <mergeCell ref="B54:B55"/>
    <mergeCell ref="C54:C55"/>
    <mergeCell ref="D49:D51"/>
    <mergeCell ref="B46:B48"/>
    <mergeCell ref="C46:C48"/>
    <mergeCell ref="A49:A53"/>
    <mergeCell ref="B49:B51"/>
    <mergeCell ref="C49:C51"/>
    <mergeCell ref="A34:A48"/>
    <mergeCell ref="B34:B36"/>
    <mergeCell ref="C34:C36"/>
    <mergeCell ref="B42:B44"/>
    <mergeCell ref="C42:C44"/>
    <mergeCell ref="B38:B40"/>
    <mergeCell ref="C38:C40"/>
    <mergeCell ref="D42:D44"/>
    <mergeCell ref="E42:E44"/>
    <mergeCell ref="F42:F44"/>
    <mergeCell ref="D34:D36"/>
    <mergeCell ref="E34:E36"/>
    <mergeCell ref="F34:F36"/>
    <mergeCell ref="D38:D40"/>
    <mergeCell ref="E38:E40"/>
    <mergeCell ref="F38:F40"/>
    <mergeCell ref="A21:A33"/>
    <mergeCell ref="B21:B23"/>
    <mergeCell ref="C21:C23"/>
    <mergeCell ref="D21:D23"/>
    <mergeCell ref="E21:E23"/>
    <mergeCell ref="F21:F23"/>
    <mergeCell ref="B24:B28"/>
    <mergeCell ref="C24:C28"/>
    <mergeCell ref="B29:B33"/>
    <mergeCell ref="C29:C33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E14:E16"/>
    <mergeCell ref="AE3:AG3"/>
    <mergeCell ref="AH3:AL3"/>
    <mergeCell ref="AM3:AM4"/>
    <mergeCell ref="A5:A8"/>
    <mergeCell ref="B5:B8"/>
    <mergeCell ref="C5:C8"/>
    <mergeCell ref="D5:D8"/>
    <mergeCell ref="E5:E7"/>
    <mergeCell ref="F5:F7"/>
    <mergeCell ref="G1:G4"/>
    <mergeCell ref="H1:H4"/>
    <mergeCell ref="I1:I4"/>
    <mergeCell ref="J1:J4"/>
    <mergeCell ref="L1:AM1"/>
    <mergeCell ref="A1:A4"/>
    <mergeCell ref="AP1:AP4"/>
    <mergeCell ref="L2:AM2"/>
    <mergeCell ref="L3:T3"/>
    <mergeCell ref="U3:AB3"/>
    <mergeCell ref="AC3:AD3"/>
    <mergeCell ref="B1:B4"/>
    <mergeCell ref="C1:C4"/>
    <mergeCell ref="D1:D4"/>
    <mergeCell ref="E1:E4"/>
    <mergeCell ref="F1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92F-CC8A-451F-BCDA-9B9B0A2B0C9E}">
  <dimension ref="A1:AP75"/>
  <sheetViews>
    <sheetView showGridLines="0" topLeftCell="A32" workbookViewId="0">
      <selection activeCell="K66" sqref="K66:P66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2" width="10" style="9" bestFit="1" customWidth="1"/>
    <col min="23" max="24" width="9.85546875" style="9" bestFit="1" customWidth="1"/>
    <col min="25" max="25" width="5.1406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550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5"/>
      <c r="AP4" s="93"/>
    </row>
    <row r="5" spans="1:42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TRANSICAO!$U$5*CUSTOS!$P$3</f>
        <v>4.6409000000000002</v>
      </c>
      <c r="V5" s="13">
        <f>TRANSICAO!$V$5*CUSTOS!$P$3</f>
        <v>0.82330000000000003</v>
      </c>
      <c r="W5" s="13">
        <f>TRANSICAO!$W$5*CUSTOS!$P$3</f>
        <v>0</v>
      </c>
      <c r="X5" s="13">
        <f>TRANSICAO!$X$5*CUSTOS!$P$3</f>
        <v>0</v>
      </c>
      <c r="Y5" s="13">
        <f>TRANSICAO!$Y$5*CUSTOS!$P$3</f>
        <v>0</v>
      </c>
      <c r="Z5" s="13">
        <f>TRANSICAO!$Z$5*CUSTOS!$P$3</f>
        <v>0</v>
      </c>
      <c r="AA5" s="13">
        <f>TRANSICAO!$AA$5*CUSTOS!$P$3</f>
        <v>0</v>
      </c>
      <c r="AB5" s="13">
        <f>TRANSICAO!$AB$5*CUSTOS!$P$3</f>
        <v>0</v>
      </c>
      <c r="AC5" s="13">
        <f>TRANSICAO!$AC$5*CUSTOS!$P$3</f>
        <v>22.992000000000001</v>
      </c>
      <c r="AD5" s="13">
        <f>TRANSICAO!$AD$5*CUSTOS!$P$3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36" si="0">AJ5</f>
        <v>0</v>
      </c>
      <c r="AL5" s="13"/>
      <c r="AM5" s="13"/>
      <c r="AP5" s="1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TRANSICAO!$U$6*CUSTOS!$P$3</f>
        <v>4.2534999999999998</v>
      </c>
      <c r="V6" s="13">
        <f>TRANSICAO!$V$6*CUSTOS!$P$3</f>
        <v>0.74319999999999997</v>
      </c>
      <c r="W6" s="13">
        <f>TRANSICAO!$W$6*CUSTOS!$P$3</f>
        <v>0</v>
      </c>
      <c r="X6" s="13">
        <f>TRANSICAO!$X$6*CUSTOS!$P$3</f>
        <v>0</v>
      </c>
      <c r="Y6" s="13">
        <f>TRANSICAO!$Y$6*CUSTOS!$P$3</f>
        <v>0</v>
      </c>
      <c r="Z6" s="13">
        <f>TRANSICAO!$Z$6*CUSTOS!$P$3</f>
        <v>0</v>
      </c>
      <c r="AA6" s="13">
        <f>TRANSICAO!$AA$6*CUSTOS!$P$3</f>
        <v>0</v>
      </c>
      <c r="AB6" s="13">
        <f>TRANSICAO!$AB$6*CUSTOS!$P$3</f>
        <v>0</v>
      </c>
      <c r="AC6" s="13">
        <f>TRANSICAO!$AC$6*CUSTOS!$P$3</f>
        <v>4.9202000000000004</v>
      </c>
      <c r="AD6" s="13">
        <f>TRANSICAO!$AD$6*CUSTOS!$P$3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>
        <f>0.62</f>
        <v>0.62</v>
      </c>
      <c r="M7" s="13">
        <f>IF(AND((+$I$7+$I$8)&lt;&gt;0,SUMPRODUCT($I$5:$I$55,$AC$5:$AC$55,$AP$5:$AP$55)&lt;&gt;0),$M$60*SUMPRODUCT($I$5:$I$8,$AC$5:$AC$8,$AP$5:$AP$8)/SUMPRODUCT($I$5:$I$55,$AC$5:$AC$55,$AP$5:$AP$55)/(+$I$7+$I$8),0)</f>
        <v>0.22916325262244841</v>
      </c>
      <c r="N7" s="13">
        <f ca="1">(+M7+O7+R7+U7+V7+W7+X7+Y7+Z7+AA7+AC7+AH7+AI7+AJ7+AK7)*CUSTOS!$M$5</f>
        <v>5.1965632526224487E-14</v>
      </c>
      <c r="O7" s="13">
        <v>1</v>
      </c>
      <c r="P7" s="13">
        <v>1</v>
      </c>
      <c r="Q7" s="13">
        <f>0.62</f>
        <v>0.62</v>
      </c>
      <c r="R7" s="13">
        <v>1</v>
      </c>
      <c r="S7" s="13">
        <v>1</v>
      </c>
      <c r="T7" s="13"/>
      <c r="U7" s="13">
        <f>TRANSICAO!$U$7*CUSTOS!$P$3</f>
        <v>0</v>
      </c>
      <c r="V7" s="13">
        <f>TRANSICAO!$V$7*CUSTOS!$P$3</f>
        <v>0</v>
      </c>
      <c r="W7" s="13">
        <f>TRANSICAO!$W$7*CUSTOS!$P$3</f>
        <v>0</v>
      </c>
      <c r="X7" s="13">
        <f>TRANSICAO!$X$7*CUSTOS!$P$3</f>
        <v>0</v>
      </c>
      <c r="Y7" s="13">
        <f>TRANSICAO!$Y$7*CUSTOS!$P$3</f>
        <v>0</v>
      </c>
      <c r="Z7" s="13">
        <f>TRANSICAO!$Z$7*CUSTOS!$P$3</f>
        <v>0</v>
      </c>
      <c r="AA7" s="13">
        <f>TRANSICAO!$AA$7*CUSTOS!$P$3</f>
        <v>0</v>
      </c>
      <c r="AB7" s="13">
        <f>TRANSICAO!$AB$7*CUSTOS!$P$3</f>
        <v>0</v>
      </c>
      <c r="AC7" s="13">
        <f>TRANSICAO!$AC$7*CUSTOS!$P$3</f>
        <v>0</v>
      </c>
      <c r="AD7" s="13">
        <f>TRANSICAO!$AD$7*CUSTOS!$P$3</f>
        <v>0</v>
      </c>
      <c r="AE7" s="13">
        <v>0</v>
      </c>
      <c r="AF7" s="13">
        <v>0</v>
      </c>
      <c r="AG7" s="13"/>
      <c r="AH7" s="13">
        <v>2.9674</v>
      </c>
      <c r="AI7" s="13">
        <v>0</v>
      </c>
      <c r="AJ7" s="13">
        <f ca="1">$N$67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>
        <v>0</v>
      </c>
      <c r="M8" s="13">
        <f>IF(AND((+$I$7+$I$8)&lt;&gt;0,SUMPRODUCT($I$5:$I$55,$AC$5:$AC$55,$AP$5:$AP$55)&lt;&gt;0),$M$60*SUMPRODUCT($I$5:$I$8,$AC$5:$AC$8,$AP$5:$AP$8)/SUMPRODUCT($I$5:$I$55,$AC$5:$AC$55,$AP$5:$AP$55)/(+$I$7+$I$8),0)</f>
        <v>0.22916325262244841</v>
      </c>
      <c r="N8" s="13">
        <f ca="1">(+M8+O8+R8+U8+V8+W8+X8+Y8+Z8+AA8+AC8+AH8+AI8+AJ8+AK8)*CUSTOS!$M$5</f>
        <v>4.1965632526224486E-14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TRANSICAO!$U$8*CUSTOS!$P$3</f>
        <v>0</v>
      </c>
      <c r="V8" s="13">
        <f>TRANSICAO!$V$8*CUSTOS!$P$3</f>
        <v>0</v>
      </c>
      <c r="W8" s="13">
        <f>TRANSICAO!$W$8*CUSTOS!$P$3</f>
        <v>0</v>
      </c>
      <c r="X8" s="13">
        <f>TRANSICAO!$X$8*CUSTOS!$P$3</f>
        <v>0</v>
      </c>
      <c r="Y8" s="13">
        <f>TRANSICAO!$Y$8*CUSTOS!$P$3</f>
        <v>0</v>
      </c>
      <c r="Z8" s="13">
        <f>TRANSICAO!$Z$8*CUSTOS!$P$3</f>
        <v>0</v>
      </c>
      <c r="AA8" s="13">
        <f>TRANSICAO!$AA$8*CUSTOS!$P$3</f>
        <v>0</v>
      </c>
      <c r="AB8" s="13">
        <f>TRANSICAO!$AB$8*CUSTOS!$P$3</f>
        <v>0</v>
      </c>
      <c r="AC8" s="13">
        <f>TRANSICAO!$AC$8*CUSTOS!$P$3</f>
        <v>0</v>
      </c>
      <c r="AD8" s="13">
        <f>TRANSICAO!$AD$8*CUSTOS!$P$3</f>
        <v>0</v>
      </c>
      <c r="AE8" s="13">
        <v>0</v>
      </c>
      <c r="AF8" s="13">
        <v>0</v>
      </c>
      <c r="AG8" s="13"/>
      <c r="AH8" s="13">
        <v>2.9674</v>
      </c>
      <c r="AI8" s="13">
        <v>0</v>
      </c>
      <c r="AJ8" s="13">
        <f ca="1">$N$67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TRANSICAO!$U$9*CUSTOS!$R$3</f>
        <v>4.5942999999999996</v>
      </c>
      <c r="V9" s="13">
        <f>TRANSICAO!$V$9*CUSTOS!$R$3</f>
        <v>0.86360000000000003</v>
      </c>
      <c r="W9" s="13">
        <f>TRANSICAO!$W$9*CUSTOS!$R$3</f>
        <v>0</v>
      </c>
      <c r="X9" s="13">
        <f>TRANSICAO!$X$9*CUSTOS!$R$3</f>
        <v>0</v>
      </c>
      <c r="Y9" s="13">
        <f>TRANSICAO!$Y$9*CUSTOS!$R$3</f>
        <v>0</v>
      </c>
      <c r="Z9" s="13">
        <f>TRANSICAO!$Z$9*CUSTOS!$R$3</f>
        <v>0</v>
      </c>
      <c r="AA9" s="13">
        <f>TRANSICAO!$AA$9*CUSTOS!$R$3</f>
        <v>0</v>
      </c>
      <c r="AB9" s="13">
        <f>TRANSICAO!$AB$9*CUSTOS!$R$3</f>
        <v>0</v>
      </c>
      <c r="AC9" s="13">
        <f>TRANSICAO!$AC$9*CUSTOS!$R$3</f>
        <v>46.733600000000003</v>
      </c>
      <c r="AD9" s="13">
        <f>TRANSICAO!$AD$9*CUSTOS!$R$3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>
        <v>1</v>
      </c>
    </row>
    <row r="10" spans="1:42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4.2613000000000003</v>
      </c>
      <c r="V10" s="13">
        <f>TRANSICAO!$V$10*CUSTOS!$R$3</f>
        <v>0.79490000000000005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0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13.0589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>
        <f>0.84</f>
        <v>0.84</v>
      </c>
      <c r="M11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1" s="13">
        <f ca="1">(+M11+O11+R11+U11+V11+W11+X11+Y11+Z11+AA11+AC11+AH11+AI11+AJ11+AK11)*CUSTOS!$M$5</f>
        <v>7.6675583805777782E-14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0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0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5.2385999999999999</v>
      </c>
      <c r="AI11" s="13">
        <v>0</v>
      </c>
      <c r="AJ11" s="13">
        <f ca="1">$N$68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>
        <v>0</v>
      </c>
      <c r="M12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2" s="13">
        <f ca="1">(+M12+O12+R12+U12+V12+W12+X12+Y12+Z12+AA12+AC12+AH12+AI12+AJ12+AK12)*CUSTOS!$M$5</f>
        <v>6.6675583805777787E-14</v>
      </c>
      <c r="O12" s="13">
        <v>1</v>
      </c>
      <c r="P12" s="13">
        <v>0</v>
      </c>
      <c r="Q12" s="13">
        <v>0</v>
      </c>
      <c r="R12" s="13">
        <v>0</v>
      </c>
      <c r="S12" s="13">
        <v>0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5.2385999999999999</v>
      </c>
      <c r="AI12" s="13">
        <v>0</v>
      </c>
      <c r="AJ12" s="13">
        <f ca="1">$N$68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>
        <v>0</v>
      </c>
      <c r="M13" s="13">
        <v>1.0500000000000001E-2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TRANSICAO!$U$13*CUSTOS!$R$4</f>
        <v>0</v>
      </c>
      <c r="V13" s="13">
        <f>TRANSICAO!$V$13*CUSTOS!$R$4</f>
        <v>0</v>
      </c>
      <c r="W13" s="13">
        <f>TRANSICAO!$W$13*CUSTOS!$R$4</f>
        <v>0</v>
      </c>
      <c r="X13" s="13">
        <f>TRANSICAO!$X$13*CUSTOS!$R$4</f>
        <v>0</v>
      </c>
      <c r="Y13" s="13">
        <f>TRANSICAO!$Y$13*CUSTOS!$R$4</f>
        <v>0</v>
      </c>
      <c r="Z13" s="13">
        <f>TRANSICAO!$Z$13*CUSTOS!$R$4</f>
        <v>0</v>
      </c>
      <c r="AA13" s="13">
        <f>TRANSICAO!$AA$13*CUSTOS!$R$4</f>
        <v>0</v>
      </c>
      <c r="AB13" s="13">
        <f>TRANSICAO!$AB$13*CUSTOS!$R$4</f>
        <v>0</v>
      </c>
      <c r="AC13" s="13">
        <f>TRANSICAO!$AC$13*CUSTOS!$R$4</f>
        <v>5.9078999999999997</v>
      </c>
      <c r="AD13" s="13">
        <f>TRANSICAO!$AD$13*CUSTOS!$R$4</f>
        <v>0</v>
      </c>
      <c r="AE13" s="13">
        <v>0</v>
      </c>
      <c r="AF13" s="13">
        <v>0</v>
      </c>
      <c r="AG13" s="13"/>
      <c r="AH13" s="13">
        <v>0</v>
      </c>
      <c r="AI13" s="13">
        <v>0</v>
      </c>
      <c r="AJ13" s="13">
        <v>0</v>
      </c>
      <c r="AK13" s="13">
        <f t="shared" si="0"/>
        <v>0</v>
      </c>
      <c r="AL13" s="13"/>
      <c r="AM13" s="13"/>
      <c r="AP13" s="13"/>
    </row>
    <row r="14" spans="1:42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4.2613000000000003</v>
      </c>
      <c r="V14" s="13">
        <f>TRANSICAO!$V$14*CUSTOS!$R$3</f>
        <v>0.79490000000000005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13.0589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0</v>
      </c>
      <c r="AI14" s="13">
        <v>0</v>
      </c>
      <c r="AJ14" s="13">
        <v>0</v>
      </c>
      <c r="AK14" s="13">
        <f t="shared" si="0"/>
        <v>0</v>
      </c>
      <c r="AL14" s="13"/>
      <c r="AM14" s="13"/>
      <c r="AP14" s="13">
        <v>1</v>
      </c>
    </row>
    <row r="15" spans="1:42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>
        <f>0.84</f>
        <v>0.84</v>
      </c>
      <c r="M15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5" s="13">
        <f ca="1">(+M15+O15+R15+U15+V15+W15+X15+Y15+Z15+AA15+AC15+AH15+AI15+AJ15+AK15)*CUSTOS!$M$5</f>
        <v>1.2628767583805777E-11</v>
      </c>
      <c r="O15" s="13">
        <v>1</v>
      </c>
      <c r="P15" s="13">
        <v>1</v>
      </c>
      <c r="Q15" s="13">
        <f>0.84</f>
        <v>0.84</v>
      </c>
      <c r="R15" s="13">
        <v>1</v>
      </c>
      <c r="S15" s="13">
        <v>1</v>
      </c>
      <c r="T15" s="13"/>
      <c r="U15" s="13">
        <f>TRANSICAO!$U$15*CUSTOS!$R$3</f>
        <v>110.49209999999999</v>
      </c>
      <c r="V15" s="13">
        <f>TRANSICAO!$V$15*CUSTOS!$R$3</f>
        <v>20.772500000000001</v>
      </c>
      <c r="W15" s="13">
        <f>TRANSICAO!$W$15*CUSTOS!$R$3</f>
        <v>0</v>
      </c>
      <c r="X15" s="13">
        <f>TRANSICAO!$X$15*CUSTOS!$R$3</f>
        <v>0</v>
      </c>
      <c r="Y15" s="13">
        <f>TRANSICAO!$Y$15*CUSTOS!$R$3</f>
        <v>0</v>
      </c>
      <c r="Z15" s="13">
        <f>TRANSICAO!$Z$15*CUSTOS!$R$3</f>
        <v>0</v>
      </c>
      <c r="AA15" s="13">
        <f>TRANSICAO!$AA$15*CUSTOS!$R$3</f>
        <v>0</v>
      </c>
      <c r="AB15" s="13">
        <f>TRANSICAO!$AB$15*CUSTOS!$R$3</f>
        <v>0</v>
      </c>
      <c r="AC15" s="13">
        <f>TRANSICAO!$AC$15*CUSTOS!$R$3</f>
        <v>1123.9446</v>
      </c>
      <c r="AD15" s="13">
        <f>TRANSICAO!$AD$15*CUSTOS!$R$3</f>
        <v>0</v>
      </c>
      <c r="AE15" s="13">
        <v>0</v>
      </c>
      <c r="AF15" s="13">
        <v>0</v>
      </c>
      <c r="AG15" s="13"/>
      <c r="AH15" s="13">
        <v>5.2385999999999999</v>
      </c>
      <c r="AI15" s="13">
        <v>0</v>
      </c>
      <c r="AJ15" s="13">
        <f ca="1">$N$68</f>
        <v>0</v>
      </c>
      <c r="AK15" s="13">
        <f t="shared" ca="1" si="0"/>
        <v>0</v>
      </c>
      <c r="AL15" s="13"/>
      <c r="AM15" s="13"/>
      <c r="AP15" s="13">
        <v>1</v>
      </c>
    </row>
    <row r="16" spans="1:42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>
        <f>0.84</f>
        <v>0.84</v>
      </c>
      <c r="M16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6" s="13">
        <f ca="1">(+M16+O16+R16+U16+V16+W16+X16+Y16+Z16+AA16+AC16+AH16+AI16+AJ16+AK16)*CUSTOS!$M$5</f>
        <v>7.6675583805777782E-14</v>
      </c>
      <c r="O16" s="13">
        <v>1</v>
      </c>
      <c r="P16" s="13">
        <v>1</v>
      </c>
      <c r="Q16" s="13">
        <f>0.84</f>
        <v>0.84</v>
      </c>
      <c r="R16" s="13">
        <v>1</v>
      </c>
      <c r="S16" s="13">
        <v>1</v>
      </c>
      <c r="T16" s="13"/>
      <c r="U16" s="13">
        <f>TRANSICAO!$U$16*CUSTOS!$R$3</f>
        <v>0</v>
      </c>
      <c r="V16" s="13">
        <f>TRANSICAO!$V$16*CUSTOS!$R$3</f>
        <v>0</v>
      </c>
      <c r="W16" s="13">
        <f>TRANSICAO!$W$16*CUSTOS!$R$3</f>
        <v>0</v>
      </c>
      <c r="X16" s="13">
        <f>TRANSICAO!$X$16*CUSTOS!$R$3</f>
        <v>0</v>
      </c>
      <c r="Y16" s="13">
        <f>TRANSICAO!$Y$16*CUSTOS!$R$3</f>
        <v>0</v>
      </c>
      <c r="Z16" s="13">
        <f>TRANSICAO!$Z$16*CUSTOS!$R$3</f>
        <v>0</v>
      </c>
      <c r="AA16" s="13">
        <f>TRANSICAO!$AA$16*CUSTOS!$R$3</f>
        <v>0</v>
      </c>
      <c r="AB16" s="13">
        <f>TRANSICAO!$AB$16*CUSTOS!$R$3</f>
        <v>0</v>
      </c>
      <c r="AC16" s="13">
        <f>TRANSICAO!$AC$16*CUSTOS!$R$3</f>
        <v>0</v>
      </c>
      <c r="AD16" s="13">
        <f>TRANSICAO!$AD$16*CUSTOS!$R$3</f>
        <v>0</v>
      </c>
      <c r="AE16" s="13">
        <v>0</v>
      </c>
      <c r="AF16" s="13">
        <v>0</v>
      </c>
      <c r="AG16" s="13"/>
      <c r="AH16" s="13">
        <v>5.2385999999999999</v>
      </c>
      <c r="AI16" s="13">
        <v>0</v>
      </c>
      <c r="AJ16" s="13">
        <f ca="1">$N$68</f>
        <v>0</v>
      </c>
      <c r="AK16" s="13">
        <f t="shared" ca="1" si="0"/>
        <v>0</v>
      </c>
      <c r="AL16" s="13"/>
      <c r="AM16" s="13"/>
      <c r="AP16" s="13">
        <v>1</v>
      </c>
    </row>
    <row r="17" spans="1:42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>
        <v>0</v>
      </c>
      <c r="M17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7" s="13">
        <f ca="1">(+M17+O17+R17+U17+V17+W17+X17+Y17+Z17+AA17+AC17+AH17+AI17+AJ17+AK17)*CUSTOS!$M$5</f>
        <v>1.2618767583805776E-11</v>
      </c>
      <c r="O17" s="13">
        <v>1</v>
      </c>
      <c r="P17" s="13">
        <v>0</v>
      </c>
      <c r="Q17" s="13">
        <v>0</v>
      </c>
      <c r="R17" s="13">
        <v>0</v>
      </c>
      <c r="S17" s="13">
        <v>0</v>
      </c>
      <c r="T17" s="13"/>
      <c r="U17" s="13">
        <f>TRANSICAO!$U$17*CUSTOS!$R$3</f>
        <v>110.49209999999999</v>
      </c>
      <c r="V17" s="13">
        <f>TRANSICAO!$V$17*CUSTOS!$R$3</f>
        <v>20.772500000000001</v>
      </c>
      <c r="W17" s="13">
        <f>TRANSICAO!$W$17*CUSTOS!$R$3</f>
        <v>0</v>
      </c>
      <c r="X17" s="13">
        <f>TRANSICAO!$X$17*CUSTOS!$R$3</f>
        <v>0</v>
      </c>
      <c r="Y17" s="13">
        <f>TRANSICAO!$Y$17*CUSTOS!$R$3</f>
        <v>0</v>
      </c>
      <c r="Z17" s="13">
        <f>TRANSICAO!$Z$17*CUSTOS!$R$3</f>
        <v>0</v>
      </c>
      <c r="AA17" s="13">
        <f>TRANSICAO!$AA$17*CUSTOS!$R$3</f>
        <v>0</v>
      </c>
      <c r="AB17" s="13">
        <f>TRANSICAO!$AB$17*CUSTOS!$R$3</f>
        <v>0</v>
      </c>
      <c r="AC17" s="13">
        <f>TRANSICAO!$AC$17*CUSTOS!$R$3</f>
        <v>1123.9446</v>
      </c>
      <c r="AD17" s="13">
        <f>TRANSICAO!$AD$17*CUSTOS!$R$3</f>
        <v>0</v>
      </c>
      <c r="AE17" s="13">
        <v>0</v>
      </c>
      <c r="AF17" s="13">
        <v>0</v>
      </c>
      <c r="AG17" s="13"/>
      <c r="AH17" s="13">
        <v>5.2385999999999999</v>
      </c>
      <c r="AI17" s="13">
        <v>0</v>
      </c>
      <c r="AJ17" s="13">
        <f ca="1">$N$68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>
        <v>0</v>
      </c>
      <c r="M18" s="13">
        <f>IF(AND((+$I$11+$I$12+$I$15+$I$16+$I$17+$I$18)&lt;&gt;0,SUMPRODUCT($I$5:$I$55,$AC$5:$AC$55,$AP$5:$AP$55)&lt;&gt;0),$M$60*SUMPRODUCT($I$9:$I$18,$AC$9:$AC$18,$AP$9:$AP$18)/SUMPRODUCT($I$5:$I$55,$AC$5:$AC$55,$AP$5:$AP$55)/(+$I$11+$I$12+$I$15+$I$16+$I$17+$I$18),0)</f>
        <v>0.4289583805777788</v>
      </c>
      <c r="N18" s="13">
        <f ca="1">(+M18+O18+R18+U18+V18+W18+X18+Y18+Z18+AA18+AC18+AH18+AI18+AJ18+AK18)*CUSTOS!$M$5</f>
        <v>6.6675583805777787E-14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/>
      <c r="U18" s="13">
        <f>TRANSICAO!$U$18*CUSTOS!$R$3</f>
        <v>0</v>
      </c>
      <c r="V18" s="13">
        <f>TRANSICAO!$V$18*CUSTOS!$R$3</f>
        <v>0</v>
      </c>
      <c r="W18" s="13">
        <f>TRANSICAO!$W$18*CUSTOS!$R$3</f>
        <v>0</v>
      </c>
      <c r="X18" s="13">
        <f>TRANSICAO!$X$18*CUSTOS!$R$3</f>
        <v>0</v>
      </c>
      <c r="Y18" s="13">
        <f>TRANSICAO!$Y$18*CUSTOS!$R$3</f>
        <v>0</v>
      </c>
      <c r="Z18" s="13">
        <f>TRANSICAO!$Z$18*CUSTOS!$R$3</f>
        <v>0</v>
      </c>
      <c r="AA18" s="13">
        <f>TRANSICAO!$AA$18*CUSTOS!$R$3</f>
        <v>0</v>
      </c>
      <c r="AB18" s="13">
        <f>TRANSICAO!$AB$18*CUSTOS!$R$3</f>
        <v>0</v>
      </c>
      <c r="AC18" s="13">
        <f>TRANSICAO!$AC$18*CUSTOS!$R$3</f>
        <v>0</v>
      </c>
      <c r="AD18" s="13">
        <f>TRANSICAO!$AD$18*CUSTOS!$R$3</f>
        <v>0</v>
      </c>
      <c r="AE18" s="13">
        <v>0</v>
      </c>
      <c r="AF18" s="13">
        <v>0</v>
      </c>
      <c r="AG18" s="13"/>
      <c r="AH18" s="13">
        <v>5.2385999999999999</v>
      </c>
      <c r="AI18" s="13">
        <v>0</v>
      </c>
      <c r="AJ18" s="13">
        <f ca="1">$N$68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>
        <v>0</v>
      </c>
      <c r="M19" s="13">
        <v>1.0800000000000001E-2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/>
      <c r="U19" s="13">
        <f>TRANSICAO!$U$19*CUSTOS!$T$4</f>
        <v>0</v>
      </c>
      <c r="V19" s="13">
        <f>TRANSICAO!$V$19*CUSTOS!$T$4</f>
        <v>0</v>
      </c>
      <c r="W19" s="13">
        <f>TRANSICAO!$W$19*CUSTOS!$T$4</f>
        <v>0</v>
      </c>
      <c r="X19" s="13">
        <f>TRANSICAO!$X$19*CUSTOS!$T$4</f>
        <v>0</v>
      </c>
      <c r="Y19" s="13">
        <f>TRANSICAO!$Y$19*CUSTOS!$T$4</f>
        <v>0</v>
      </c>
      <c r="Z19" s="13">
        <f>TRANSICAO!$Z$19*CUSTOS!$T$4</f>
        <v>0</v>
      </c>
      <c r="AA19" s="13">
        <f>TRANSICAO!$AA$19*CUSTOS!$T$4</f>
        <v>0</v>
      </c>
      <c r="AB19" s="13">
        <f>TRANSICAO!$AB$19*CUSTOS!$T$4</f>
        <v>0</v>
      </c>
      <c r="AC19" s="13">
        <f>TRANSICAO!$AC$19*CUSTOS!$T$4</f>
        <v>6.0938999999999997</v>
      </c>
      <c r="AD19" s="13">
        <f>TRANSICAO!$AD$19*CUSTOS!$T$4</f>
        <v>0</v>
      </c>
      <c r="AE19" s="13">
        <v>0</v>
      </c>
      <c r="AF19" s="13">
        <v>0</v>
      </c>
      <c r="AG19" s="13"/>
      <c r="AH19" s="13">
        <v>0</v>
      </c>
      <c r="AI19" s="13">
        <v>0</v>
      </c>
      <c r="AJ19" s="13">
        <v>0</v>
      </c>
      <c r="AK19" s="13">
        <f t="shared" si="0"/>
        <v>0</v>
      </c>
      <c r="AL19" s="13"/>
      <c r="AM19" s="13"/>
      <c r="AP19" s="13"/>
    </row>
    <row r="20" spans="1:42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>
        <v>0</v>
      </c>
      <c r="M20" s="13">
        <v>1.0800000000000001E-2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3">
        <f>TRANSICAO!$U$20*CUSTOS!$T$4</f>
        <v>0</v>
      </c>
      <c r="V20" s="13">
        <f>TRANSICAO!$V$20*CUSTOS!$T$4</f>
        <v>0</v>
      </c>
      <c r="W20" s="13">
        <f>TRANSICAO!$W$20*CUSTOS!$T$4</f>
        <v>0</v>
      </c>
      <c r="X20" s="13">
        <f>TRANSICAO!$X$20*CUSTOS!$T$4</f>
        <v>0</v>
      </c>
      <c r="Y20" s="13">
        <f>TRANSICAO!$Y$20*CUSTOS!$T$4</f>
        <v>0</v>
      </c>
      <c r="Z20" s="13">
        <f>TRANSICAO!$Z$20*CUSTOS!$T$4</f>
        <v>0</v>
      </c>
      <c r="AA20" s="13">
        <f>TRANSICAO!$AA$20*CUSTOS!$T$4</f>
        <v>0</v>
      </c>
      <c r="AB20" s="13">
        <f>TRANSICAO!$AB$20*CUSTOS!$T$4</f>
        <v>0</v>
      </c>
      <c r="AC20" s="13">
        <f>TRANSICAO!$AC$20*CUSTOS!$T$4</f>
        <v>12.398300000000001</v>
      </c>
      <c r="AD20" s="13">
        <f>TRANSICAO!$AD$20*CUSTOS!$T$4</f>
        <v>0</v>
      </c>
      <c r="AE20" s="13">
        <v>0</v>
      </c>
      <c r="AF20" s="13">
        <v>0</v>
      </c>
      <c r="AG20" s="13"/>
      <c r="AH20" s="13">
        <v>0</v>
      </c>
      <c r="AI20" s="13">
        <v>0</v>
      </c>
      <c r="AJ20" s="13">
        <v>0</v>
      </c>
      <c r="AK20" s="13">
        <f t="shared" si="0"/>
        <v>0</v>
      </c>
      <c r="AL20" s="13"/>
      <c r="AM20" s="13"/>
      <c r="AP20" s="13"/>
    </row>
    <row r="21" spans="1:42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>
        <f>1</f>
        <v>1</v>
      </c>
      <c r="M21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</f>
        <v>0.72772843409366972</v>
      </c>
      <c r="N21" s="13">
        <f ca="1">(+M21+O21+R21+U21+V21+W21+X21+Y21+Z21+AA21+AC21+AH21+AI21+AJ21+AK21)*CUSTOS!$M$5</f>
        <v>6.0088632843409356E-12</v>
      </c>
      <c r="O21" s="13">
        <v>1</v>
      </c>
      <c r="P21" s="13">
        <v>1</v>
      </c>
      <c r="Q21" s="13">
        <f>1</f>
        <v>1</v>
      </c>
      <c r="R21" s="13">
        <v>1</v>
      </c>
      <c r="S21" s="13">
        <v>1</v>
      </c>
      <c r="T21" s="13"/>
      <c r="U21" s="13">
        <f>TRANSICAO!$U$21*CUSTOS!$T$3</f>
        <v>50.064900000000002</v>
      </c>
      <c r="V21" s="13">
        <f>TRANSICAO!$V$21*CUSTOS!$T$3</f>
        <v>9.3856000000000002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0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525.13969999999995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v>13.5684</v>
      </c>
      <c r="AI21" s="13">
        <v>0</v>
      </c>
      <c r="AJ21" s="13">
        <f ca="1">$N$69</f>
        <v>0</v>
      </c>
      <c r="AK21" s="13">
        <f t="shared" ca="1" si="0"/>
        <v>0</v>
      </c>
      <c r="AL21" s="13"/>
      <c r="AM21" s="13"/>
      <c r="AP21" s="13">
        <v>1</v>
      </c>
    </row>
    <row r="22" spans="1:42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>
        <f>1</f>
        <v>1</v>
      </c>
      <c r="M22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</f>
        <v>0.72772843409366972</v>
      </c>
      <c r="N22" s="13">
        <f ca="1">(+M22+O22+R22+U22+V22+W22+X22+Y22+Z22+AA22+AC22+AH22+AI22+AJ22+AK22)*CUSTOS!$M$5</f>
        <v>3.6705032843409371E-12</v>
      </c>
      <c r="O22" s="13">
        <v>1</v>
      </c>
      <c r="P22" s="13">
        <v>1</v>
      </c>
      <c r="Q22" s="13">
        <f>1</f>
        <v>1</v>
      </c>
      <c r="R22" s="13">
        <v>1</v>
      </c>
      <c r="S22" s="13">
        <v>1</v>
      </c>
      <c r="T22" s="13"/>
      <c r="U22" s="13">
        <f>TRANSICAO!$U$22*CUSTOS!$T$3</f>
        <v>30.038900000000002</v>
      </c>
      <c r="V22" s="13">
        <f>TRANSICAO!$V$22*CUSTOS!$T$3</f>
        <v>5.6314000000000002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0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315.08390000000003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v>13.5684</v>
      </c>
      <c r="AI22" s="13">
        <v>0</v>
      </c>
      <c r="AJ22" s="13">
        <f ca="1">$N$69</f>
        <v>0</v>
      </c>
      <c r="AK22" s="13">
        <f t="shared" ca="1" si="0"/>
        <v>0</v>
      </c>
      <c r="AL22" s="13"/>
      <c r="AM22" s="13"/>
      <c r="AP22" s="13">
        <v>1</v>
      </c>
    </row>
    <row r="23" spans="1:42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>
        <f>1</f>
        <v>1</v>
      </c>
      <c r="M23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</f>
        <v>0.72772843409366972</v>
      </c>
      <c r="N23" s="13">
        <f ca="1">(+M23+O23+R23+U23+V23+W23+X23+Y23+Z23+AA23+AC23+AH23+AI23+AJ23+AK23)*CUSTOS!$M$5</f>
        <v>1.3321422843409368E-12</v>
      </c>
      <c r="O23" s="13">
        <v>1</v>
      </c>
      <c r="P23" s="13">
        <v>1</v>
      </c>
      <c r="Q23" s="13">
        <f>1</f>
        <v>1</v>
      </c>
      <c r="R23" s="13">
        <v>1</v>
      </c>
      <c r="S23" s="13">
        <v>1</v>
      </c>
      <c r="T23" s="13"/>
      <c r="U23" s="13">
        <f>TRANSICAO!$U$23*CUSTOS!$T$3</f>
        <v>10.013</v>
      </c>
      <c r="V23" s="13">
        <f>TRANSICAO!$V$23*CUSTOS!$T$3</f>
        <v>1.8772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0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105.0279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v>13.5684</v>
      </c>
      <c r="AI23" s="13">
        <v>0</v>
      </c>
      <c r="AJ23" s="13">
        <f ca="1">$N$69</f>
        <v>0</v>
      </c>
      <c r="AK23" s="13">
        <f t="shared" ca="1" si="0"/>
        <v>0</v>
      </c>
      <c r="AL23" s="13"/>
      <c r="AM23" s="13"/>
      <c r="AP23" s="13">
        <v>1</v>
      </c>
    </row>
    <row r="24" spans="1:42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>
        <f>1</f>
        <v>1</v>
      </c>
      <c r="M24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</f>
        <v>0.72772843409366972</v>
      </c>
      <c r="N24" s="13">
        <f ca="1">(+M24+O24+R24+U24+V24+W24+X24+Y24+Z24+AA24+AC24+AH24+AI24+AJ24+AK24)*CUSTOS!$M$5</f>
        <v>2.3281092843409365E-12</v>
      </c>
      <c r="O24" s="13">
        <v>1</v>
      </c>
      <c r="P24" s="13">
        <v>1</v>
      </c>
      <c r="Q24" s="13">
        <f>1</f>
        <v>1</v>
      </c>
      <c r="R24" s="13">
        <v>1</v>
      </c>
      <c r="S24" s="13">
        <v>1</v>
      </c>
      <c r="T24" s="13"/>
      <c r="U24" s="13">
        <f>TRANSICAO!$U$24*CUSTOS!$T$3</f>
        <v>18.5426</v>
      </c>
      <c r="V24" s="13">
        <f>TRANSICAO!$V$24*CUSTOS!$T$3</f>
        <v>3.476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0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194.49619999999999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v>13.5684</v>
      </c>
      <c r="AI24" s="13">
        <v>0</v>
      </c>
      <c r="AJ24" s="13">
        <f ca="1">$N$69</f>
        <v>0</v>
      </c>
      <c r="AK24" s="13">
        <f t="shared" ca="1" si="0"/>
        <v>0</v>
      </c>
      <c r="AL24" s="13"/>
      <c r="AM24" s="13"/>
      <c r="AP24" s="13">
        <v>1</v>
      </c>
    </row>
    <row r="25" spans="1:42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>
        <v>0</v>
      </c>
      <c r="M25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CUSTOS!$M$24)</f>
        <v>0.72772843409366972</v>
      </c>
      <c r="N25" s="13">
        <f ca="1">(+M25+O25+R25+U25+V25+W25+X25+Y25+Z25+AA25+AC25+AH25+AI25+AJ25+AK25)*CUSTOS!$M$5</f>
        <v>2.3181092843409364E-12</v>
      </c>
      <c r="O25" s="13">
        <f>1 - CUSTOS!$M$24</f>
        <v>1</v>
      </c>
      <c r="P25" s="13">
        <v>0</v>
      </c>
      <c r="Q25" s="13">
        <v>0</v>
      </c>
      <c r="R25" s="13">
        <v>0</v>
      </c>
      <c r="S25" s="13">
        <f>1 - CUSTOS!$M$24</f>
        <v>1</v>
      </c>
      <c r="T25" s="13"/>
      <c r="U25" s="13">
        <f>TRANSICAO!$U$25*CUSTOS!$T$3</f>
        <v>18.5426</v>
      </c>
      <c r="V25" s="13">
        <f>TRANSICAO!$V$25*CUSTOS!$T$3</f>
        <v>3.476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0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194.49619999999999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f>(1 - CUSTOS!$M$24)*13.5684</f>
        <v>13.5684</v>
      </c>
      <c r="AI25" s="13">
        <v>0</v>
      </c>
      <c r="AJ25" s="13">
        <f ca="1">$N$69*(1-CUSTOS!$M$24)</f>
        <v>0</v>
      </c>
      <c r="AK25" s="13">
        <f t="shared" ca="1" si="0"/>
        <v>0</v>
      </c>
      <c r="AL25" s="13"/>
      <c r="AM25" s="13"/>
      <c r="AP25" s="13">
        <f>IF((1 - CUSTOS!$M$24)&lt;&gt;0,1/(1 - CUSTOS!$M$24),1)</f>
        <v>1</v>
      </c>
    </row>
    <row r="26" spans="1:42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>
        <v>0</v>
      </c>
      <c r="M26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CUSTOS!$M$25)</f>
        <v>0.72772843409366972</v>
      </c>
      <c r="N26" s="13">
        <f ca="1">(+M26+O26+R26+U26+V26+W26+X26+Y26+Z26+AA26+AC26+AH26+AI26+AJ26+AK26)*CUSTOS!$M$5</f>
        <v>2.3181092843409364E-12</v>
      </c>
      <c r="O26" s="13">
        <f>1 - CUSTOS!$M$25</f>
        <v>1</v>
      </c>
      <c r="P26" s="13">
        <v>0</v>
      </c>
      <c r="Q26" s="13">
        <v>0</v>
      </c>
      <c r="R26" s="13">
        <v>0</v>
      </c>
      <c r="S26" s="13">
        <f>1 - CUSTOS!$M$25</f>
        <v>1</v>
      </c>
      <c r="T26" s="13"/>
      <c r="U26" s="13">
        <f>TRANSICAO!$U$26*CUSTOS!$T$3</f>
        <v>18.5426</v>
      </c>
      <c r="V26" s="13">
        <f>TRANSICAO!$V$26*CUSTOS!$T$3</f>
        <v>3.476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0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194.49619999999999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CUSTOS!$M$25)*13.5684</f>
        <v>13.5684</v>
      </c>
      <c r="AI26" s="13">
        <v>0</v>
      </c>
      <c r="AJ26" s="13">
        <f ca="1">$N$69*(1-CUSTOS!$M$25)</f>
        <v>0</v>
      </c>
      <c r="AK26" s="13">
        <f t="shared" ca="1" si="0"/>
        <v>0</v>
      </c>
      <c r="AL26" s="13"/>
      <c r="AM26" s="13"/>
      <c r="AP26" s="13">
        <f>IF((1 - CUSTOS!$M$25)&lt;&gt;0,1/(1 - CUSTOS!$M$25),1)</f>
        <v>1</v>
      </c>
    </row>
    <row r="27" spans="1:42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>
        <v>0</v>
      </c>
      <c r="M27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CUSTOS!$M$26)</f>
        <v>0.72772843409366972</v>
      </c>
      <c r="N27" s="13">
        <f ca="1">(+M27+O27+R27+U27+V27+W27+X27+Y27+Z27+AA27+AC27+AH27+AI27+AJ27+AK27)*CUSTOS!$M$5</f>
        <v>2.3181092843409364E-12</v>
      </c>
      <c r="O27" s="13">
        <f>1 - CUSTOS!$M$26</f>
        <v>1</v>
      </c>
      <c r="P27" s="13">
        <v>0</v>
      </c>
      <c r="Q27" s="13">
        <v>0</v>
      </c>
      <c r="R27" s="13">
        <v>0</v>
      </c>
      <c r="S27" s="13">
        <f>1 - CUSTOS!$M$26</f>
        <v>1</v>
      </c>
      <c r="T27" s="13"/>
      <c r="U27" s="13">
        <f>TRANSICAO!$U$27*CUSTOS!$T$3</f>
        <v>18.5426</v>
      </c>
      <c r="V27" s="13">
        <f>TRANSICAO!$V$27*CUSTOS!$T$3</f>
        <v>3.476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0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194.49619999999999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CUSTOS!$M$26)*13.5684</f>
        <v>13.5684</v>
      </c>
      <c r="AI27" s="13">
        <v>0</v>
      </c>
      <c r="AJ27" s="13">
        <f ca="1">$N$69*(1-CUSTOS!$M$26)</f>
        <v>0</v>
      </c>
      <c r="AK27" s="13">
        <f t="shared" ca="1" si="0"/>
        <v>0</v>
      </c>
      <c r="AL27" s="13"/>
      <c r="AM27" s="13"/>
      <c r="AP27" s="13">
        <f>IF((1 - CUSTOS!$M$26)&lt;&gt;0,1/(1 - CUSTOS!$M$26),1)</f>
        <v>1</v>
      </c>
    </row>
    <row r="28" spans="1:42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>
        <v>0</v>
      </c>
      <c r="M28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CUSTOS!$M$27)</f>
        <v>0.72772843409366972</v>
      </c>
      <c r="N28" s="13">
        <f ca="1">(+M28+O28+R28+U28+V28+W28+X28+Y28+Z28+AA28+AC28+AH28+AI28+AJ28+AK28)*CUSTOS!$M$5</f>
        <v>2.3181092843409364E-12</v>
      </c>
      <c r="O28" s="13">
        <f>1 - CUSTOS!$M$27</f>
        <v>1</v>
      </c>
      <c r="P28" s="13">
        <v>0</v>
      </c>
      <c r="Q28" s="13">
        <v>0</v>
      </c>
      <c r="R28" s="13">
        <v>0</v>
      </c>
      <c r="S28" s="13">
        <f>1 - CUSTOS!$M$27</f>
        <v>1</v>
      </c>
      <c r="T28" s="13"/>
      <c r="U28" s="13">
        <f>TRANSICAO!$U$28*CUSTOS!$T$3</f>
        <v>18.5426</v>
      </c>
      <c r="V28" s="13">
        <f>TRANSICAO!$V$28*CUSTOS!$T$3</f>
        <v>3.476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0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194.49619999999999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CUSTOS!$M$27)*13.5684</f>
        <v>13.5684</v>
      </c>
      <c r="AI28" s="13">
        <v>0</v>
      </c>
      <c r="AJ28" s="13">
        <f ca="1">$N$69*(1-CUSTOS!$M$27)</f>
        <v>0</v>
      </c>
      <c r="AK28" s="13">
        <f t="shared" ca="1" si="0"/>
        <v>0</v>
      </c>
      <c r="AL28" s="13"/>
      <c r="AM28" s="13"/>
      <c r="AP28" s="13">
        <f>IF((1 - CUSTOS!$M$27)&lt;&gt;0,1/(1 - CUSTOS!$M$27),1)</f>
        <v>1</v>
      </c>
    </row>
    <row r="29" spans="1:42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>
        <f>1</f>
        <v>1</v>
      </c>
      <c r="M29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</f>
        <v>0.72772843409366972</v>
      </c>
      <c r="N29" s="13">
        <f ca="1">(+M29+O29+R29+U29+V29+W29+X29+Y29+Z29+AA29+AC29+AH29+AI29+AJ29+AK29)*CUSTOS!$M$5</f>
        <v>2.3281092843409365E-12</v>
      </c>
      <c r="O29" s="13">
        <v>1</v>
      </c>
      <c r="P29" s="13">
        <v>1</v>
      </c>
      <c r="Q29" s="13">
        <f>1</f>
        <v>1</v>
      </c>
      <c r="R29" s="13">
        <v>1</v>
      </c>
      <c r="S29" s="13">
        <v>1</v>
      </c>
      <c r="T29" s="13"/>
      <c r="U29" s="13">
        <f>TRANSICAO!$U$29*CUSTOS!$T$3</f>
        <v>18.5426</v>
      </c>
      <c r="V29" s="13">
        <f>TRANSICAO!$V$29*CUSTOS!$T$3</f>
        <v>3.476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0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194.49619999999999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v>13.5684</v>
      </c>
      <c r="AI29" s="13">
        <v>0</v>
      </c>
      <c r="AJ29" s="13">
        <f ca="1">$N$69</f>
        <v>0</v>
      </c>
      <c r="AK29" s="13">
        <f t="shared" ca="1" si="0"/>
        <v>0</v>
      </c>
      <c r="AL29" s="13"/>
      <c r="AM29" s="13"/>
      <c r="AP29" s="13">
        <v>1</v>
      </c>
    </row>
    <row r="30" spans="1:42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>
        <v>0</v>
      </c>
      <c r="M30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CUSTOS!$M$24)</f>
        <v>0.72772843409366972</v>
      </c>
      <c r="N30" s="13">
        <f ca="1">(+M30+O30+R30+U30+V30+W30+X30+Y30+Z30+AA30+AC30+AH30+AI30+AJ30+AK30)*CUSTOS!$M$5</f>
        <v>2.3181092843409364E-12</v>
      </c>
      <c r="O30" s="13">
        <f>1 - CUSTOS!$M$24</f>
        <v>1</v>
      </c>
      <c r="P30" s="13">
        <v>0</v>
      </c>
      <c r="Q30" s="13">
        <v>0</v>
      </c>
      <c r="R30" s="13">
        <v>0</v>
      </c>
      <c r="S30" s="13">
        <f>1 - CUSTOS!$M$24</f>
        <v>1</v>
      </c>
      <c r="T30" s="13"/>
      <c r="U30" s="13">
        <f>TRANSICAO!$U$30*CUSTOS!$T$3</f>
        <v>18.5426</v>
      </c>
      <c r="V30" s="13">
        <f>TRANSICAO!$V$30*CUSTOS!$T$3</f>
        <v>3.476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0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194.49619999999999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CUSTOS!$M$24)*13.5684</f>
        <v>13.5684</v>
      </c>
      <c r="AI30" s="13">
        <v>0</v>
      </c>
      <c r="AJ30" s="13">
        <f ca="1">$N$69*(1-CUSTOS!$M$24)</f>
        <v>0</v>
      </c>
      <c r="AK30" s="13">
        <f t="shared" ca="1" si="0"/>
        <v>0</v>
      </c>
      <c r="AL30" s="13"/>
      <c r="AM30" s="13"/>
      <c r="AP30" s="13">
        <f>IF((1 - CUSTOS!$M$24)&lt;&gt;0,1/(1 - CUSTOS!$M$24),1)</f>
        <v>1</v>
      </c>
    </row>
    <row r="31" spans="1:42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>
        <v>0</v>
      </c>
      <c r="M31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CUSTOS!$M$25)</f>
        <v>0.72772843409366972</v>
      </c>
      <c r="N31" s="13">
        <f ca="1">(+M31+O31+R31+U31+V31+W31+X31+Y31+Z31+AA31+AC31+AH31+AI31+AJ31+AK31)*CUSTOS!$M$5</f>
        <v>2.3181092843409364E-12</v>
      </c>
      <c r="O31" s="13">
        <f>1 - CUSTOS!$M$25</f>
        <v>1</v>
      </c>
      <c r="P31" s="13">
        <v>0</v>
      </c>
      <c r="Q31" s="13">
        <v>0</v>
      </c>
      <c r="R31" s="13">
        <v>0</v>
      </c>
      <c r="S31" s="13">
        <f>1 - CUSTOS!$M$25</f>
        <v>1</v>
      </c>
      <c r="T31" s="13"/>
      <c r="U31" s="13">
        <f>TRANSICAO!$U$31*CUSTOS!$T$3</f>
        <v>18.5426</v>
      </c>
      <c r="V31" s="13">
        <f>TRANSICAO!$V$31*CUSTOS!$T$3</f>
        <v>3.476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0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194.49619999999999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CUSTOS!$M$25)*13.5684</f>
        <v>13.5684</v>
      </c>
      <c r="AI31" s="13">
        <v>0</v>
      </c>
      <c r="AJ31" s="13">
        <f ca="1">$N$69*(1-CUSTOS!$M$25)</f>
        <v>0</v>
      </c>
      <c r="AK31" s="13">
        <f t="shared" ca="1" si="0"/>
        <v>0</v>
      </c>
      <c r="AL31" s="13"/>
      <c r="AM31" s="13"/>
      <c r="AP31" s="13">
        <f>IF((1 - CUSTOS!$M$25)&lt;&gt;0,1/(1 - CUSTOS!$M$25),1)</f>
        <v>1</v>
      </c>
    </row>
    <row r="32" spans="1:42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>
        <v>0</v>
      </c>
      <c r="M32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CUSTOS!$M$26)</f>
        <v>0.72772843409366972</v>
      </c>
      <c r="N32" s="13">
        <f ca="1">(+M32+O32+R32+U32+V32+W32+X32+Y32+Z32+AA32+AC32+AH32+AI32+AJ32+AK32)*CUSTOS!$M$5</f>
        <v>2.3181092843409364E-12</v>
      </c>
      <c r="O32" s="13">
        <f>1 - CUSTOS!$M$26</f>
        <v>1</v>
      </c>
      <c r="P32" s="13">
        <v>0</v>
      </c>
      <c r="Q32" s="13">
        <v>0</v>
      </c>
      <c r="R32" s="13">
        <v>0</v>
      </c>
      <c r="S32" s="13">
        <f>1 - CUSTOS!$M$26</f>
        <v>1</v>
      </c>
      <c r="T32" s="13"/>
      <c r="U32" s="13">
        <f>TRANSICAO!$U$32*CUSTOS!$T$3</f>
        <v>18.5426</v>
      </c>
      <c r="V32" s="13">
        <f>TRANSICAO!$V$32*CUSTOS!$T$3</f>
        <v>3.476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0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194.49619999999999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CUSTOS!$M$26)*13.5684</f>
        <v>13.5684</v>
      </c>
      <c r="AI32" s="13">
        <v>0</v>
      </c>
      <c r="AJ32" s="13">
        <f ca="1">$N$69*(1-CUSTOS!$M$26)</f>
        <v>0</v>
      </c>
      <c r="AK32" s="13">
        <f t="shared" ca="1" si="0"/>
        <v>0</v>
      </c>
      <c r="AL32" s="13"/>
      <c r="AM32" s="13"/>
      <c r="AP32" s="13">
        <f>IF((1 - CUSTOS!$M$26)&lt;&gt;0,1/(1 - CUSTOS!$M$26),1)</f>
        <v>1</v>
      </c>
    </row>
    <row r="33" spans="1:42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>
        <v>0</v>
      </c>
      <c r="M33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CUSTOS!$M$27)</f>
        <v>0.72772843409366972</v>
      </c>
      <c r="N33" s="13">
        <f ca="1">(+M33+O33+R33+U33+V33+W33+X33+Y33+Z33+AA33+AC33+AH33+AI33+AJ33+AK33)*CUSTOS!$M$5</f>
        <v>2.3181092843409364E-12</v>
      </c>
      <c r="O33" s="13">
        <f>1 - CUSTOS!$M$27</f>
        <v>1</v>
      </c>
      <c r="P33" s="13">
        <v>0</v>
      </c>
      <c r="Q33" s="13">
        <v>0</v>
      </c>
      <c r="R33" s="13">
        <v>0</v>
      </c>
      <c r="S33" s="13">
        <f>1 - CUSTOS!$M$27</f>
        <v>1</v>
      </c>
      <c r="T33" s="13"/>
      <c r="U33" s="13">
        <f>TRANSICAO!$U$33*CUSTOS!$T$3</f>
        <v>18.5426</v>
      </c>
      <c r="V33" s="13">
        <f>TRANSICAO!$V$33*CUSTOS!$T$3</f>
        <v>3.476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0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194.49619999999999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CUSTOS!$M$27)*13.5684</f>
        <v>13.5684</v>
      </c>
      <c r="AI33" s="13">
        <v>0</v>
      </c>
      <c r="AJ33" s="13">
        <f ca="1">$N$69*(1-CUSTOS!$M$27)</f>
        <v>0</v>
      </c>
      <c r="AK33" s="13">
        <f t="shared" ca="1" si="0"/>
        <v>0</v>
      </c>
      <c r="AL33" s="13"/>
      <c r="AM33" s="13"/>
      <c r="AP33" s="13">
        <f>IF((1 - CUSTOS!$M$27)&lt;&gt;0,1/(1 - CUSTOS!$M$27),1)</f>
        <v>1</v>
      </c>
    </row>
    <row r="34" spans="1:42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>
        <f>1*(1 - CUSTOS!$M$28)</f>
        <v>1</v>
      </c>
      <c r="M34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CUSTOS!$M$28)</f>
        <v>0.72772843409366972</v>
      </c>
      <c r="N34" s="13">
        <f ca="1">(+M34+O34+R34+U34+V34+W34+X34+Y34+Z34+AA34+AC34+AH34+AI34+AJ34+AK34)*CUSTOS!$M$5</f>
        <v>6.5501522843409363E-12</v>
      </c>
      <c r="O34" s="13">
        <f>1 - CUSTOS!$M$28</f>
        <v>1</v>
      </c>
      <c r="P34" s="13">
        <f>1 - CUSTOS!$M$28</f>
        <v>1</v>
      </c>
      <c r="Q34" s="13">
        <f>1*(1 - CUSTOS!$M$28)</f>
        <v>1</v>
      </c>
      <c r="R34" s="13">
        <f>1 - CUSTOS!$M$28</f>
        <v>1</v>
      </c>
      <c r="S34" s="13">
        <f>1 - CUSTOS!$M$28</f>
        <v>1</v>
      </c>
      <c r="T34" s="13"/>
      <c r="U34" s="13">
        <f>TRANSICAO!$U$34*CUSTOS!$T$3</f>
        <v>54.700600000000001</v>
      </c>
      <c r="V34" s="13">
        <f>TRANSICAO!$V$34*CUSTOS!$T$3</f>
        <v>10.2547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0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573.76379999999995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CUSTOS!$M$28)*13.5684</f>
        <v>13.5684</v>
      </c>
      <c r="AI34" s="13">
        <v>0</v>
      </c>
      <c r="AJ34" s="13">
        <f ca="1">$N$69*(1-CUSTOS!$M$28)</f>
        <v>0</v>
      </c>
      <c r="AK34" s="13">
        <f t="shared" ca="1" si="0"/>
        <v>0</v>
      </c>
      <c r="AL34" s="13"/>
      <c r="AM34" s="13"/>
      <c r="AP34" s="13">
        <f>IF((1 - CUSTOS!$M$28)&lt;&gt;0,1/(1 - CUSTOS!$M$28),1)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>
        <f>1*(1 - CUSTOS!$M$28)</f>
        <v>1</v>
      </c>
      <c r="M35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CUSTOS!$M$28)</f>
        <v>0.72772843409366972</v>
      </c>
      <c r="N35" s="13">
        <f ca="1">(+M35+O35+R35+U35+V35+W35+X35+Y35+Z35+AA35+AC35+AH35+AI35+AJ35+AK35)*CUSTOS!$M$5</f>
        <v>3.9952742843409369E-12</v>
      </c>
      <c r="O35" s="13">
        <f>1 - CUSTOS!$M$28</f>
        <v>1</v>
      </c>
      <c r="P35" s="13">
        <f>1 - CUSTOS!$M$28</f>
        <v>1</v>
      </c>
      <c r="Q35" s="13">
        <f>1*(1 - CUSTOS!$M$28)</f>
        <v>1</v>
      </c>
      <c r="R35" s="13">
        <f>1 - CUSTOS!$M$28</f>
        <v>1</v>
      </c>
      <c r="S35" s="13">
        <f>1 - CUSTOS!$M$28</f>
        <v>1</v>
      </c>
      <c r="T35" s="13"/>
      <c r="U35" s="13">
        <f>TRANSICAO!$U$35*CUSTOS!$T$3</f>
        <v>32.820300000000003</v>
      </c>
      <c r="V35" s="13">
        <f>TRANSICAO!$V$35*CUSTOS!$T$3</f>
        <v>6.1528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0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344.25819999999999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CUSTOS!$M$28)*13.5684</f>
        <v>13.5684</v>
      </c>
      <c r="AI35" s="13">
        <v>0</v>
      </c>
      <c r="AJ35" s="13">
        <f ca="1">$N$69*(1-CUSTOS!$M$28)</f>
        <v>0</v>
      </c>
      <c r="AK35" s="13">
        <f t="shared" ca="1" si="0"/>
        <v>0</v>
      </c>
      <c r="AL35" s="13"/>
      <c r="AM35" s="13"/>
      <c r="AP35" s="13">
        <f>IF((1 - CUSTOS!$M$28)&lt;&gt;0,1/(1 - CUSTOS!$M$28),1)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>
        <f>1*(1 - CUSTOS!$M$28)</f>
        <v>1</v>
      </c>
      <c r="M36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CUSTOS!$M$28)</f>
        <v>0.72772843409366972</v>
      </c>
      <c r="N36" s="13">
        <f ca="1">(+M36+O36+R36+U36+V36+W36+X36+Y36+Z36+AA36+AC36+AH36+AI36+AJ36+AK36)*CUSTOS!$M$5</f>
        <v>1.4403992843409367E-12</v>
      </c>
      <c r="O36" s="13">
        <f>1 - CUSTOS!$M$28</f>
        <v>1</v>
      </c>
      <c r="P36" s="13">
        <f>1 - CUSTOS!$M$28</f>
        <v>1</v>
      </c>
      <c r="Q36" s="13">
        <f>1*(1 - CUSTOS!$M$28)</f>
        <v>1</v>
      </c>
      <c r="R36" s="13">
        <f>1 - CUSTOS!$M$28</f>
        <v>1</v>
      </c>
      <c r="S36" s="13">
        <f>1 - CUSTOS!$M$28</f>
        <v>1</v>
      </c>
      <c r="T36" s="13"/>
      <c r="U36" s="13">
        <f>TRANSICAO!$U$36*CUSTOS!$T$3</f>
        <v>10.940099999999999</v>
      </c>
      <c r="V36" s="13">
        <f>TRANSICAO!$V$36*CUSTOS!$T$3</f>
        <v>2.0508999999999999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0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114.75279999999999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CUSTOS!$M$28)*13.5684</f>
        <v>13.5684</v>
      </c>
      <c r="AI36" s="13">
        <v>0</v>
      </c>
      <c r="AJ36" s="13">
        <f ca="1">$N$69*(1-CUSTOS!$M$28)</f>
        <v>0</v>
      </c>
      <c r="AK36" s="13">
        <f t="shared" ca="1" si="0"/>
        <v>0</v>
      </c>
      <c r="AL36" s="13"/>
      <c r="AM36" s="13"/>
      <c r="AP36" s="13">
        <f>IF((1 - CUSTOS!$M$28)&lt;&gt;0,1/(1 - CUSTOS!$M$28),1)</f>
        <v>1</v>
      </c>
    </row>
    <row r="37" spans="1:42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>
        <f>1*(1 - CUSTOS!$M$28)</f>
        <v>1</v>
      </c>
      <c r="M37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CUSTOS!$M$28)</f>
        <v>0.72772843409366972</v>
      </c>
      <c r="N37" s="13">
        <f ca="1">(+M37+O37+R37+U37+V37+W37+X37+Y37+Z37+AA37+AC37+AH37+AI37+AJ37+AK37)*CUSTOS!$M$5</f>
        <v>2.3281092843409365E-12</v>
      </c>
      <c r="O37" s="13">
        <f>1 - CUSTOS!$M$28</f>
        <v>1</v>
      </c>
      <c r="P37" s="13">
        <f>1 - CUSTOS!$M$28</f>
        <v>1</v>
      </c>
      <c r="Q37" s="13">
        <f>1*(1 - CUSTOS!$M$28)</f>
        <v>1</v>
      </c>
      <c r="R37" s="13">
        <f>1 - CUSTOS!$M$28</f>
        <v>1</v>
      </c>
      <c r="S37" s="13">
        <f>1 - CUSTOS!$M$28</f>
        <v>1</v>
      </c>
      <c r="T37" s="13"/>
      <c r="U37" s="13">
        <f>TRANSICAO!$U$37*CUSTOS!$T$3</f>
        <v>18.5426</v>
      </c>
      <c r="V37" s="13">
        <f>TRANSICAO!$V$37*CUSTOS!$T$3</f>
        <v>3.476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0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194.49619999999999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CUSTOS!$M$28)*13.5684</f>
        <v>13.5684</v>
      </c>
      <c r="AI37" s="13">
        <v>0</v>
      </c>
      <c r="AJ37" s="13">
        <f ca="1">$N$69*(1-CUSTOS!$M$28)</f>
        <v>0</v>
      </c>
      <c r="AK37" s="13">
        <f t="shared" ref="AK37:AK55" ca="1" si="1">AJ37</f>
        <v>0</v>
      </c>
      <c r="AL37" s="13"/>
      <c r="AM37" s="13"/>
      <c r="AP37" s="13">
        <f>IF((1 - CUSTOS!$M$28)&lt;&gt;0,1/(1 - CUSTOS!$M$28),1)</f>
        <v>1</v>
      </c>
    </row>
    <row r="38" spans="1:42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>
        <f>1*(1 - CUSTOS!$M$29)</f>
        <v>1</v>
      </c>
      <c r="M38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CUSTOS!$M$29)</f>
        <v>0.72772843409366972</v>
      </c>
      <c r="N38" s="13">
        <f ca="1">(+M38+O38+R38+U38+V38+W38+X38+Y38+Z38+AA38+AC38+AH38+AI38+AJ38+AK38)*CUSTOS!$M$5</f>
        <v>6.5501522843409363E-12</v>
      </c>
      <c r="O38" s="13">
        <f>1 - CUSTOS!$M$29</f>
        <v>1</v>
      </c>
      <c r="P38" s="13">
        <f>1 - CUSTOS!$M$29</f>
        <v>1</v>
      </c>
      <c r="Q38" s="13">
        <f>1*(1 - CUSTOS!$M$29)</f>
        <v>1</v>
      </c>
      <c r="R38" s="13">
        <f>1 - CUSTOS!$M$29</f>
        <v>1</v>
      </c>
      <c r="S38" s="13">
        <f>1 - CUSTOS!$M$29</f>
        <v>1</v>
      </c>
      <c r="T38" s="13"/>
      <c r="U38" s="13">
        <f>TRANSICAO!$U$38*CUSTOS!$T$3</f>
        <v>54.700600000000001</v>
      </c>
      <c r="V38" s="13">
        <f>TRANSICAO!$V$38*CUSTOS!$T$3</f>
        <v>10.2547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0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573.76379999999995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CUSTOS!$M$29)*13.5684</f>
        <v>13.5684</v>
      </c>
      <c r="AI38" s="13">
        <v>0</v>
      </c>
      <c r="AJ38" s="13">
        <f ca="1">$N$69*(1-CUSTOS!$M$29)</f>
        <v>0</v>
      </c>
      <c r="AK38" s="13">
        <f t="shared" ca="1" si="1"/>
        <v>0</v>
      </c>
      <c r="AL38" s="13"/>
      <c r="AM38" s="13"/>
      <c r="AP38" s="13">
        <f>IF((1 - CUSTOS!$M$29)&lt;&gt;0,1/(1 - CUSTOS!$M$29),1)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>
        <f>1*(1 - CUSTOS!$M$29)</f>
        <v>1</v>
      </c>
      <c r="M39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CUSTOS!$M$29)</f>
        <v>0.72772843409366972</v>
      </c>
      <c r="N39" s="13">
        <f ca="1">(+M39+O39+R39+U39+V39+W39+X39+Y39+Z39+AA39+AC39+AH39+AI39+AJ39+AK39)*CUSTOS!$M$5</f>
        <v>3.9952742843409369E-12</v>
      </c>
      <c r="O39" s="13">
        <f>1 - CUSTOS!$M$29</f>
        <v>1</v>
      </c>
      <c r="P39" s="13">
        <f>1 - CUSTOS!$M$29</f>
        <v>1</v>
      </c>
      <c r="Q39" s="13">
        <f>1*(1 - CUSTOS!$M$29)</f>
        <v>1</v>
      </c>
      <c r="R39" s="13">
        <f>1 - CUSTOS!$M$29</f>
        <v>1</v>
      </c>
      <c r="S39" s="13">
        <f>1 - CUSTOS!$M$29</f>
        <v>1</v>
      </c>
      <c r="T39" s="13"/>
      <c r="U39" s="13">
        <f>TRANSICAO!$U$39*CUSTOS!$T$3</f>
        <v>32.820300000000003</v>
      </c>
      <c r="V39" s="13">
        <f>TRANSICAO!$V$39*CUSTOS!$T$3</f>
        <v>6.1528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0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344.25819999999999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CUSTOS!$M$29)*13.5684</f>
        <v>13.5684</v>
      </c>
      <c r="AI39" s="13">
        <v>0</v>
      </c>
      <c r="AJ39" s="13">
        <f ca="1">$N$69*(1-CUSTOS!$M$29)</f>
        <v>0</v>
      </c>
      <c r="AK39" s="13">
        <f t="shared" ca="1" si="1"/>
        <v>0</v>
      </c>
      <c r="AL39" s="13"/>
      <c r="AM39" s="13"/>
      <c r="AP39" s="13">
        <f>IF((1 - CUSTOS!$M$29)&lt;&gt;0,1/(1 - CUSTOS!$M$29),1)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>
        <f>1*(1 - CUSTOS!$M$29)</f>
        <v>1</v>
      </c>
      <c r="M40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CUSTOS!$M$29)</f>
        <v>0.72772843409366972</v>
      </c>
      <c r="N40" s="13">
        <f ca="1">(+M40+O40+R40+U40+V40+W40+X40+Y40+Z40+AA40+AC40+AH40+AI40+AJ40+AK40)*CUSTOS!$M$5</f>
        <v>1.4403992843409367E-12</v>
      </c>
      <c r="O40" s="13">
        <f>1 - CUSTOS!$M$29</f>
        <v>1</v>
      </c>
      <c r="P40" s="13">
        <f>1 - CUSTOS!$M$29</f>
        <v>1</v>
      </c>
      <c r="Q40" s="13">
        <f>1*(1 - CUSTOS!$M$29)</f>
        <v>1</v>
      </c>
      <c r="R40" s="13">
        <f>1 - CUSTOS!$M$29</f>
        <v>1</v>
      </c>
      <c r="S40" s="13">
        <f>1 - CUSTOS!$M$29</f>
        <v>1</v>
      </c>
      <c r="T40" s="13"/>
      <c r="U40" s="13">
        <f>TRANSICAO!$U$40*CUSTOS!$T$3</f>
        <v>10.940099999999999</v>
      </c>
      <c r="V40" s="13">
        <f>TRANSICAO!$V$40*CUSTOS!$T$3</f>
        <v>2.0508999999999999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0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114.75279999999999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CUSTOS!$M$29)*13.5684</f>
        <v>13.5684</v>
      </c>
      <c r="AI40" s="13">
        <v>0</v>
      </c>
      <c r="AJ40" s="13">
        <f ca="1">$N$69*(1-CUSTOS!$M$29)</f>
        <v>0</v>
      </c>
      <c r="AK40" s="13">
        <f t="shared" ca="1" si="1"/>
        <v>0</v>
      </c>
      <c r="AL40" s="13"/>
      <c r="AM40" s="13"/>
      <c r="AP40" s="13">
        <f>IF((1 - CUSTOS!$M$29)&lt;&gt;0,1/(1 - CUSTOS!$M$29),1)</f>
        <v>1</v>
      </c>
    </row>
    <row r="41" spans="1:42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>
        <f>1*(1 - CUSTOS!$M$29)</f>
        <v>1</v>
      </c>
      <c r="M41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CUSTOS!$M$29)</f>
        <v>0.72772843409366972</v>
      </c>
      <c r="N41" s="13">
        <f ca="1">(+M41+O41+R41+U41+V41+W41+X41+Y41+Z41+AA41+AC41+AH41+AI41+AJ41+AK41)*CUSTOS!$M$5</f>
        <v>2.3281092843409365E-12</v>
      </c>
      <c r="O41" s="13">
        <f>1 - CUSTOS!$M$29</f>
        <v>1</v>
      </c>
      <c r="P41" s="13">
        <f>1 - CUSTOS!$M$29</f>
        <v>1</v>
      </c>
      <c r="Q41" s="13">
        <f>1*(1 - CUSTOS!$M$29)</f>
        <v>1</v>
      </c>
      <c r="R41" s="13">
        <f>1 - CUSTOS!$M$29</f>
        <v>1</v>
      </c>
      <c r="S41" s="13">
        <f>1 - CUSTOS!$M$29</f>
        <v>1</v>
      </c>
      <c r="T41" s="13"/>
      <c r="U41" s="13">
        <f>TRANSICAO!$U$41*CUSTOS!$T$3</f>
        <v>18.5426</v>
      </c>
      <c r="V41" s="13">
        <f>TRANSICAO!$V$41*CUSTOS!$T$3</f>
        <v>3.476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0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194.49619999999999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CUSTOS!$M$29)*13.5684</f>
        <v>13.5684</v>
      </c>
      <c r="AI41" s="13">
        <v>0</v>
      </c>
      <c r="AJ41" s="13">
        <f ca="1">$N$69*(1-CUSTOS!$M$29)</f>
        <v>0</v>
      </c>
      <c r="AK41" s="13">
        <f t="shared" ca="1" si="1"/>
        <v>0</v>
      </c>
      <c r="AL41" s="13"/>
      <c r="AM41" s="13"/>
      <c r="AP41" s="13">
        <f>IF((1 - CUSTOS!$M$29)&lt;&gt;0,1/(1 - CUSTOS!$M$29),1)</f>
        <v>1</v>
      </c>
    </row>
    <row r="42" spans="1:42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>
        <f>1*(1 - CUSTOS!$M$30)</f>
        <v>1</v>
      </c>
      <c r="M42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CUSTOS!$M$30)</f>
        <v>0.72772843409366972</v>
      </c>
      <c r="N42" s="13">
        <f ca="1">(+M42+O42+R42+U42+V42+W42+X42+Y42+Z42+AA42+AC42+AH42+AI42+AJ42+AK42)*CUSTOS!$M$5</f>
        <v>6.5501522843409363E-12</v>
      </c>
      <c r="O42" s="13">
        <f>1 - CUSTOS!$M$30</f>
        <v>1</v>
      </c>
      <c r="P42" s="13">
        <f>1 - CUSTOS!$M$30</f>
        <v>1</v>
      </c>
      <c r="Q42" s="13">
        <f>1*(1 - CUSTOS!$M$30)</f>
        <v>1</v>
      </c>
      <c r="R42" s="13">
        <f>1 - CUSTOS!$M$30</f>
        <v>1</v>
      </c>
      <c r="S42" s="13">
        <f>1 - CUSTOS!$M$30</f>
        <v>1</v>
      </c>
      <c r="T42" s="13"/>
      <c r="U42" s="13">
        <f>TRANSICAO!$U$42*CUSTOS!$T$3</f>
        <v>54.700600000000001</v>
      </c>
      <c r="V42" s="13">
        <f>TRANSICAO!$V$42*CUSTOS!$T$3</f>
        <v>10.2547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0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573.76379999999995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CUSTOS!$M$30)*13.5684</f>
        <v>13.5684</v>
      </c>
      <c r="AI42" s="13">
        <v>0</v>
      </c>
      <c r="AJ42" s="13">
        <f ca="1">$N$69*(1-CUSTOS!$M$30)</f>
        <v>0</v>
      </c>
      <c r="AK42" s="13">
        <f t="shared" ca="1" si="1"/>
        <v>0</v>
      </c>
      <c r="AL42" s="13"/>
      <c r="AM42" s="13"/>
      <c r="AP42" s="13">
        <f>IF((1 - CUSTOS!$M$30)&lt;&gt;0,1/(1 - CUSTOS!$M$30),1)</f>
        <v>1</v>
      </c>
    </row>
    <row r="43" spans="1:42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>
        <f>1*(1 - CUSTOS!$M$30)</f>
        <v>1</v>
      </c>
      <c r="M43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CUSTOS!$M$30)</f>
        <v>0.72772843409366972</v>
      </c>
      <c r="N43" s="13">
        <f ca="1">(+M43+O43+R43+U43+V43+W43+X43+Y43+Z43+AA43+AC43+AH43+AI43+AJ43+AK43)*CUSTOS!$M$5</f>
        <v>3.9952742843409369E-12</v>
      </c>
      <c r="O43" s="13">
        <f>1 - CUSTOS!$M$30</f>
        <v>1</v>
      </c>
      <c r="P43" s="13">
        <f>1 - CUSTOS!$M$30</f>
        <v>1</v>
      </c>
      <c r="Q43" s="13">
        <f>1*(1 - CUSTOS!$M$30)</f>
        <v>1</v>
      </c>
      <c r="R43" s="13">
        <f>1 - CUSTOS!$M$30</f>
        <v>1</v>
      </c>
      <c r="S43" s="13">
        <f>1 - CUSTOS!$M$30</f>
        <v>1</v>
      </c>
      <c r="T43" s="13"/>
      <c r="U43" s="13">
        <f>TRANSICAO!$U$43*CUSTOS!$T$3</f>
        <v>32.820300000000003</v>
      </c>
      <c r="V43" s="13">
        <f>TRANSICAO!$V$43*CUSTOS!$T$3</f>
        <v>6.1528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0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344.25819999999999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CUSTOS!$M$30)*13.5684</f>
        <v>13.5684</v>
      </c>
      <c r="AI43" s="13">
        <v>0</v>
      </c>
      <c r="AJ43" s="13">
        <f ca="1">$N$69*(1-CUSTOS!$M$30)</f>
        <v>0</v>
      </c>
      <c r="AK43" s="13">
        <f t="shared" ca="1" si="1"/>
        <v>0</v>
      </c>
      <c r="AL43" s="13"/>
      <c r="AM43" s="13"/>
      <c r="AP43" s="13">
        <f>IF((1 - CUSTOS!$M$30)&lt;&gt;0,1/(1 - CUSTOS!$M$30),1)</f>
        <v>1</v>
      </c>
    </row>
    <row r="44" spans="1:42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>
        <f>1*(1 - CUSTOS!$M$30)</f>
        <v>1</v>
      </c>
      <c r="M44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CUSTOS!$M$30)</f>
        <v>0.72772843409366972</v>
      </c>
      <c r="N44" s="13">
        <f ca="1">(+M44+O44+R44+U44+V44+W44+X44+Y44+Z44+AA44+AC44+AH44+AI44+AJ44+AK44)*CUSTOS!$M$5</f>
        <v>1.4403992843409367E-12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10.940099999999999</v>
      </c>
      <c r="V44" s="13">
        <f>TRANSICAO!$V$44*CUSTOS!$T$3</f>
        <v>2.0508999999999999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0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114.75279999999999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CUSTOS!$M$30)*13.5684</f>
        <v>13.5684</v>
      </c>
      <c r="AI44" s="13">
        <v>0</v>
      </c>
      <c r="AJ44" s="13">
        <f ca="1">$N$69*(1-CUSTOS!$M$30)</f>
        <v>0</v>
      </c>
      <c r="AK44" s="13">
        <f t="shared" ca="1" si="1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>
        <f>1*(1 - CUSTOS!$M$30)</f>
        <v>1</v>
      </c>
      <c r="M45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CUSTOS!$M$30)</f>
        <v>0.72772843409366972</v>
      </c>
      <c r="N45" s="13">
        <f ca="1">(+M45+O45+R45+U45+V45+W45+X45+Y45+Z45+AA45+AC45+AH45+AI45+AJ45+AK45)*CUSTOS!$M$5</f>
        <v>2.3281092843409365E-12</v>
      </c>
      <c r="O45" s="13">
        <f>1 - CUSTOS!$M$30</f>
        <v>1</v>
      </c>
      <c r="P45" s="13">
        <f>1 - CUSTOS!$M$30</f>
        <v>1</v>
      </c>
      <c r="Q45" s="13">
        <f>1*(1 - CUSTOS!$M$30)</f>
        <v>1</v>
      </c>
      <c r="R45" s="13">
        <f>1 - CUSTOS!$M$30</f>
        <v>1</v>
      </c>
      <c r="S45" s="13">
        <f>1 - CUSTOS!$M$30</f>
        <v>1</v>
      </c>
      <c r="T45" s="13"/>
      <c r="U45" s="13">
        <f>TRANSICAO!$U$45*CUSTOS!$T$3</f>
        <v>18.5426</v>
      </c>
      <c r="V45" s="13">
        <f>TRANSICAO!$V$45*CUSTOS!$T$3</f>
        <v>3.476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0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194.49619999999999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CUSTOS!$M$30)*13.5684</f>
        <v>13.5684</v>
      </c>
      <c r="AI45" s="13">
        <v>0</v>
      </c>
      <c r="AJ45" s="13">
        <f ca="1">$N$69*(1-CUSTOS!$M$30)</f>
        <v>0</v>
      </c>
      <c r="AK45" s="13">
        <f t="shared" ca="1" si="1"/>
        <v>0</v>
      </c>
      <c r="AL45" s="13"/>
      <c r="AM45" s="13"/>
      <c r="AP45" s="13">
        <f>IF((1 - CUSTOS!$M$30)&lt;&gt;0,1/(1 - CUSTOS!$M$30),1)</f>
        <v>1</v>
      </c>
    </row>
    <row r="46" spans="1:42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>
        <f>1*(1 - CUSTOS!$M$28)</f>
        <v>1</v>
      </c>
      <c r="M46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CUSTOS!$M$28)</f>
        <v>0.72772843409366972</v>
      </c>
      <c r="N46" s="13">
        <f ca="1">(+M46+O46+R46+U46+V46+W46+X46+Y46+Z46+AA46+AC46+AH46+AI46+AJ46+AK46)*CUSTOS!$M$5</f>
        <v>2.3281092843409365E-12</v>
      </c>
      <c r="O46" s="13">
        <f>1 - CUSTOS!$M$28</f>
        <v>1</v>
      </c>
      <c r="P46" s="13">
        <f>1 - CUSTOS!$M$28</f>
        <v>1</v>
      </c>
      <c r="Q46" s="13">
        <f>1*(1 - CUSTOS!$M$28)</f>
        <v>1</v>
      </c>
      <c r="R46" s="13">
        <f>1 - CUSTOS!$M$28</f>
        <v>1</v>
      </c>
      <c r="S46" s="13">
        <f>1 - CUSTOS!$M$28</f>
        <v>1</v>
      </c>
      <c r="T46" s="13"/>
      <c r="U46" s="13">
        <f>TRANSICAO!$U$46*CUSTOS!$T$3</f>
        <v>18.5426</v>
      </c>
      <c r="V46" s="13">
        <f>TRANSICAO!$V$46*CUSTOS!$T$3</f>
        <v>3.476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0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194.49619999999999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CUSTOS!$M$28)*13.5684</f>
        <v>13.5684</v>
      </c>
      <c r="AI46" s="13">
        <v>0</v>
      </c>
      <c r="AJ46" s="13">
        <f ca="1">$N$69*(1-CUSTOS!$M$28)</f>
        <v>0</v>
      </c>
      <c r="AK46" s="13">
        <f t="shared" ca="1" si="1"/>
        <v>0</v>
      </c>
      <c r="AL46" s="13"/>
      <c r="AM46" s="13"/>
      <c r="AP46" s="13">
        <f>IF((1 - CUSTOS!$M$28)&lt;&gt;0,1/(1 - CUSTOS!$M$28),1)</f>
        <v>1</v>
      </c>
    </row>
    <row r="47" spans="1:42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>
        <f>1*(1 - CUSTOS!$M$29)</f>
        <v>1</v>
      </c>
      <c r="M47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CUSTOS!$M$29)</f>
        <v>0.72772843409366972</v>
      </c>
      <c r="N47" s="13">
        <f ca="1">(+M47+O47+R47+U47+V47+W47+X47+Y47+Z47+AA47+AC47+AH47+AI47+AJ47+AK47)*CUSTOS!$M$5</f>
        <v>2.3281092843409365E-12</v>
      </c>
      <c r="O47" s="13">
        <f>1 - CUSTOS!$M$29</f>
        <v>1</v>
      </c>
      <c r="P47" s="13">
        <f>1 - CUSTOS!$M$29</f>
        <v>1</v>
      </c>
      <c r="Q47" s="13">
        <f>1*(1 - CUSTOS!$M$29)</f>
        <v>1</v>
      </c>
      <c r="R47" s="13">
        <f>1 - CUSTOS!$M$29</f>
        <v>1</v>
      </c>
      <c r="S47" s="13">
        <f>1 - CUSTOS!$M$29</f>
        <v>1</v>
      </c>
      <c r="T47" s="13"/>
      <c r="U47" s="13">
        <f>TRANSICAO!$U$47*CUSTOS!$T$3</f>
        <v>18.5426</v>
      </c>
      <c r="V47" s="13">
        <f>TRANSICAO!$V$47*CUSTOS!$T$3</f>
        <v>3.476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0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194.49619999999999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CUSTOS!$M$29)*13.5684</f>
        <v>13.5684</v>
      </c>
      <c r="AI47" s="13">
        <v>0</v>
      </c>
      <c r="AJ47" s="13">
        <f ca="1">$N$69*(1-CUSTOS!$M$29)</f>
        <v>0</v>
      </c>
      <c r="AK47" s="13">
        <f t="shared" ca="1" si="1"/>
        <v>0</v>
      </c>
      <c r="AL47" s="13"/>
      <c r="AM47" s="13"/>
      <c r="AP47" s="13">
        <f>IF((1 - CUSTOS!$M$29)&lt;&gt;0,1/(1 - CUSTOS!$M$29),1)</f>
        <v>1</v>
      </c>
    </row>
    <row r="48" spans="1:42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>
        <f>1*(1 - CUSTOS!$M$30)</f>
        <v>1</v>
      </c>
      <c r="M48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CUSTOS!$M$30)</f>
        <v>0.72772843409366972</v>
      </c>
      <c r="N48" s="13">
        <f ca="1">(+M48+O48+R48+U48+V48+W48+X48+Y48+Z48+AA48+AC48+AH48+AI48+AJ48+AK48)*CUSTOS!$M$5</f>
        <v>2.3281092843409365E-12</v>
      </c>
      <c r="O48" s="13">
        <f>1 - CUSTOS!$M$30</f>
        <v>1</v>
      </c>
      <c r="P48" s="13">
        <f>1 - CUSTOS!$M$30</f>
        <v>1</v>
      </c>
      <c r="Q48" s="13">
        <f>1*(1 - CUSTOS!$M$30)</f>
        <v>1</v>
      </c>
      <c r="R48" s="13">
        <f>1 - CUSTOS!$M$30</f>
        <v>1</v>
      </c>
      <c r="S48" s="13">
        <f>1 - CUSTOS!$M$30</f>
        <v>1</v>
      </c>
      <c r="T48" s="13"/>
      <c r="U48" s="13">
        <f>TRANSICAO!$U$48*CUSTOS!$T$3</f>
        <v>18.5426</v>
      </c>
      <c r="V48" s="13">
        <f>TRANSICAO!$V$48*CUSTOS!$T$3</f>
        <v>3.476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0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194.49619999999999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CUSTOS!$M$30)*13.5684</f>
        <v>13.5684</v>
      </c>
      <c r="AI48" s="13">
        <v>0</v>
      </c>
      <c r="AJ48" s="13">
        <f ca="1">$N$69*(1-CUSTOS!$M$30)</f>
        <v>0</v>
      </c>
      <c r="AK48" s="13">
        <f t="shared" ca="1" si="1"/>
        <v>0</v>
      </c>
      <c r="AL48" s="13"/>
      <c r="AM48" s="13"/>
      <c r="AP48" s="13">
        <f>IF((1 - CUSTOS!$M$30)&lt;&gt;0,1/(1 - CUSTOS!$M$30),1)</f>
        <v>1</v>
      </c>
    </row>
    <row r="49" spans="1:42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>
        <f>1*(1 - CUSTOS!$M$31)</f>
        <v>1</v>
      </c>
      <c r="M49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CUSTOS!$M$31)</f>
        <v>0.72772843409366972</v>
      </c>
      <c r="N49" s="13">
        <f ca="1">(+M49+O49+R49+U49+V49+W49+X49+Y49+Z49+AA49+AC49+AH49+AI49+AJ49+AK49)*CUSTOS!$M$5</f>
        <v>7.6327252843409379E-12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63.972000000000001</v>
      </c>
      <c r="V49" s="13">
        <f>TRANSICAO!$V$49*CUSTOS!$T$3</f>
        <v>11.992599999999999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0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671.01179999999999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CUSTOS!$M$31)*13.5684</f>
        <v>13.5684</v>
      </c>
      <c r="AI49" s="13">
        <v>0</v>
      </c>
      <c r="AJ49" s="13">
        <f ca="1">$N$69*(1-CUSTOS!$M$31)</f>
        <v>0</v>
      </c>
      <c r="AK49" s="13">
        <f t="shared" ca="1" si="1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>
        <f>1*(1 - CUSTOS!$M$31)</f>
        <v>1</v>
      </c>
      <c r="M50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CUSTOS!$M$31)</f>
        <v>0.72772843409366972</v>
      </c>
      <c r="N50" s="13">
        <f ca="1">(+M50+O50+R50+U50+V50+W50+X50+Y50+Z50+AA50+AC50+AH50+AI50+AJ50+AK50)*CUSTOS!$M$5</f>
        <v>4.644821284340937E-12</v>
      </c>
      <c r="O50" s="13">
        <f>1 - CUSTOS!$M$31</f>
        <v>1</v>
      </c>
      <c r="P50" s="13">
        <f>1 - CUSTOS!$M$31</f>
        <v>1</v>
      </c>
      <c r="Q50" s="13">
        <f>1*(1 - CUSTOS!$M$31)</f>
        <v>1</v>
      </c>
      <c r="R50" s="13">
        <f>1 - CUSTOS!$M$31</f>
        <v>1</v>
      </c>
      <c r="S50" s="13">
        <f>1 - CUSTOS!$M$31</f>
        <v>1</v>
      </c>
      <c r="T50" s="13"/>
      <c r="U50" s="13">
        <f>TRANSICAO!$U$50*CUSTOS!$T$3</f>
        <v>38.383200000000002</v>
      </c>
      <c r="V50" s="13">
        <f>TRANSICAO!$V$50*CUSTOS!$T$3</f>
        <v>7.1957000000000004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0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402.6071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CUSTOS!$M$31)*13.5684</f>
        <v>13.5684</v>
      </c>
      <c r="AI50" s="13">
        <v>0</v>
      </c>
      <c r="AJ50" s="13">
        <f ca="1">$N$69*(1-CUSTOS!$M$31)</f>
        <v>0</v>
      </c>
      <c r="AK50" s="13">
        <f t="shared" ca="1" si="1"/>
        <v>0</v>
      </c>
      <c r="AL50" s="13"/>
      <c r="AM50" s="13"/>
      <c r="AP50" s="13">
        <f>IF((1 - CUSTOS!$M$31)&lt;&gt;0,1/(1 - CUSTOS!$M$31),1)</f>
        <v>1</v>
      </c>
    </row>
    <row r="51" spans="1:42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>
        <f>1*(1 - CUSTOS!$M$31)</f>
        <v>1</v>
      </c>
      <c r="M51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CUSTOS!$M$31)</f>
        <v>0.72772843409366972</v>
      </c>
      <c r="N51" s="13">
        <f ca="1">(+M51+O51+R51+U51+V51+W51+X51+Y51+Z51+AA51+AC51+AH51+AI51+AJ51+AK51)*CUSTOS!$M$5</f>
        <v>1.6569152843409363E-12</v>
      </c>
      <c r="O51" s="13">
        <f>1 - CUSTOS!$M$31</f>
        <v>1</v>
      </c>
      <c r="P51" s="13">
        <f>1 - CUSTOS!$M$31</f>
        <v>1</v>
      </c>
      <c r="Q51" s="13">
        <f>1*(1 - CUSTOS!$M$31)</f>
        <v>1</v>
      </c>
      <c r="R51" s="13">
        <f>1 - CUSTOS!$M$31</f>
        <v>1</v>
      </c>
      <c r="S51" s="13">
        <f>1 - CUSTOS!$M$31</f>
        <v>1</v>
      </c>
      <c r="T51" s="13"/>
      <c r="U51" s="13">
        <f>TRANSICAO!$U$51*CUSTOS!$T$3</f>
        <v>12.7944</v>
      </c>
      <c r="V51" s="13">
        <f>TRANSICAO!$V$51*CUSTOS!$T$3</f>
        <v>2.3984999999999999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0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134.20249999999999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CUSTOS!$M$31)*13.5684</f>
        <v>13.5684</v>
      </c>
      <c r="AI51" s="13">
        <v>0</v>
      </c>
      <c r="AJ51" s="13">
        <f ca="1">$N$69*(1-CUSTOS!$M$31)</f>
        <v>0</v>
      </c>
      <c r="AK51" s="13">
        <f t="shared" ca="1" si="1"/>
        <v>0</v>
      </c>
      <c r="AL51" s="13"/>
      <c r="AM51" s="13"/>
      <c r="AP51" s="13">
        <f>IF((1 - CUSTOS!$M$31)&lt;&gt;0,1/(1 - CUSTOS!$M$31),1)</f>
        <v>1</v>
      </c>
    </row>
    <row r="52" spans="1:42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>
        <f>1*(1 - CUSTOS!$M$31)</f>
        <v>1</v>
      </c>
      <c r="M52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CUSTOS!$M$31)</f>
        <v>0.72772843409366972</v>
      </c>
      <c r="N52" s="13">
        <f ca="1">(+M52+O52+R52+U52+V52+W52+X52+Y52+Z52+AA52+AC52+AH52+AI52+AJ52+AK52)*CUSTOS!$M$5</f>
        <v>2.3281092843409365E-12</v>
      </c>
      <c r="O52" s="13">
        <f>1 - CUSTOS!$M$31</f>
        <v>1</v>
      </c>
      <c r="P52" s="13">
        <f>1 - CUSTOS!$M$31</f>
        <v>1</v>
      </c>
      <c r="Q52" s="13">
        <f>1*(1 - CUSTOS!$M$31)</f>
        <v>1</v>
      </c>
      <c r="R52" s="13">
        <f>1 - CUSTOS!$M$31</f>
        <v>1</v>
      </c>
      <c r="S52" s="13">
        <f>1 - CUSTOS!$M$31</f>
        <v>1</v>
      </c>
      <c r="T52" s="13"/>
      <c r="U52" s="13">
        <f>TRANSICAO!$U$52*CUSTOS!$T$3</f>
        <v>18.5426</v>
      </c>
      <c r="V52" s="13">
        <f>TRANSICAO!$V$52*CUSTOS!$T$3</f>
        <v>3.476</v>
      </c>
      <c r="W52" s="13">
        <f>TRANSICAO!$W$52*CUSTOS!$T$3</f>
        <v>0</v>
      </c>
      <c r="X52" s="13">
        <f>TRANSICAO!$X$52*CUSTOS!$T$3</f>
        <v>0</v>
      </c>
      <c r="Y52" s="13">
        <f>TRANSICAO!$Y$52*CUSTOS!$T$3</f>
        <v>0</v>
      </c>
      <c r="Z52" s="13">
        <f>TRANSICAO!$Z$52*CUSTOS!$T$3</f>
        <v>0</v>
      </c>
      <c r="AA52" s="13">
        <f>TRANSICAO!$AA$52*CUSTOS!$T$3</f>
        <v>0</v>
      </c>
      <c r="AB52" s="13">
        <f>TRANSICAO!$AB$52*CUSTOS!$T$3</f>
        <v>0</v>
      </c>
      <c r="AC52" s="13">
        <f>TRANSICAO!$AC$52*CUSTOS!$T$3</f>
        <v>194.49619999999999</v>
      </c>
      <c r="AD52" s="13">
        <f>TRANSICAO!$AD$52*CUSTOS!$T$3</f>
        <v>0</v>
      </c>
      <c r="AE52" s="13">
        <v>0</v>
      </c>
      <c r="AF52" s="13">
        <v>0</v>
      </c>
      <c r="AG52" s="13"/>
      <c r="AH52" s="13">
        <f>(1 - CUSTOS!$M$31)*13.5684</f>
        <v>13.5684</v>
      </c>
      <c r="AI52" s="13">
        <v>0</v>
      </c>
      <c r="AJ52" s="13">
        <f ca="1">$N$69*(1-CUSTOS!$M$31)</f>
        <v>0</v>
      </c>
      <c r="AK52" s="13">
        <f t="shared" ca="1" si="1"/>
        <v>0</v>
      </c>
      <c r="AL52" s="13"/>
      <c r="AM52" s="13"/>
      <c r="AP52" s="13">
        <f>IF((1 - CUSTOS!$M$31)&lt;&gt;0,1/(1 - CUSTOS!$M$31),1)</f>
        <v>1</v>
      </c>
    </row>
    <row r="53" spans="1:42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>
        <f>1*(1 - CUSTOS!$M$31)</f>
        <v>1</v>
      </c>
      <c r="M53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CUSTOS!$M$31)</f>
        <v>0.72772843409366972</v>
      </c>
      <c r="N53" s="13">
        <f ca="1">(+M53+O53+R53+U53+V53+W53+X53+Y53+Z53+AA53+AC53+AH53+AI53+AJ53+AK53)*CUSTOS!$M$5</f>
        <v>2.3281092843409365E-12</v>
      </c>
      <c r="O53" s="13">
        <f>1 - CUSTOS!$M$31</f>
        <v>1</v>
      </c>
      <c r="P53" s="13">
        <f>1 - CUSTOS!$M$31</f>
        <v>1</v>
      </c>
      <c r="Q53" s="13">
        <f>1*(1 - CUSTOS!$M$31)</f>
        <v>1</v>
      </c>
      <c r="R53" s="13">
        <f>1 - CUSTOS!$M$31</f>
        <v>1</v>
      </c>
      <c r="S53" s="13">
        <f>1 - CUSTOS!$M$31</f>
        <v>1</v>
      </c>
      <c r="T53" s="13"/>
      <c r="U53" s="13">
        <f>TRANSICAO!$U$53*CUSTOS!$T$3</f>
        <v>18.5426</v>
      </c>
      <c r="V53" s="13">
        <f>TRANSICAO!$V$53*CUSTOS!$T$3</f>
        <v>3.476</v>
      </c>
      <c r="W53" s="13">
        <f>TRANSICAO!$W$53*CUSTOS!$T$3</f>
        <v>0</v>
      </c>
      <c r="X53" s="13">
        <f>TRANSICAO!$X$53*CUSTOS!$T$3</f>
        <v>0</v>
      </c>
      <c r="Y53" s="13">
        <f>TRANSICAO!$Y$53*CUSTOS!$T$3</f>
        <v>0</v>
      </c>
      <c r="Z53" s="13">
        <f>TRANSICAO!$Z$53*CUSTOS!$T$3</f>
        <v>0</v>
      </c>
      <c r="AA53" s="13">
        <f>TRANSICAO!$AA$53*CUSTOS!$T$3</f>
        <v>0</v>
      </c>
      <c r="AB53" s="13">
        <f>TRANSICAO!$AB$53*CUSTOS!$T$3</f>
        <v>0</v>
      </c>
      <c r="AC53" s="13">
        <f>TRANSICAO!$AC$53*CUSTOS!$T$3</f>
        <v>194.49619999999999</v>
      </c>
      <c r="AD53" s="13">
        <f>TRANSICAO!$AD$53*CUSTOS!$T$3</f>
        <v>0</v>
      </c>
      <c r="AE53" s="13">
        <v>0</v>
      </c>
      <c r="AF53" s="13">
        <v>0</v>
      </c>
      <c r="AG53" s="13"/>
      <c r="AH53" s="13">
        <f>(1 - CUSTOS!$M$31)*13.5684</f>
        <v>13.5684</v>
      </c>
      <c r="AI53" s="13">
        <v>0</v>
      </c>
      <c r="AJ53" s="13">
        <f ca="1">$N$69*(1-CUSTOS!$M$31)</f>
        <v>0</v>
      </c>
      <c r="AK53" s="13">
        <f t="shared" ca="1" si="1"/>
        <v>0</v>
      </c>
      <c r="AL53" s="13"/>
      <c r="AM53" s="13"/>
      <c r="AP53" s="13">
        <f>IF((1 - CUSTOS!$M$31)&lt;&gt;0,1/(1 - CUSTOS!$M$31),1)</f>
        <v>1</v>
      </c>
    </row>
    <row r="54" spans="1:42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>
        <f>1*(1 - CUSTOS!$M$32)</f>
        <v>0.55000000000000004</v>
      </c>
      <c r="M54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CUSTOS!$M$32)</f>
        <v>0.40025063875151839</v>
      </c>
      <c r="N54" s="13">
        <f ca="1">(+M54+O54+R54+U54+V54+W54+X54+Y54+Z54+AA54+AC54+AH54+AI54+AJ54+AK54)*CUSTOS!$M$5</f>
        <v>1.2804601063875152E-12</v>
      </c>
      <c r="O54" s="13">
        <f>1 - CUSTOS!$M$32</f>
        <v>0.55000000000000004</v>
      </c>
      <c r="P54" s="13">
        <f>1 - CUSTOS!$M$32</f>
        <v>0.55000000000000004</v>
      </c>
      <c r="Q54" s="13">
        <f>1*(1 - CUSTOS!$M$32)</f>
        <v>0.55000000000000004</v>
      </c>
      <c r="R54" s="13">
        <f>1 - CUSTOS!$M$32</f>
        <v>0.55000000000000004</v>
      </c>
      <c r="S54" s="13">
        <f>1 - CUSTOS!$M$32</f>
        <v>0.55000000000000004</v>
      </c>
      <c r="T54" s="13"/>
      <c r="U54" s="13">
        <f>TRANSICAO!$U$54*CUSTOS!$T$3</f>
        <v>10.19843</v>
      </c>
      <c r="V54" s="13">
        <f>TRANSICAO!$V$54*CUSTOS!$T$3</f>
        <v>1.9118000000000002</v>
      </c>
      <c r="W54" s="13">
        <f>TRANSICAO!$W$54*CUSTOS!$T$3</f>
        <v>0</v>
      </c>
      <c r="X54" s="13">
        <f>TRANSICAO!$X$54*CUSTOS!$T$3</f>
        <v>0</v>
      </c>
      <c r="Y54" s="13">
        <f>TRANSICAO!$Y$54*CUSTOS!$T$3</f>
        <v>0</v>
      </c>
      <c r="Z54" s="13">
        <f>TRANSICAO!$Z$54*CUSTOS!$T$3</f>
        <v>0</v>
      </c>
      <c r="AA54" s="13">
        <f>TRANSICAO!$AA$54*CUSTOS!$T$3</f>
        <v>0</v>
      </c>
      <c r="AB54" s="13">
        <f>TRANSICAO!$AB$54*CUSTOS!$T$3</f>
        <v>0</v>
      </c>
      <c r="AC54" s="13">
        <f>TRANSICAO!$AC$54*CUSTOS!$T$3</f>
        <v>106.97291</v>
      </c>
      <c r="AD54" s="13">
        <f>TRANSICAO!$AD$54*CUSTOS!$T$3</f>
        <v>0</v>
      </c>
      <c r="AE54" s="13">
        <v>0</v>
      </c>
      <c r="AF54" s="13">
        <v>0</v>
      </c>
      <c r="AG54" s="13"/>
      <c r="AH54" s="13">
        <f>(1 - CUSTOS!$M$32)*13.5684</f>
        <v>7.4626200000000011</v>
      </c>
      <c r="AI54" s="13">
        <v>0</v>
      </c>
      <c r="AJ54" s="13">
        <f ca="1">$N$69*(1-CUSTOS!$M$32)</f>
        <v>0</v>
      </c>
      <c r="AK54" s="13">
        <f t="shared" ca="1" si="1"/>
        <v>0</v>
      </c>
      <c r="AL54" s="13"/>
      <c r="AM54" s="13"/>
      <c r="AP54" s="13">
        <f>IF((1 - CUSTOS!$M$32)&lt;&gt;0,1/(1 - CUSTOS!$M$32),1)</f>
        <v>1.8181818181818181</v>
      </c>
    </row>
    <row r="55" spans="1:42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>
        <f>1*(1 - CUSTOS!$M$33)</f>
        <v>0.6</v>
      </c>
      <c r="M55" s="13">
        <f>IF(AND((+$I$21+$I$22+$I$23+$I$24+$I$25+$I$26+$I$27+$I$28+$I$29+$I$30+$I$31+$I$32+$I$33+$I$34+$I$35+$I$36+$I$37+$I$38+$I$39+$I$40+$I$41+$I$42+$I$43+$I$44+$I$45+$I$46+$I$47+$I$48+$I$49+$I$50+$I$51+$I$52+$I$53+$I$54+$I$55)&lt;&gt;0,SUMPRODUCT($I$5:$I$55,$AC$5:$AC$55,$AP$5:$AP$55)&lt;&gt;0),$M$60*SUMPRODUCT($I$21:$I$55,$AC$21:$AC$55,$AP$21:$AP$55)/SUMPRODUCT($I$5:$I$55,$AC$5:$AC$55,$AP$5:$AP$55)/(+$I$21+$I$22+$I$23+$I$24+$I$25+$I$26+$I$27+$I$28+$I$29+$I$30+$I$31+$I$32+$I$33+$I$34+$I$35+$I$36+$I$37+$I$38+$I$39+$I$40+$I$41+$I$42+$I$43+$I$44+$I$45+$I$46+$I$47+$I$48+$I$49+$I$50+$I$51+$I$52+$I$53+$I$54+$I$55),0)*(1 - CUSTOS!$M$33)</f>
        <v>0.43663706045620182</v>
      </c>
      <c r="N55" s="13">
        <f ca="1">(+M55+O55+R55+U55+V55+W55+X55+Y55+Z55+AA55+AC55+AH55+AI55+AJ55+AK55)*CUSTOS!$M$5</f>
        <v>1.3968655706045619E-12</v>
      </c>
      <c r="O55" s="13">
        <f>1 - CUSTOS!$M$33</f>
        <v>0.6</v>
      </c>
      <c r="P55" s="13">
        <f>1 - CUSTOS!$M$33</f>
        <v>0.6</v>
      </c>
      <c r="Q55" s="13">
        <f>1*(1 - CUSTOS!$M$33)</f>
        <v>0.6</v>
      </c>
      <c r="R55" s="13">
        <f>1 - CUSTOS!$M$33</f>
        <v>0.6</v>
      </c>
      <c r="S55" s="13">
        <f>1 - CUSTOS!$M$33</f>
        <v>0.6</v>
      </c>
      <c r="T55" s="13"/>
      <c r="U55" s="13">
        <f>TRANSICAO!$U$55*CUSTOS!$T$3</f>
        <v>11.12556</v>
      </c>
      <c r="V55" s="13">
        <f>TRANSICAO!$V$55*CUSTOS!$T$3</f>
        <v>2.0855999999999999</v>
      </c>
      <c r="W55" s="13">
        <f>TRANSICAO!$W$55*CUSTOS!$T$3</f>
        <v>0</v>
      </c>
      <c r="X55" s="13">
        <f>TRANSICAO!$X$55*CUSTOS!$T$3</f>
        <v>0</v>
      </c>
      <c r="Y55" s="13">
        <f>TRANSICAO!$Y$55*CUSTOS!$T$3</f>
        <v>0</v>
      </c>
      <c r="Z55" s="13">
        <f>TRANSICAO!$Z$55*CUSTOS!$T$3</f>
        <v>0</v>
      </c>
      <c r="AA55" s="13">
        <f>TRANSICAO!$AA$55*CUSTOS!$T$3</f>
        <v>0</v>
      </c>
      <c r="AB55" s="13">
        <f>TRANSICAO!$AB$55*CUSTOS!$T$3</f>
        <v>0</v>
      </c>
      <c r="AC55" s="13">
        <f>TRANSICAO!$AC$55*CUSTOS!$T$3</f>
        <v>116.69771999999999</v>
      </c>
      <c r="AD55" s="13">
        <f>TRANSICAO!$AD$55*CUSTOS!$T$3</f>
        <v>0</v>
      </c>
      <c r="AE55" s="13">
        <v>0</v>
      </c>
      <c r="AF55" s="13">
        <v>0</v>
      </c>
      <c r="AG55" s="13"/>
      <c r="AH55" s="13">
        <f>(1 - CUSTOS!$M$33)*13.5684</f>
        <v>8.1410400000000003</v>
      </c>
      <c r="AI55" s="13">
        <v>0</v>
      </c>
      <c r="AJ55" s="13">
        <f ca="1">$N$69*(1-CUSTOS!$M$33)</f>
        <v>0</v>
      </c>
      <c r="AK55" s="13">
        <f t="shared" ca="1" si="1"/>
        <v>0</v>
      </c>
      <c r="AL55" s="13"/>
      <c r="AM55" s="13"/>
      <c r="AP55" s="13">
        <f>IF((1 - CUSTOS!$M$33)&lt;&gt;0,1/(1 - CUSTOS!$M$33),1)</f>
        <v>1.6666666666666667</v>
      </c>
    </row>
    <row r="57" spans="1:42" ht="11.25" customHeight="1" x14ac:dyDescent="0.25">
      <c r="K57" s="16" t="s">
        <v>552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42" ht="11.25" customHeight="1" x14ac:dyDescent="0.25">
      <c r="K58" s="16" t="s">
        <v>553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42" ht="11.25" customHeight="1" x14ac:dyDescent="0.25">
      <c r="K59" s="16" t="s">
        <v>554</v>
      </c>
      <c r="L59" s="13">
        <f>IF(ISERROR(+SUMPRODUCT($L$5:$L$8,$I$5:$I$8)+SUMPRODUCT($L$9:$L$12,$I$9:$I$12)+SUMPRODUCT($L$13:$L$13,$I$13:$I$13)+SUMPRODUCT($L$14:$L$18,$I$14:$I$18)+SUMPRODUCT($L$19:$L$20,$I$19:$I$20)+SUMPRODUCT($L$21:$L$23,$I$21:$I$23)+SUMPRODUCT($L$24:$L$28,$I$24:$I$28)+SUMPRODUCT($L$29:$L$33,$I$29:$I$33)+SUMPRODUCT($L$34:$L$36,$I$34:$I$36)+SUMPRODUCT($L$37:$L$37,$I$37:$I$37)+SUMPRODUCT($L$38:$L$40,$I$38:$I$40)+SUMPRODUCT($L$41:$L$41,$I$41:$I$41)+SUMPRODUCT($L$42:$L$44,$I$42:$I$44)+SUMPRODUCT($L$45:$L$45,$I$45:$I$45)+SUMPRODUCT($L$46:$L$48,$I$46:$I$48)+SUMPRODUCT($L$49:$L$51,$I$49:$I$51)+SUMPRODUCT($L$52:$L$52,$I$52:$I$52)+SUMPRODUCT($L$53:$L$53,$I$53:$I$53)+SUMPRODUCT($L$54:$L$55,$I$54:$I$55)),0,+SUMPRODUCT($L$5:$L$8,$I$5:$I$8)+SUMPRODUCT($L$9:$L$12,$I$9:$I$12)+SUMPRODUCT($L$13:$L$13,$I$13:$I$13)+SUMPRODUCT($L$14:$L$18,$I$14:$I$18)+SUMPRODUCT($L$19:$L$20,$I$19:$I$20)+SUMPRODUCT($L$21:$L$23,$I$21:$I$23)+SUMPRODUCT($L$24:$L$28,$I$24:$I$28)+SUMPRODUCT($L$29:$L$33,$I$29:$I$33)+SUMPRODUCT($L$34:$L$36,$I$34:$I$36)+SUMPRODUCT($L$37:$L$37,$I$37:$I$37)+SUMPRODUCT($L$38:$L$40,$I$38:$I$40)+SUMPRODUCT($L$41:$L$41,$I$41:$I$41)+SUMPRODUCT($L$42:$L$44,$I$42:$I$44)+SUMPRODUCT($L$45:$L$45,$I$45:$I$45)+SUMPRODUCT($L$46:$L$48,$I$46:$I$48)+SUMPRODUCT($L$49:$L$51,$I$49:$I$51)+SUMPRODUCT($L$52:$L$52,$I$52:$I$52)+SUMPRODUCT($L$53:$L$53,$I$53:$I$53)+SUMPRODUCT($L$54:$L$55,$I$54:$I$55))</f>
        <v>291074.20889999997</v>
      </c>
      <c r="M59" s="13">
        <f>IF(ISERROR(+SUMPRODUCT($M$5:$M$8,$I$5:$I$8)+SUMPRODUCT($M$9:$M$12,$I$9:$I$12)+SUMPRODUCT($M$13:$M$13,$I$13:$I$13)+SUMPRODUCT($M$14:$M$18,$I$14:$I$18)+SUMPRODUCT($M$19:$M$20,$I$19:$I$20)+SUMPRODUCT($M$21:$M$23,$I$21:$I$23)+SUMPRODUCT($M$24:$M$28,$I$24:$I$28)+SUMPRODUCT($M$29:$M$33,$I$29:$I$33)+SUMPRODUCT($M$34:$M$36,$I$34:$I$36)+SUMPRODUCT($M$37:$M$37,$I$37:$I$37)+SUMPRODUCT($M$38:$M$40,$I$38:$I$40)+SUMPRODUCT($M$41:$M$41,$I$41:$I$41)+SUMPRODUCT($M$42:$M$44,$I$42:$I$44)+SUMPRODUCT($M$45:$M$45,$I$45:$I$45)+SUMPRODUCT($M$46:$M$48,$I$46:$I$48)+SUMPRODUCT($M$49:$M$51,$I$49:$I$51)+SUMPRODUCT($M$52:$M$52,$I$52:$I$52)+SUMPRODUCT($M$53:$M$53,$I$53:$I$53)+SUMPRODUCT($M$54:$M$55,$I$54:$I$55)),0,+SUMPRODUCT($M$5:$M$8,$I$5:$I$8)+SUMPRODUCT($M$9:$M$12,$I$9:$I$12)+SUMPRODUCT($M$13:$M$13,$I$13:$I$13)+SUMPRODUCT($M$14:$M$18,$I$14:$I$18)+SUMPRODUCT($M$19:$M$20,$I$19:$I$20)+SUMPRODUCT($M$21:$M$23,$I$21:$I$23)+SUMPRODUCT($M$24:$M$28,$I$24:$I$28)+SUMPRODUCT($M$29:$M$33,$I$29:$I$33)+SUMPRODUCT($M$34:$M$36,$I$34:$I$36)+SUMPRODUCT($M$37:$M$37,$I$37:$I$37)+SUMPRODUCT($M$38:$M$40,$I$38:$I$40)+SUMPRODUCT($M$41:$M$41,$I$41:$I$41)+SUMPRODUCT($M$42:$M$44,$I$42:$I$44)+SUMPRODUCT($M$45:$M$45,$I$45:$I$45)+SUMPRODUCT($M$46:$M$48,$I$46:$I$48)+SUMPRODUCT($M$49:$M$51,$I$49:$I$51)+SUMPRODUCT($M$52:$M$52,$I$52:$I$52)+SUMPRODUCT($M$53:$M$53,$I$53:$I$53)+SUMPRODUCT($M$54:$M$55,$I$54:$I$55))</f>
        <v>170627.24119485944</v>
      </c>
      <c r="N59" s="13">
        <f ca="1">IF(ISERROR(+SUMPRODUCT($N$5:$N$8,$I$5:$I$8)+SUMPRODUCT($N$9:$N$12,$I$9:$I$12)+SUMPRODUCT($N$13:$N$13,$I$13:$I$13)+SUMPRODUCT($N$14:$N$18,$I$14:$I$18)+SUMPRODUCT($N$19:$N$20,$I$19:$I$20)+SUMPRODUCT($N$21:$N$23,$I$21:$I$23)+SUMPRODUCT($N$24:$N$28,$I$24:$I$28)+SUMPRODUCT($N$29:$N$33,$I$29:$I$33)+SUMPRODUCT($N$34:$N$36,$I$34:$I$36)+SUMPRODUCT($N$37:$N$37,$I$37:$I$37)+SUMPRODUCT($N$38:$N$40,$I$38:$I$40)+SUMPRODUCT($N$41:$N$41,$I$41:$I$41)+SUMPRODUCT($N$42:$N$44,$I$42:$I$44)+SUMPRODUCT($N$45:$N$45,$I$45:$I$45)+SUMPRODUCT($N$46:$N$48,$I$46:$I$48)+SUMPRODUCT($N$49:$N$51,$I$49:$I$51)+SUMPRODUCT($N$52:$N$52,$I$52:$I$52)+SUMPRODUCT($N$53:$N$53,$I$53:$I$53)+SUMPRODUCT($N$54:$N$55,$I$54:$I$55)),0,+SUMPRODUCT($N$5:$N$8,$I$5:$I$8)+SUMPRODUCT($N$9:$N$12,$I$9:$I$12)+SUMPRODUCT($N$13:$N$13,$I$13:$I$13)+SUMPRODUCT($N$14:$N$18,$I$14:$I$18)+SUMPRODUCT($N$19:$N$20,$I$19:$I$20)+SUMPRODUCT($N$21:$N$23,$I$21:$I$23)+SUMPRODUCT($N$24:$N$28,$I$24:$I$28)+SUMPRODUCT($N$29:$N$33,$I$29:$I$33)+SUMPRODUCT($N$34:$N$36,$I$34:$I$36)+SUMPRODUCT($N$37:$N$37,$I$37:$I$37)+SUMPRODUCT($N$38:$N$40,$I$38:$I$40)+SUMPRODUCT($N$41:$N$41,$I$41:$I$41)+SUMPRODUCT($N$42:$N$44,$I$42:$I$44)+SUMPRODUCT($N$45:$N$45,$I$45:$I$45)+SUMPRODUCT($N$46:$N$48,$I$46:$I$48)+SUMPRODUCT($N$49:$N$51,$I$49:$I$51)+SUMPRODUCT($N$52:$N$52,$I$52:$I$52)+SUMPRODUCT($N$53:$N$53,$I$53:$I$53)+SUMPRODUCT($N$54:$N$55,$I$54:$I$55))</f>
        <v>3.8879587002568637E-7</v>
      </c>
      <c r="O59" s="13">
        <f>IF(ISERROR(+SUMPRODUCT($O$5:$O$8,$I$5:$I$8)+SUMPRODUCT($O$9:$O$12,$I$9:$I$12)+SUMPRODUCT($O$13:$O$13,$I$13:$I$13)+SUMPRODUCT($O$14:$O$18,$I$14:$I$18)+SUMPRODUCT($O$19:$O$20,$I$19:$I$20)+SUMPRODUCT($O$21:$O$23,$I$21:$I$23)+SUMPRODUCT($O$24:$O$28,$I$24:$I$28)+SUMPRODUCT($O$29:$O$33,$I$29:$I$33)+SUMPRODUCT($O$34:$O$36,$I$34:$I$36)+SUMPRODUCT($O$37:$O$37,$I$37:$I$37)+SUMPRODUCT($O$38:$O$40,$I$38:$I$40)+SUMPRODUCT($O$41:$O$41,$I$41:$I$41)+SUMPRODUCT($O$42:$O$44,$I$42:$I$44)+SUMPRODUCT($O$45:$O$45,$I$45:$I$45)+SUMPRODUCT($O$46:$O$48,$I$46:$I$48)+SUMPRODUCT($O$49:$O$51,$I$49:$I$51)+SUMPRODUCT($O$52:$O$52,$I$52:$I$52)+SUMPRODUCT($O$53:$O$53,$I$53:$I$53)+SUMPRODUCT($O$54:$O$55,$I$54:$I$55)),0,+SUMPRODUCT($O$5:$O$8,$I$5:$I$8)+SUMPRODUCT($O$9:$O$12,$I$9:$I$12)+SUMPRODUCT($O$13:$O$13,$I$13:$I$13)+SUMPRODUCT($O$14:$O$18,$I$14:$I$18)+SUMPRODUCT($O$19:$O$20,$I$19:$I$20)+SUMPRODUCT($O$21:$O$23,$I$21:$I$23)+SUMPRODUCT($O$24:$O$28,$I$24:$I$28)+SUMPRODUCT($O$29:$O$33,$I$29:$I$33)+SUMPRODUCT($O$34:$O$36,$I$34:$I$36)+SUMPRODUCT($O$37:$O$37,$I$37:$I$37)+SUMPRODUCT($O$38:$O$40,$I$38:$I$40)+SUMPRODUCT($O$41:$O$41,$I$41:$I$41)+SUMPRODUCT($O$42:$O$44,$I$42:$I$44)+SUMPRODUCT($O$45:$O$45,$I$45:$I$45)+SUMPRODUCT($O$46:$O$48,$I$46:$I$48)+SUMPRODUCT($O$49:$O$51,$I$49:$I$51)+SUMPRODUCT($O$52:$O$52,$I$52:$I$52)+SUMPRODUCT($O$53:$O$53,$I$53:$I$53)+SUMPRODUCT($O$54:$O$55,$I$54:$I$55))</f>
        <v>332077.14989999996</v>
      </c>
      <c r="P59" s="13">
        <f>IF(ISERROR(+SUMPRODUCT($P$5:$P$8,$I$5:$I$8)+SUMPRODUCT($P$9:$P$12,$I$9:$I$12)+SUMPRODUCT($P$13:$P$13,$I$13:$I$13)+SUMPRODUCT($P$14:$P$18,$I$14:$I$18)+SUMPRODUCT($P$19:$P$20,$I$19:$I$20)+SUMPRODUCT($P$21:$P$23,$I$21:$I$23)+SUMPRODUCT($P$24:$P$28,$I$24:$I$28)+SUMPRODUCT($P$29:$P$33,$I$29:$I$33)+SUMPRODUCT($P$34:$P$36,$I$34:$I$36)+SUMPRODUCT($P$37:$P$37,$I$37:$I$37)+SUMPRODUCT($P$38:$P$40,$I$38:$I$40)+SUMPRODUCT($P$41:$P$41,$I$41:$I$41)+SUMPRODUCT($P$42:$P$44,$I$42:$I$44)+SUMPRODUCT($P$45:$P$45,$I$45:$I$45)+SUMPRODUCT($P$46:$P$48,$I$46:$I$48)+SUMPRODUCT($P$49:$P$51,$I$49:$I$51)+SUMPRODUCT($P$52:$P$52,$I$52:$I$52)+SUMPRODUCT($P$53:$P$53,$I$53:$I$53)+SUMPRODUCT($P$54:$P$55,$I$54:$I$55)),0,+SUMPRODUCT($P$5:$P$8,$I$5:$I$8)+SUMPRODUCT($P$9:$P$12,$I$9:$I$12)+SUMPRODUCT($P$13:$P$13,$I$13:$I$13)+SUMPRODUCT($P$14:$P$18,$I$14:$I$18)+SUMPRODUCT($P$19:$P$20,$I$19:$I$20)+SUMPRODUCT($P$21:$P$23,$I$21:$I$23)+SUMPRODUCT($P$24:$P$28,$I$24:$I$28)+SUMPRODUCT($P$29:$P$33,$I$29:$I$33)+SUMPRODUCT($P$34:$P$36,$I$34:$I$36)+SUMPRODUCT($P$37:$P$37,$I$37:$I$37)+SUMPRODUCT($P$38:$P$40,$I$38:$I$40)+SUMPRODUCT($P$41:$P$41,$I$41:$I$41)+SUMPRODUCT($P$42:$P$44,$I$42:$I$44)+SUMPRODUCT($P$45:$P$45,$I$45:$I$45)+SUMPRODUCT($P$46:$P$48,$I$46:$I$48)+SUMPRODUCT($P$49:$P$51,$I$49:$I$51)+SUMPRODUCT($P$52:$P$52,$I$52:$I$52)+SUMPRODUCT($P$53:$P$53,$I$53:$I$53)+SUMPRODUCT($P$54:$P$55,$I$54:$I$55))</f>
        <v>330625.02989999996</v>
      </c>
      <c r="Q59" s="13">
        <f>IF(ISERROR(+SUMPRODUCT($Q$5:$Q$8,$I$5:$I$8)+SUMPRODUCT($Q$9:$Q$12,$I$9:$I$12)+SUMPRODUCT($Q$13:$Q$13,$I$13:$I$13)+SUMPRODUCT($Q$14:$Q$18,$I$14:$I$18)+SUMPRODUCT($Q$19:$Q$20,$I$19:$I$20)+SUMPRODUCT($Q$21:$Q$23,$I$21:$I$23)+SUMPRODUCT($Q$24:$Q$28,$I$24:$I$28)+SUMPRODUCT($Q$29:$Q$33,$I$29:$I$33)+SUMPRODUCT($Q$34:$Q$36,$I$34:$I$36)+SUMPRODUCT($Q$37:$Q$37,$I$37:$I$37)+SUMPRODUCT($Q$38:$Q$40,$I$38:$I$40)+SUMPRODUCT($Q$41:$Q$41,$I$41:$I$41)+SUMPRODUCT($Q$42:$Q$44,$I$42:$I$44)+SUMPRODUCT($Q$45:$Q$45,$I$45:$I$45)+SUMPRODUCT($Q$46:$Q$48,$I$46:$I$48)+SUMPRODUCT($Q$49:$Q$51,$I$49:$I$51)+SUMPRODUCT($Q$52:$Q$52,$I$52:$I$52)+SUMPRODUCT($Q$53:$Q$53,$I$53:$I$53)+SUMPRODUCT($Q$54:$Q$55,$I$54:$I$55)),0,+SUMPRODUCT($Q$5:$Q$8,$I$5:$I$8)+SUMPRODUCT($Q$9:$Q$12,$I$9:$I$12)+SUMPRODUCT($Q$13:$Q$13,$I$13:$I$13)+SUMPRODUCT($Q$14:$Q$18,$I$14:$I$18)+SUMPRODUCT($Q$19:$Q$20,$I$19:$I$20)+SUMPRODUCT($Q$21:$Q$23,$I$21:$I$23)+SUMPRODUCT($Q$24:$Q$28,$I$24:$I$28)+SUMPRODUCT($Q$29:$Q$33,$I$29:$I$33)+SUMPRODUCT($Q$34:$Q$36,$I$34:$I$36)+SUMPRODUCT($Q$37:$Q$37,$I$37:$I$37)+SUMPRODUCT($Q$38:$Q$40,$I$38:$I$40)+SUMPRODUCT($Q$41:$Q$41,$I$41:$I$41)+SUMPRODUCT($Q$42:$Q$44,$I$42:$I$44)+SUMPRODUCT($Q$45:$Q$45,$I$45:$I$45)+SUMPRODUCT($Q$46:$Q$48,$I$46:$I$48)+SUMPRODUCT($Q$49:$Q$51,$I$49:$I$51)+SUMPRODUCT($Q$52:$Q$52,$I$52:$I$52)+SUMPRODUCT($Q$53:$Q$53,$I$53:$I$53)+SUMPRODUCT($Q$54:$Q$55,$I$54:$I$55))</f>
        <v>291074.20889999997</v>
      </c>
      <c r="R59" s="13">
        <f>IF(ISERROR(+SUMPRODUCT($R$5:$R$8,$I$5:$I$8)+SUMPRODUCT($R$9:$R$12,$I$9:$I$12)+SUMPRODUCT($R$13:$R$13,$I$13:$I$13)+SUMPRODUCT($R$14:$R$18,$I$14:$I$18)+SUMPRODUCT($R$19:$R$20,$I$19:$I$20)+SUMPRODUCT($R$21:$R$23,$I$21:$I$23)+SUMPRODUCT($R$24:$R$28,$I$24:$I$28)+SUMPRODUCT($R$29:$R$33,$I$29:$I$33)+SUMPRODUCT($R$34:$R$36,$I$34:$I$36)+SUMPRODUCT($R$37:$R$37,$I$37:$I$37)+SUMPRODUCT($R$38:$R$40,$I$38:$I$40)+SUMPRODUCT($R$41:$R$41,$I$41:$I$41)+SUMPRODUCT($R$42:$R$44,$I$42:$I$44)+SUMPRODUCT($R$45:$R$45,$I$45:$I$45)+SUMPRODUCT($R$46:$R$48,$I$46:$I$48)+SUMPRODUCT($R$49:$R$51,$I$49:$I$51)+SUMPRODUCT($R$52:$R$52,$I$52:$I$52)+SUMPRODUCT($R$53:$R$53,$I$53:$I$53)+SUMPRODUCT($R$54:$R$55,$I$54:$I$55)),0,+SUMPRODUCT($R$5:$R$8,$I$5:$I$8)+SUMPRODUCT($R$9:$R$12,$I$9:$I$12)+SUMPRODUCT($R$13:$R$13,$I$13:$I$13)+SUMPRODUCT($R$14:$R$18,$I$14:$I$18)+SUMPRODUCT($R$19:$R$20,$I$19:$I$20)+SUMPRODUCT($R$21:$R$23,$I$21:$I$23)+SUMPRODUCT($R$24:$R$28,$I$24:$I$28)+SUMPRODUCT($R$29:$R$33,$I$29:$I$33)+SUMPRODUCT($R$34:$R$36,$I$34:$I$36)+SUMPRODUCT($R$37:$R$37,$I$37:$I$37)+SUMPRODUCT($R$38:$R$40,$I$38:$I$40)+SUMPRODUCT($R$41:$R$41,$I$41:$I$41)+SUMPRODUCT($R$42:$R$44,$I$42:$I$44)+SUMPRODUCT($R$45:$R$45,$I$45:$I$45)+SUMPRODUCT($R$46:$R$48,$I$46:$I$48)+SUMPRODUCT($R$49:$R$51,$I$49:$I$51)+SUMPRODUCT($R$52:$R$52,$I$52:$I$52)+SUMPRODUCT($R$53:$R$53,$I$53:$I$53)+SUMPRODUCT($R$54:$R$55,$I$54:$I$55))</f>
        <v>330625.02989999996</v>
      </c>
      <c r="S59" s="13">
        <f>IF(ISERROR(+SUMPRODUCT($S$5:$S$8,$I$5:$I$8)+SUMPRODUCT($S$9:$S$12,$I$9:$I$12)+SUMPRODUCT($S$13:$S$13,$I$13:$I$13)+SUMPRODUCT($S$14:$S$18,$I$14:$I$18)+SUMPRODUCT($S$19:$S$20,$I$19:$I$20)+SUMPRODUCT($S$21:$S$23,$I$21:$I$23)+SUMPRODUCT($S$24:$S$28,$I$24:$I$28)+SUMPRODUCT($S$29:$S$33,$I$29:$I$33)+SUMPRODUCT($S$34:$S$36,$I$34:$I$36)+SUMPRODUCT($S$37:$S$37,$I$37:$I$37)+SUMPRODUCT($S$38:$S$40,$I$38:$I$40)+SUMPRODUCT($S$41:$S$41,$I$41:$I$41)+SUMPRODUCT($S$42:$S$44,$I$42:$I$44)+SUMPRODUCT($S$45:$S$45,$I$45:$I$45)+SUMPRODUCT($S$46:$S$48,$I$46:$I$48)+SUMPRODUCT($S$49:$S$51,$I$49:$I$51)+SUMPRODUCT($S$52:$S$52,$I$52:$I$52)+SUMPRODUCT($S$53:$S$53,$I$53:$I$53)+SUMPRODUCT($S$54:$S$55,$I$54:$I$55)),0,+SUMPRODUCT($S$5:$S$8,$I$5:$I$8)+SUMPRODUCT($S$9:$S$12,$I$9:$I$12)+SUMPRODUCT($S$13:$S$13,$I$13:$I$13)+SUMPRODUCT($S$14:$S$18,$I$14:$I$18)+SUMPRODUCT($S$19:$S$20,$I$19:$I$20)+SUMPRODUCT($S$21:$S$23,$I$21:$I$23)+SUMPRODUCT($S$24:$S$28,$I$24:$I$28)+SUMPRODUCT($S$29:$S$33,$I$29:$I$33)+SUMPRODUCT($S$34:$S$36,$I$34:$I$36)+SUMPRODUCT($S$37:$S$37,$I$37:$I$37)+SUMPRODUCT($S$38:$S$40,$I$38:$I$40)+SUMPRODUCT($S$41:$S$41,$I$41:$I$41)+SUMPRODUCT($S$42:$S$44,$I$42:$I$44)+SUMPRODUCT($S$45:$S$45,$I$45:$I$45)+SUMPRODUCT($S$46:$S$48,$I$46:$I$48)+SUMPRODUCT($S$49:$S$51,$I$49:$I$51)+SUMPRODUCT($S$52:$S$52,$I$52:$I$52)+SUMPRODUCT($S$53:$S$53,$I$53:$I$53)+SUMPRODUCT($S$54:$S$55,$I$54:$I$55))</f>
        <v>332077.14989999996</v>
      </c>
      <c r="T59" s="13"/>
      <c r="U59" s="13">
        <f>IF(ISERROR(+SUMPRODUCT($U$5:$U$8,$I$5:$I$8)+SUMPRODUCT($U$9:$U$12,$I$9:$I$12)+SUMPRODUCT($U$13:$U$13,$I$13:$I$13)+SUMPRODUCT($U$14:$U$18,$I$14:$I$18)+SUMPRODUCT($U$19:$U$20,$I$19:$I$20)+SUMPRODUCT($U$21:$U$23,$I$21:$I$23)+SUMPRODUCT($U$24:$U$28,$I$24:$I$28)+SUMPRODUCT($U$29:$U$33,$I$29:$I$33)+SUMPRODUCT($U$34:$U$36,$I$34:$I$36)+SUMPRODUCT($U$37:$U$37,$I$37:$I$37)+SUMPRODUCT($U$38:$U$40,$I$38:$I$40)+SUMPRODUCT($U$41:$U$41,$I$41:$I$41)+SUMPRODUCT($U$42:$U$44,$I$42:$I$44)+SUMPRODUCT($U$45:$U$45,$I$45:$I$45)+SUMPRODUCT($U$46:$U$48,$I$46:$I$48)+SUMPRODUCT($U$49:$U$51,$I$49:$I$51)+SUMPRODUCT($U$52:$U$52,$I$52:$I$52)+SUMPRODUCT($U$53:$U$53,$I$53:$I$53)+SUMPRODUCT($U$54:$U$55,$I$54:$I$55)),0,+SUMPRODUCT($U$5:$U$8,$I$5:$I$8)+SUMPRODUCT($U$9:$U$12,$I$9:$I$12)+SUMPRODUCT($U$13:$U$13,$I$13:$I$13)+SUMPRODUCT($U$14:$U$18,$I$14:$I$18)+SUMPRODUCT($U$19:$U$20,$I$19:$I$20)+SUMPRODUCT($U$21:$U$23,$I$21:$I$23)+SUMPRODUCT($U$24:$U$28,$I$24:$I$28)+SUMPRODUCT($U$29:$U$33,$I$29:$I$33)+SUMPRODUCT($U$34:$U$36,$I$34:$I$36)+SUMPRODUCT($U$37:$U$37,$I$37:$I$37)+SUMPRODUCT($U$38:$U$40,$I$38:$I$40)+SUMPRODUCT($U$41:$U$41,$I$41:$I$41)+SUMPRODUCT($U$42:$U$44,$I$42:$I$44)+SUMPRODUCT($U$45:$U$45,$I$45:$I$45)+SUMPRODUCT($U$46:$U$48,$I$46:$I$48)+SUMPRODUCT($U$49:$U$51,$I$49:$I$51)+SUMPRODUCT($U$52:$U$52,$I$52:$I$52)+SUMPRODUCT($U$53:$U$53,$I$53:$I$53)+SUMPRODUCT($U$54:$U$55,$I$54:$I$55))</f>
        <v>6723841.1611814406</v>
      </c>
      <c r="V59" s="13">
        <f>IF(ISERROR(+SUMPRODUCT($V$5:$V$8,$I$5:$I$8)+SUMPRODUCT($V$9:$V$12,$I$9:$I$12)+SUMPRODUCT($V$13:$V$13,$I$13:$I$13)+SUMPRODUCT($V$14:$V$18,$I$14:$I$18)+SUMPRODUCT($V$19:$V$20,$I$19:$I$20)+SUMPRODUCT($V$21:$V$23,$I$21:$I$23)+SUMPRODUCT($V$24:$V$28,$I$24:$I$28)+SUMPRODUCT($V$29:$V$33,$I$29:$I$33)+SUMPRODUCT($V$34:$V$36,$I$34:$I$36)+SUMPRODUCT($V$37:$V$37,$I$37:$I$37)+SUMPRODUCT($V$38:$V$40,$I$38:$I$40)+SUMPRODUCT($V$41:$V$41,$I$41:$I$41)+SUMPRODUCT($V$42:$V$44,$I$42:$I$44)+SUMPRODUCT($V$45:$V$45,$I$45:$I$45)+SUMPRODUCT($V$46:$V$48,$I$46:$I$48)+SUMPRODUCT($V$49:$V$51,$I$49:$I$51)+SUMPRODUCT($V$52:$V$52,$I$52:$I$52)+SUMPRODUCT($V$53:$V$53,$I$53:$I$53)+SUMPRODUCT($V$54:$V$55,$I$54:$I$55)),0,+SUMPRODUCT($V$5:$V$8,$I$5:$I$8)+SUMPRODUCT($V$9:$V$12,$I$9:$I$12)+SUMPRODUCT($V$13:$V$13,$I$13:$I$13)+SUMPRODUCT($V$14:$V$18,$I$14:$I$18)+SUMPRODUCT($V$19:$V$20,$I$19:$I$20)+SUMPRODUCT($V$21:$V$23,$I$21:$I$23)+SUMPRODUCT($V$24:$V$28,$I$24:$I$28)+SUMPRODUCT($V$29:$V$33,$I$29:$I$33)+SUMPRODUCT($V$34:$V$36,$I$34:$I$36)+SUMPRODUCT($V$37:$V$37,$I$37:$I$37)+SUMPRODUCT($V$38:$V$40,$I$38:$I$40)+SUMPRODUCT($V$41:$V$41,$I$41:$I$41)+SUMPRODUCT($V$42:$V$44,$I$42:$I$44)+SUMPRODUCT($V$45:$V$45,$I$45:$I$45)+SUMPRODUCT($V$46:$V$48,$I$46:$I$48)+SUMPRODUCT($V$49:$V$51,$I$49:$I$51)+SUMPRODUCT($V$52:$V$52,$I$52:$I$52)+SUMPRODUCT($V$53:$V$53,$I$53:$I$53)+SUMPRODUCT($V$54:$V$55,$I$54:$I$55))</f>
        <v>1255499.7237579001</v>
      </c>
      <c r="W59" s="13">
        <f>IF(ISERROR(+SUMPRODUCT($W$5:$W$8,$I$5:$I$8)+SUMPRODUCT($W$9:$W$12,$I$9:$I$12)+SUMPRODUCT($W$13:$W$13,$I$13:$I$13)+SUMPRODUCT($W$14:$W$18,$I$14:$I$18)+SUMPRODUCT($W$19:$W$20,$I$19:$I$20)+SUMPRODUCT($W$21:$W$23,$I$21:$I$23)+SUMPRODUCT($W$24:$W$28,$I$24:$I$28)+SUMPRODUCT($W$29:$W$33,$I$29:$I$33)+SUMPRODUCT($W$34:$W$36,$I$34:$I$36)+SUMPRODUCT($W$37:$W$37,$I$37:$I$37)+SUMPRODUCT($W$38:$W$40,$I$38:$I$40)+SUMPRODUCT($W$41:$W$41,$I$41:$I$41)+SUMPRODUCT($W$42:$W$44,$I$42:$I$44)+SUMPRODUCT($W$45:$W$45,$I$45:$I$45)+SUMPRODUCT($W$46:$W$48,$I$46:$I$48)+SUMPRODUCT($W$49:$W$51,$I$49:$I$51)+SUMPRODUCT($W$52:$W$52,$I$52:$I$52)+SUMPRODUCT($W$53:$W$53,$I$53:$I$53)+SUMPRODUCT($W$54:$W$55,$I$54:$I$55)),0,+SUMPRODUCT($W$5:$W$8,$I$5:$I$8)+SUMPRODUCT($W$9:$W$12,$I$9:$I$12)+SUMPRODUCT($W$13:$W$13,$I$13:$I$13)+SUMPRODUCT($W$14:$W$18,$I$14:$I$18)+SUMPRODUCT($W$19:$W$20,$I$19:$I$20)+SUMPRODUCT($W$21:$W$23,$I$21:$I$23)+SUMPRODUCT($W$24:$W$28,$I$24:$I$28)+SUMPRODUCT($W$29:$W$33,$I$29:$I$33)+SUMPRODUCT($W$34:$W$36,$I$34:$I$36)+SUMPRODUCT($W$37:$W$37,$I$37:$I$37)+SUMPRODUCT($W$38:$W$40,$I$38:$I$40)+SUMPRODUCT($W$41:$W$41,$I$41:$I$41)+SUMPRODUCT($W$42:$W$44,$I$42:$I$44)+SUMPRODUCT($W$45:$W$45,$I$45:$I$45)+SUMPRODUCT($W$46:$W$48,$I$46:$I$48)+SUMPRODUCT($W$49:$W$51,$I$49:$I$51)+SUMPRODUCT($W$52:$W$52,$I$52:$I$52)+SUMPRODUCT($W$53:$W$53,$I$53:$I$53)+SUMPRODUCT($W$54:$W$55,$I$54:$I$55))</f>
        <v>0</v>
      </c>
      <c r="X59" s="13">
        <f>IF(ISERROR(+SUMPRODUCT($X$5:$X$8,$I$5:$I$8)+SUMPRODUCT($X$9:$X$12,$I$9:$I$12)+SUMPRODUCT($X$13:$X$13,$I$13:$I$13)+SUMPRODUCT($X$14:$X$18,$I$14:$I$18)+SUMPRODUCT($X$19:$X$20,$I$19:$I$20)+SUMPRODUCT($X$21:$X$23,$I$21:$I$23)+SUMPRODUCT($X$24:$X$28,$I$24:$I$28)+SUMPRODUCT($X$29:$X$33,$I$29:$I$33)+SUMPRODUCT($X$34:$X$36,$I$34:$I$36)+SUMPRODUCT($X$37:$X$37,$I$37:$I$37)+SUMPRODUCT($X$38:$X$40,$I$38:$I$40)+SUMPRODUCT($X$41:$X$41,$I$41:$I$41)+SUMPRODUCT($X$42:$X$44,$I$42:$I$44)+SUMPRODUCT($X$45:$X$45,$I$45:$I$45)+SUMPRODUCT($X$46:$X$48,$I$46:$I$48)+SUMPRODUCT($X$49:$X$51,$I$49:$I$51)+SUMPRODUCT($X$52:$X$52,$I$52:$I$52)+SUMPRODUCT($X$53:$X$53,$I$53:$I$53)+SUMPRODUCT($X$54:$X$55,$I$54:$I$55)),0,+SUMPRODUCT($X$5:$X$8,$I$5:$I$8)+SUMPRODUCT($X$9:$X$12,$I$9:$I$12)+SUMPRODUCT($X$13:$X$13,$I$13:$I$13)+SUMPRODUCT($X$14:$X$18,$I$14:$I$18)+SUMPRODUCT($X$19:$X$20,$I$19:$I$20)+SUMPRODUCT($X$21:$X$23,$I$21:$I$23)+SUMPRODUCT($X$24:$X$28,$I$24:$I$28)+SUMPRODUCT($X$29:$X$33,$I$29:$I$33)+SUMPRODUCT($X$34:$X$36,$I$34:$I$36)+SUMPRODUCT($X$37:$X$37,$I$37:$I$37)+SUMPRODUCT($X$38:$X$40,$I$38:$I$40)+SUMPRODUCT($X$41:$X$41,$I$41:$I$41)+SUMPRODUCT($X$42:$X$44,$I$42:$I$44)+SUMPRODUCT($X$45:$X$45,$I$45:$I$45)+SUMPRODUCT($X$46:$X$48,$I$46:$I$48)+SUMPRODUCT($X$49:$X$51,$I$49:$I$51)+SUMPRODUCT($X$52:$X$52,$I$52:$I$52)+SUMPRODUCT($X$53:$X$53,$I$53:$I$53)+SUMPRODUCT($X$54:$X$55,$I$54:$I$55))</f>
        <v>0</v>
      </c>
      <c r="Y59" s="13">
        <f>IF(ISERROR(+SUMPRODUCT($Y$5:$Y$8,$I$5:$I$8)+SUMPRODUCT($Y$9:$Y$12,$I$9:$I$12)+SUMPRODUCT($Y$13:$Y$13,$I$13:$I$13)+SUMPRODUCT($Y$14:$Y$18,$I$14:$I$18)+SUMPRODUCT($Y$19:$Y$20,$I$19:$I$20)+SUMPRODUCT($Y$21:$Y$23,$I$21:$I$23)+SUMPRODUCT($Y$24:$Y$28,$I$24:$I$28)+SUMPRODUCT($Y$29:$Y$33,$I$29:$I$33)+SUMPRODUCT($Y$34:$Y$36,$I$34:$I$36)+SUMPRODUCT($Y$37:$Y$37,$I$37:$I$37)+SUMPRODUCT($Y$38:$Y$40,$I$38:$I$40)+SUMPRODUCT($Y$41:$Y$41,$I$41:$I$41)+SUMPRODUCT($Y$42:$Y$44,$I$42:$I$44)+SUMPRODUCT($Y$45:$Y$45,$I$45:$I$45)+SUMPRODUCT($Y$46:$Y$48,$I$46:$I$48)+SUMPRODUCT($Y$49:$Y$51,$I$49:$I$51)+SUMPRODUCT($Y$52:$Y$52,$I$52:$I$52)+SUMPRODUCT($Y$53:$Y$53,$I$53:$I$53)+SUMPRODUCT($Y$54:$Y$55,$I$54:$I$55)),0,+SUMPRODUCT($Y$5:$Y$8,$I$5:$I$8)+SUMPRODUCT($Y$9:$Y$12,$I$9:$I$12)+SUMPRODUCT($Y$13:$Y$13,$I$13:$I$13)+SUMPRODUCT($Y$14:$Y$18,$I$14:$I$18)+SUMPRODUCT($Y$19:$Y$20,$I$19:$I$20)+SUMPRODUCT($Y$21:$Y$23,$I$21:$I$23)+SUMPRODUCT($Y$24:$Y$28,$I$24:$I$28)+SUMPRODUCT($Y$29:$Y$33,$I$29:$I$33)+SUMPRODUCT($Y$34:$Y$36,$I$34:$I$36)+SUMPRODUCT($Y$37:$Y$37,$I$37:$I$37)+SUMPRODUCT($Y$38:$Y$40,$I$38:$I$40)+SUMPRODUCT($Y$41:$Y$41,$I$41:$I$41)+SUMPRODUCT($Y$42:$Y$44,$I$42:$I$44)+SUMPRODUCT($Y$45:$Y$45,$I$45:$I$45)+SUMPRODUCT($Y$46:$Y$48,$I$46:$I$48)+SUMPRODUCT($Y$49:$Y$51,$I$49:$I$51)+SUMPRODUCT($Y$52:$Y$52,$I$52:$I$52)+SUMPRODUCT($Y$53:$Y$53,$I$53:$I$53)+SUMPRODUCT($Y$54:$Y$55,$I$54:$I$55))</f>
        <v>0</v>
      </c>
      <c r="Z59" s="13">
        <f>IF(ISERROR(+SUMPRODUCT($Z$5:$Z$8,$I$5:$I$8)+SUMPRODUCT($Z$9:$Z$12,$I$9:$I$12)+SUMPRODUCT($Z$13:$Z$13,$I$13:$I$13)+SUMPRODUCT($Z$14:$Z$18,$I$14:$I$18)+SUMPRODUCT($Z$19:$Z$20,$I$19:$I$20)+SUMPRODUCT($Z$21:$Z$23,$I$21:$I$23)+SUMPRODUCT($Z$24:$Z$28,$I$24:$I$28)+SUMPRODUCT($Z$29:$Z$33,$I$29:$I$33)+SUMPRODUCT($Z$34:$Z$36,$I$34:$I$36)+SUMPRODUCT($Z$37:$Z$37,$I$37:$I$37)+SUMPRODUCT($Z$38:$Z$40,$I$38:$I$40)+SUMPRODUCT($Z$41:$Z$41,$I$41:$I$41)+SUMPRODUCT($Z$42:$Z$44,$I$42:$I$44)+SUMPRODUCT($Z$45:$Z$45,$I$45:$I$45)+SUMPRODUCT($Z$46:$Z$48,$I$46:$I$48)+SUMPRODUCT($Z$49:$Z$51,$I$49:$I$51)+SUMPRODUCT($Z$52:$Z$52,$I$52:$I$52)+SUMPRODUCT($Z$53:$Z$53,$I$53:$I$53)+SUMPRODUCT($Z$54:$Z$55,$I$54:$I$55)),0,+SUMPRODUCT($Z$5:$Z$8,$I$5:$I$8)+SUMPRODUCT($Z$9:$Z$12,$I$9:$I$12)+SUMPRODUCT($Z$13:$Z$13,$I$13:$I$13)+SUMPRODUCT($Z$14:$Z$18,$I$14:$I$18)+SUMPRODUCT($Z$19:$Z$20,$I$19:$I$20)+SUMPRODUCT($Z$21:$Z$23,$I$21:$I$23)+SUMPRODUCT($Z$24:$Z$28,$I$24:$I$28)+SUMPRODUCT($Z$29:$Z$33,$I$29:$I$33)+SUMPRODUCT($Z$34:$Z$36,$I$34:$I$36)+SUMPRODUCT($Z$37:$Z$37,$I$37:$I$37)+SUMPRODUCT($Z$38:$Z$40,$I$38:$I$40)+SUMPRODUCT($Z$41:$Z$41,$I$41:$I$41)+SUMPRODUCT($Z$42:$Z$44,$I$42:$I$44)+SUMPRODUCT($Z$45:$Z$45,$I$45:$I$45)+SUMPRODUCT($Z$46:$Z$48,$I$46:$I$48)+SUMPRODUCT($Z$49:$Z$51,$I$49:$I$51)+SUMPRODUCT($Z$52:$Z$52,$I$52:$I$52)+SUMPRODUCT($Z$53:$Z$53,$I$53:$I$53)+SUMPRODUCT($Z$54:$Z$55,$I$54:$I$55))</f>
        <v>0</v>
      </c>
      <c r="AA59" s="13">
        <f>IF(ISERROR(+SUMPRODUCT($AA$5:$AA$8,$I$5:$I$8)+SUMPRODUCT($AA$9:$AA$12,$I$9:$I$12)+SUMPRODUCT($AA$13:$AA$13,$I$13:$I$13)+SUMPRODUCT($AA$14:$AA$18,$I$14:$I$18)+SUMPRODUCT($AA$19:$AA$20,$I$19:$I$20)+SUMPRODUCT($AA$21:$AA$23,$I$21:$I$23)+SUMPRODUCT($AA$24:$AA$28,$I$24:$I$28)+SUMPRODUCT($AA$29:$AA$33,$I$29:$I$33)+SUMPRODUCT($AA$34:$AA$36,$I$34:$I$36)+SUMPRODUCT($AA$37:$AA$37,$I$37:$I$37)+SUMPRODUCT($AA$38:$AA$40,$I$38:$I$40)+SUMPRODUCT($AA$41:$AA$41,$I$41:$I$41)+SUMPRODUCT($AA$42:$AA$44,$I$42:$I$44)+SUMPRODUCT($AA$45:$AA$45,$I$45:$I$45)+SUMPRODUCT($AA$46:$AA$48,$I$46:$I$48)+SUMPRODUCT($AA$49:$AA$51,$I$49:$I$51)+SUMPRODUCT($AA$52:$AA$52,$I$52:$I$52)+SUMPRODUCT($AA$53:$AA$53,$I$53:$I$53)+SUMPRODUCT($AA$54:$AA$55,$I$54:$I$55)),0,+SUMPRODUCT($AA$5:$AA$8,$I$5:$I$8)+SUMPRODUCT($AA$9:$AA$12,$I$9:$I$12)+SUMPRODUCT($AA$13:$AA$13,$I$13:$I$13)+SUMPRODUCT($AA$14:$AA$18,$I$14:$I$18)+SUMPRODUCT($AA$19:$AA$20,$I$19:$I$20)+SUMPRODUCT($AA$21:$AA$23,$I$21:$I$23)+SUMPRODUCT($AA$24:$AA$28,$I$24:$I$28)+SUMPRODUCT($AA$29:$AA$33,$I$29:$I$33)+SUMPRODUCT($AA$34:$AA$36,$I$34:$I$36)+SUMPRODUCT($AA$37:$AA$37,$I$37:$I$37)+SUMPRODUCT($AA$38:$AA$40,$I$38:$I$40)+SUMPRODUCT($AA$41:$AA$41,$I$41:$I$41)+SUMPRODUCT($AA$42:$AA$44,$I$42:$I$44)+SUMPRODUCT($AA$45:$AA$45,$I$45:$I$45)+SUMPRODUCT($AA$46:$AA$48,$I$46:$I$48)+SUMPRODUCT($AA$49:$AA$51,$I$49:$I$51)+SUMPRODUCT($AA$52:$AA$52,$I$52:$I$52)+SUMPRODUCT($AA$53:$AA$53,$I$53:$I$53)+SUMPRODUCT($AA$54:$AA$55,$I$54:$I$55))</f>
        <v>0</v>
      </c>
      <c r="AB59" s="13"/>
      <c r="AC59" s="13">
        <f>IF(ISERROR(+SUMPRODUCT($AC$5:$AC$8,$I$5:$I$8)+SUMPRODUCT($AC$9:$AC$12,$I$9:$I$12)+SUMPRODUCT($AC$13:$AC$13,$I$13:$I$13)+SUMPRODUCT($AC$14:$AC$18,$I$14:$I$18)+SUMPRODUCT($AC$19:$AC$20,$I$19:$I$20)+SUMPRODUCT($AC$21:$AC$23,$I$21:$I$23)+SUMPRODUCT($AC$24:$AC$28,$I$24:$I$28)+SUMPRODUCT($AC$29:$AC$33,$I$29:$I$33)+SUMPRODUCT($AC$34:$AC$36,$I$34:$I$36)+SUMPRODUCT($AC$37:$AC$37,$I$37:$I$37)+SUMPRODUCT($AC$38:$AC$40,$I$38:$I$40)+SUMPRODUCT($AC$41:$AC$41,$I$41:$I$41)+SUMPRODUCT($AC$42:$AC$44,$I$42:$I$44)+SUMPRODUCT($AC$45:$AC$45,$I$45:$I$45)+SUMPRODUCT($AC$46:$AC$48,$I$46:$I$48)+SUMPRODUCT($AC$49:$AC$51,$I$49:$I$51)+SUMPRODUCT($AC$52:$AC$52,$I$52:$I$52)+SUMPRODUCT($AC$53:$AC$53,$I$53:$I$53)+SUMPRODUCT($AC$54:$AC$55,$I$54:$I$55)),0,+SUMPRODUCT($AC$5:$AC$8,$I$5:$I$8)+SUMPRODUCT($AC$9:$AC$12,$I$9:$I$12)+SUMPRODUCT($AC$13:$AC$13,$I$13:$I$13)+SUMPRODUCT($AC$14:$AC$18,$I$14:$I$18)+SUMPRODUCT($AC$19:$AC$20,$I$19:$I$20)+SUMPRODUCT($AC$21:$AC$23,$I$21:$I$23)+SUMPRODUCT($AC$24:$AC$28,$I$24:$I$28)+SUMPRODUCT($AC$29:$AC$33,$I$29:$I$33)+SUMPRODUCT($AC$34:$AC$36,$I$34:$I$36)+SUMPRODUCT($AC$37:$AC$37,$I$37:$I$37)+SUMPRODUCT($AC$38:$AC$40,$I$38:$I$40)+SUMPRODUCT($AC$41:$AC$41,$I$41:$I$41)+SUMPRODUCT($AC$42:$AC$44,$I$42:$I$44)+SUMPRODUCT($AC$45:$AC$45,$I$45:$I$45)+SUMPRODUCT($AC$46:$AC$48,$I$46:$I$48)+SUMPRODUCT($AC$49:$AC$51,$I$49:$I$51)+SUMPRODUCT($AC$52:$AC$52,$I$52:$I$52)+SUMPRODUCT($AC$53:$AC$53,$I$53:$I$53)+SUMPRODUCT($AC$54:$AC$55,$I$54:$I$55))</f>
        <v>45602604.095763661</v>
      </c>
      <c r="AD59" s="13"/>
      <c r="AE59" s="13">
        <f>IF(ISERROR(+SUMPRODUCT($AE$5:$AE$8,$I$5:$I$8)+SUMPRODUCT($AE$9:$AE$12,$I$9:$I$12)+SUMPRODUCT($AE$13:$AE$13,$I$13:$I$13)+SUMPRODUCT($AE$14:$AE$18,$I$14:$I$18)+SUMPRODUCT($AE$19:$AE$20,$I$19:$I$20)+SUMPRODUCT($AE$21:$AE$23,$I$21:$I$23)+SUMPRODUCT($AE$24:$AE$28,$I$24:$I$28)+SUMPRODUCT($AE$29:$AE$33,$I$29:$I$33)+SUMPRODUCT($AE$34:$AE$36,$I$34:$I$36)+SUMPRODUCT($AE$37:$AE$37,$I$37:$I$37)+SUMPRODUCT($AE$38:$AE$40,$I$38:$I$40)+SUMPRODUCT($AE$41:$AE$41,$I$41:$I$41)+SUMPRODUCT($AE$42:$AE$44,$I$42:$I$44)+SUMPRODUCT($AE$45:$AE$45,$I$45:$I$45)+SUMPRODUCT($AE$46:$AE$48,$I$46:$I$48)+SUMPRODUCT($AE$49:$AE$51,$I$49:$I$51)+SUMPRODUCT($AE$52:$AE$52,$I$52:$I$52)+SUMPRODUCT($AE$53:$AE$53,$I$53:$I$53)+SUMPRODUCT($AE$54:$AE$55,$I$54:$I$55)),0,+SUMPRODUCT($AE$5:$AE$8,$I$5:$I$8)+SUMPRODUCT($AE$9:$AE$12,$I$9:$I$12)+SUMPRODUCT($AE$13:$AE$13,$I$13:$I$13)+SUMPRODUCT($AE$14:$AE$18,$I$14:$I$18)+SUMPRODUCT($AE$19:$AE$20,$I$19:$I$20)+SUMPRODUCT($AE$21:$AE$23,$I$21:$I$23)+SUMPRODUCT($AE$24:$AE$28,$I$24:$I$28)+SUMPRODUCT($AE$29:$AE$33,$I$29:$I$33)+SUMPRODUCT($AE$34:$AE$36,$I$34:$I$36)+SUMPRODUCT($AE$37:$AE$37,$I$37:$I$37)+SUMPRODUCT($AE$38:$AE$40,$I$38:$I$40)+SUMPRODUCT($AE$41:$AE$41,$I$41:$I$41)+SUMPRODUCT($AE$42:$AE$44,$I$42:$I$44)+SUMPRODUCT($AE$45:$AE$45,$I$45:$I$45)+SUMPRODUCT($AE$46:$AE$48,$I$46:$I$48)+SUMPRODUCT($AE$49:$AE$51,$I$49:$I$51)+SUMPRODUCT($AE$52:$AE$52,$I$52:$I$52)+SUMPRODUCT($AE$53:$AE$53,$I$53:$I$53)+SUMPRODUCT($AE$54:$AE$55,$I$54:$I$55))</f>
        <v>0</v>
      </c>
      <c r="AF59" s="13">
        <f>IF(ISERROR(+SUMPRODUCT($AF$5:$AF$8,$I$5:$I$8)+SUMPRODUCT($AF$9:$AF$12,$I$9:$I$12)+SUMPRODUCT($AF$13:$AF$13,$I$13:$I$13)+SUMPRODUCT($AF$14:$AF$18,$I$14:$I$18)+SUMPRODUCT($AF$19:$AF$20,$I$19:$I$20)+SUMPRODUCT($AF$21:$AF$23,$I$21:$I$23)+SUMPRODUCT($AF$24:$AF$28,$I$24:$I$28)+SUMPRODUCT($AF$29:$AF$33,$I$29:$I$33)+SUMPRODUCT($AF$34:$AF$36,$I$34:$I$36)+SUMPRODUCT($AF$37:$AF$37,$I$37:$I$37)+SUMPRODUCT($AF$38:$AF$40,$I$38:$I$40)+SUMPRODUCT($AF$41:$AF$41,$I$41:$I$41)+SUMPRODUCT($AF$42:$AF$44,$I$42:$I$44)+SUMPRODUCT($AF$45:$AF$45,$I$45:$I$45)+SUMPRODUCT($AF$46:$AF$48,$I$46:$I$48)+SUMPRODUCT($AF$49:$AF$51,$I$49:$I$51)+SUMPRODUCT($AF$52:$AF$52,$I$52:$I$52)+SUMPRODUCT($AF$53:$AF$53,$I$53:$I$53)+SUMPRODUCT($AF$54:$AF$55,$I$54:$I$55)),0,+SUMPRODUCT($AF$5:$AF$8,$I$5:$I$8)+SUMPRODUCT($AF$9:$AF$12,$I$9:$I$12)+SUMPRODUCT($AF$13:$AF$13,$I$13:$I$13)+SUMPRODUCT($AF$14:$AF$18,$I$14:$I$18)+SUMPRODUCT($AF$19:$AF$20,$I$19:$I$20)+SUMPRODUCT($AF$21:$AF$23,$I$21:$I$23)+SUMPRODUCT($AF$24:$AF$28,$I$24:$I$28)+SUMPRODUCT($AF$29:$AF$33,$I$29:$I$33)+SUMPRODUCT($AF$34:$AF$36,$I$34:$I$36)+SUMPRODUCT($AF$37:$AF$37,$I$37:$I$37)+SUMPRODUCT($AF$38:$AF$40,$I$38:$I$40)+SUMPRODUCT($AF$41:$AF$41,$I$41:$I$41)+SUMPRODUCT($AF$42:$AF$44,$I$42:$I$44)+SUMPRODUCT($AF$45:$AF$45,$I$45:$I$45)+SUMPRODUCT($AF$46:$AF$48,$I$46:$I$48)+SUMPRODUCT($AF$49:$AF$51,$I$49:$I$51)+SUMPRODUCT($AF$52:$AF$52,$I$52:$I$52)+SUMPRODUCT($AF$53:$AF$53,$I$53:$I$53)+SUMPRODUCT($AF$54:$AF$55,$I$54:$I$55))</f>
        <v>0</v>
      </c>
      <c r="AG59" s="13"/>
      <c r="AH59" s="13">
        <f>IF(ISERROR(+SUMPRODUCT($AH$5:$AH$8,$I$5:$I$8)+SUMPRODUCT($AH$9:$AH$12,$I$9:$I$12)+SUMPRODUCT($AH$13:$AH$13,$I$13:$I$13)+SUMPRODUCT($AH$14:$AH$18,$I$14:$I$18)+SUMPRODUCT($AH$19:$AH$20,$I$19:$I$20)+SUMPRODUCT($AH$21:$AH$23,$I$21:$I$23)+SUMPRODUCT($AH$24:$AH$28,$I$24:$I$28)+SUMPRODUCT($AH$29:$AH$33,$I$29:$I$33)+SUMPRODUCT($AH$34:$AH$36,$I$34:$I$36)+SUMPRODUCT($AH$37:$AH$37,$I$37:$I$37)+SUMPRODUCT($AH$38:$AH$40,$I$38:$I$40)+SUMPRODUCT($AH$41:$AH$41,$I$41:$I$41)+SUMPRODUCT($AH$42:$AH$44,$I$42:$I$44)+SUMPRODUCT($AH$45:$AH$45,$I$45:$I$45)+SUMPRODUCT($AH$46:$AH$48,$I$46:$I$48)+SUMPRODUCT($AH$49:$AH$51,$I$49:$I$51)+SUMPRODUCT($AH$52:$AH$52,$I$52:$I$52)+SUMPRODUCT($AH$53:$AH$53,$I$53:$I$53)+SUMPRODUCT($AH$54:$AH$55,$I$54:$I$55)),0,+SUMPRODUCT($AH$5:$AH$8,$I$5:$I$8)+SUMPRODUCT($AH$9:$AH$12,$I$9:$I$12)+SUMPRODUCT($AH$13:$AH$13,$I$13:$I$13)+SUMPRODUCT($AH$14:$AH$18,$I$14:$I$18)+SUMPRODUCT($AH$19:$AH$20,$I$19:$I$20)+SUMPRODUCT($AH$21:$AH$23,$I$21:$I$23)+SUMPRODUCT($AH$24:$AH$28,$I$24:$I$28)+SUMPRODUCT($AH$29:$AH$33,$I$29:$I$33)+SUMPRODUCT($AH$34:$AH$36,$I$34:$I$36)+SUMPRODUCT($AH$37:$AH$37,$I$37:$I$37)+SUMPRODUCT($AH$38:$AH$40,$I$38:$I$40)+SUMPRODUCT($AH$41:$AH$41,$I$41:$I$41)+SUMPRODUCT($AH$42:$AH$44,$I$42:$I$44)+SUMPRODUCT($AH$45:$AH$45,$I$45:$I$45)+SUMPRODUCT($AH$46:$AH$48,$I$46:$I$48)+SUMPRODUCT($AH$49:$AH$51,$I$49:$I$51)+SUMPRODUCT($AH$52:$AH$52,$I$52:$I$52)+SUMPRODUCT($AH$53:$AH$53,$I$53:$I$53)+SUMPRODUCT($AH$54:$AH$55,$I$54:$I$55))</f>
        <v>2569359.9402709599</v>
      </c>
      <c r="AI59" s="13">
        <f>IF(ISERROR(+SUMPRODUCT($AI$5:$AI$8,$I$5:$I$8)+SUMPRODUCT($AI$9:$AI$12,$I$9:$I$12)+SUMPRODUCT($AI$13:$AI$13,$I$13:$I$13)+SUMPRODUCT($AI$14:$AI$18,$I$14:$I$18)+SUMPRODUCT($AI$19:$AI$20,$I$19:$I$20)+SUMPRODUCT($AI$21:$AI$23,$I$21:$I$23)+SUMPRODUCT($AI$24:$AI$28,$I$24:$I$28)+SUMPRODUCT($AI$29:$AI$33,$I$29:$I$33)+SUMPRODUCT($AI$34:$AI$36,$I$34:$I$36)+SUMPRODUCT($AI$37:$AI$37,$I$37:$I$37)+SUMPRODUCT($AI$38:$AI$40,$I$38:$I$40)+SUMPRODUCT($AI$41:$AI$41,$I$41:$I$41)+SUMPRODUCT($AI$42:$AI$44,$I$42:$I$44)+SUMPRODUCT($AI$45:$AI$45,$I$45:$I$45)+SUMPRODUCT($AI$46:$AI$48,$I$46:$I$48)+SUMPRODUCT($AI$49:$AI$51,$I$49:$I$51)+SUMPRODUCT($AI$52:$AI$52,$I$52:$I$52)+SUMPRODUCT($AI$53:$AI$53,$I$53:$I$53)+SUMPRODUCT($AI$54:$AI$55,$I$54:$I$55)),0,+SUMPRODUCT($AI$5:$AI$8,$I$5:$I$8)+SUMPRODUCT($AI$9:$AI$12,$I$9:$I$12)+SUMPRODUCT($AI$13:$AI$13,$I$13:$I$13)+SUMPRODUCT($AI$14:$AI$18,$I$14:$I$18)+SUMPRODUCT($AI$19:$AI$20,$I$19:$I$20)+SUMPRODUCT($AI$21:$AI$23,$I$21:$I$23)+SUMPRODUCT($AI$24:$AI$28,$I$24:$I$28)+SUMPRODUCT($AI$29:$AI$33,$I$29:$I$33)+SUMPRODUCT($AI$34:$AI$36,$I$34:$I$36)+SUMPRODUCT($AI$37:$AI$37,$I$37:$I$37)+SUMPRODUCT($AI$38:$AI$40,$I$38:$I$40)+SUMPRODUCT($AI$41:$AI$41,$I$41:$I$41)+SUMPRODUCT($AI$42:$AI$44,$I$42:$I$44)+SUMPRODUCT($AI$45:$AI$45,$I$45:$I$45)+SUMPRODUCT($AI$46:$AI$48,$I$46:$I$48)+SUMPRODUCT($AI$49:$AI$51,$I$49:$I$51)+SUMPRODUCT($AI$52:$AI$52,$I$52:$I$52)+SUMPRODUCT($AI$53:$AI$53,$I$53:$I$53)+SUMPRODUCT($AI$54:$AI$55,$I$54:$I$55))</f>
        <v>0</v>
      </c>
      <c r="AJ59" s="13">
        <f ca="1">IF(ISERROR(+SUMPRODUCT($AJ$5:$AJ$8,$I$5:$I$8)+SUMPRODUCT($AJ$9:$AJ$12,$I$9:$I$12)+SUMPRODUCT($AJ$13:$AJ$13,$I$13:$I$13)+SUMPRODUCT($AJ$14:$AJ$18,$I$14:$I$18)+SUMPRODUCT($AJ$19:$AJ$20,$I$19:$I$20)+SUMPRODUCT($AJ$21:$AJ$23,$I$21:$I$23)+SUMPRODUCT($AJ$24:$AJ$28,$I$24:$I$28)+SUMPRODUCT($AJ$29:$AJ$33,$I$29:$I$33)+SUMPRODUCT($AJ$34:$AJ$36,$I$34:$I$36)+SUMPRODUCT($AJ$37:$AJ$37,$I$37:$I$37)+SUMPRODUCT($AJ$38:$AJ$40,$I$38:$I$40)+SUMPRODUCT($AJ$41:$AJ$41,$I$41:$I$41)+SUMPRODUCT($AJ$42:$AJ$44,$I$42:$I$44)+SUMPRODUCT($AJ$45:$AJ$45,$I$45:$I$45)+SUMPRODUCT($AJ$46:$AJ$48,$I$46:$I$48)+SUMPRODUCT($AJ$49:$AJ$51,$I$49:$I$51)+SUMPRODUCT($AJ$52:$AJ$52,$I$52:$I$52)+SUMPRODUCT($AJ$53:$AJ$53,$I$53:$I$53)+SUMPRODUCT($AJ$54:$AJ$55,$I$54:$I$55)),0,+SUMPRODUCT($AJ$5:$AJ$8,$I$5:$I$8)+SUMPRODUCT($AJ$9:$AJ$12,$I$9:$I$12)+SUMPRODUCT($AJ$13:$AJ$13,$I$13:$I$13)+SUMPRODUCT($AJ$14:$AJ$18,$I$14:$I$18)+SUMPRODUCT($AJ$19:$AJ$20,$I$19:$I$20)+SUMPRODUCT($AJ$21:$AJ$23,$I$21:$I$23)+SUMPRODUCT($AJ$24:$AJ$28,$I$24:$I$28)+SUMPRODUCT($AJ$29:$AJ$33,$I$29:$I$33)+SUMPRODUCT($AJ$34:$AJ$36,$I$34:$I$36)+SUMPRODUCT($AJ$37:$AJ$37,$I$37:$I$37)+SUMPRODUCT($AJ$38:$AJ$40,$I$38:$I$40)+SUMPRODUCT($AJ$41:$AJ$41,$I$41:$I$41)+SUMPRODUCT($AJ$42:$AJ$44,$I$42:$I$44)+SUMPRODUCT($AJ$45:$AJ$45,$I$45:$I$45)+SUMPRODUCT($AJ$46:$AJ$48,$I$46:$I$48)+SUMPRODUCT($AJ$49:$AJ$51,$I$49:$I$51)+SUMPRODUCT($AJ$52:$AJ$52,$I$52:$I$52)+SUMPRODUCT($AJ$53:$AJ$53,$I$53:$I$53)+SUMPRODUCT($AJ$54:$AJ$55,$I$54:$I$55))</f>
        <v>0</v>
      </c>
      <c r="AK59" s="13">
        <f ca="1">IF(ISERROR(+SUMPRODUCT($AK$5:$AK$8,$I$5:$I$8)+SUMPRODUCT($AK$9:$AK$12,$I$9:$I$12)+SUMPRODUCT($AK$13:$AK$13,$I$13:$I$13)+SUMPRODUCT($AK$14:$AK$18,$I$14:$I$18)+SUMPRODUCT($AK$19:$AK$20,$I$19:$I$20)+SUMPRODUCT($AK$21:$AK$23,$I$21:$I$23)+SUMPRODUCT($AK$24:$AK$28,$I$24:$I$28)+SUMPRODUCT($AK$29:$AK$33,$I$29:$I$33)+SUMPRODUCT($AK$34:$AK$36,$I$34:$I$36)+SUMPRODUCT($AK$37:$AK$37,$I$37:$I$37)+SUMPRODUCT($AK$38:$AK$40,$I$38:$I$40)+SUMPRODUCT($AK$41:$AK$41,$I$41:$I$41)+SUMPRODUCT($AK$42:$AK$44,$I$42:$I$44)+SUMPRODUCT($AK$45:$AK$45,$I$45:$I$45)+SUMPRODUCT($AK$46:$AK$48,$I$46:$I$48)+SUMPRODUCT($AK$49:$AK$51,$I$49:$I$51)+SUMPRODUCT($AK$52:$AK$52,$I$52:$I$52)+SUMPRODUCT($AK$53:$AK$53,$I$53:$I$53)+SUMPRODUCT($AK$54:$AK$55,$I$54:$I$55)),0,+SUMPRODUCT($AK$5:$AK$8,$I$5:$I$8)+SUMPRODUCT($AK$9:$AK$12,$I$9:$I$12)+SUMPRODUCT($AK$13:$AK$13,$I$13:$I$13)+SUMPRODUCT($AK$14:$AK$18,$I$14:$I$18)+SUMPRODUCT($AK$19:$AK$20,$I$19:$I$20)+SUMPRODUCT($AK$21:$AK$23,$I$21:$I$23)+SUMPRODUCT($AK$24:$AK$28,$I$24:$I$28)+SUMPRODUCT($AK$29:$AK$33,$I$29:$I$33)+SUMPRODUCT($AK$34:$AK$36,$I$34:$I$36)+SUMPRODUCT($AK$37:$AK$37,$I$37:$I$37)+SUMPRODUCT($AK$38:$AK$40,$I$38:$I$40)+SUMPRODUCT($AK$41:$AK$41,$I$41:$I$41)+SUMPRODUCT($AK$42:$AK$44,$I$42:$I$44)+SUMPRODUCT($AK$45:$AK$45,$I$45:$I$45)+SUMPRODUCT($AK$46:$AK$48,$I$46:$I$48)+SUMPRODUCT($AK$49:$AK$51,$I$49:$I$51)+SUMPRODUCT($AK$52:$AK$52,$I$52:$I$52)+SUMPRODUCT($AK$53:$AK$53,$I$53:$I$53)+SUMPRODUCT($AK$54:$AK$55,$I$54:$I$55))</f>
        <v>0</v>
      </c>
      <c r="AL59" s="13"/>
      <c r="AM59" s="13"/>
    </row>
    <row r="60" spans="1:42" ht="11.25" customHeight="1" x14ac:dyDescent="0.25">
      <c r="K60" s="16" t="s">
        <v>490</v>
      </c>
      <c r="L60" s="13">
        <f>CUSTOS!$D$2</f>
        <v>9419991.3842511326</v>
      </c>
      <c r="M60" s="13">
        <f>CUSTOS!$D$3</f>
        <v>174059.44361910204</v>
      </c>
      <c r="N60" s="13">
        <f>CUSTOS!$D$4</f>
        <v>0</v>
      </c>
      <c r="O60" s="13">
        <f>CUSTOS!$D$5</f>
        <v>0</v>
      </c>
      <c r="P60" s="13">
        <f>CUSTOS!$D$6</f>
        <v>0</v>
      </c>
      <c r="Q60" s="13">
        <f>CUSTOS!$D$7</f>
        <v>26430216.89694</v>
      </c>
      <c r="R60" s="13">
        <f>CUSTOS!$D$8</f>
        <v>4738373.3178900015</v>
      </c>
      <c r="S60" s="13">
        <f>CUSTOS!$D$9</f>
        <v>0</v>
      </c>
      <c r="T60" s="13">
        <f>CUSTOS!$D$10</f>
        <v>40762641.042700239</v>
      </c>
      <c r="U60" s="13">
        <f>CUSTOS!$D$11</f>
        <v>9344727</v>
      </c>
      <c r="V60" s="13">
        <f>IF(SUM(V57:V59)&lt;&gt;0,CUSTOS!$D$12+CUSTOS!$D$16+CUSTOS!$D$17-'TR TUSD'!$Z$58-'TR TUSD'!$AA$58,0)</f>
        <v>1309770</v>
      </c>
      <c r="W60" s="13">
        <f>CUSTOS!$D$13</f>
        <v>0</v>
      </c>
      <c r="X60" s="13">
        <f>CUSTOS!$D$14</f>
        <v>0</v>
      </c>
      <c r="Y60" s="13">
        <f>IF(SUM(V57:V59)=0,CUSTOS!$D$15+CUSTOS!$D$16+CUSTOS!$D$17-'TR TUSD'!$Z$58-'TR TUSD'!$AA$58,CUSTOS!$D$15)</f>
        <v>0</v>
      </c>
      <c r="Z60" s="13">
        <f>Z58</f>
        <v>0</v>
      </c>
      <c r="AA60" s="13">
        <f>AA58</f>
        <v>0</v>
      </c>
      <c r="AB60" s="13">
        <f>CUSTOS!$D$18</f>
        <v>10654497</v>
      </c>
      <c r="AC60" s="13">
        <f>CUSTOS!$D$19</f>
        <v>39323417.770000003</v>
      </c>
      <c r="AD60" s="13">
        <f>CUSTOS!$D$20</f>
        <v>39323417.770000003</v>
      </c>
      <c r="AE60" s="13">
        <f>CUSTOS!$D$21</f>
        <v>0</v>
      </c>
      <c r="AF60" s="13">
        <f>CUSTOS!$D$22</f>
        <v>0</v>
      </c>
      <c r="AG60" s="13">
        <f>CUSTOS!$D$23</f>
        <v>0</v>
      </c>
      <c r="AH60" s="13">
        <f>CUSTOS!$D$24</f>
        <v>2300271.9527872917</v>
      </c>
      <c r="AI60" s="13">
        <f>CUSTOS!$D$25</f>
        <v>0</v>
      </c>
      <c r="AJ60" s="13">
        <f>CUSTOS!$D$26</f>
        <v>0</v>
      </c>
      <c r="AK60" s="13">
        <f>CUSTOS!$D$27</f>
        <v>0</v>
      </c>
      <c r="AL60" s="13">
        <f>CUSTOS!$D$28</f>
        <v>2300271.9527872917</v>
      </c>
      <c r="AM60" s="13">
        <f>CUSTOS!$D$29</f>
        <v>93040827.765487537</v>
      </c>
    </row>
    <row r="61" spans="1:42" ht="11.25" customHeight="1" x14ac:dyDescent="0.25">
      <c r="K61" s="16" t="s">
        <v>491</v>
      </c>
      <c r="L61" s="13">
        <f>CUSTOS!$E$2</f>
        <v>-128162.06640272774</v>
      </c>
      <c r="M61" s="13">
        <f>CUSTOS!$E$3</f>
        <v>-3549.1525413601648</v>
      </c>
      <c r="N61" s="13">
        <f>CUSTOS!$E$4</f>
        <v>0</v>
      </c>
      <c r="O61" s="13">
        <f>CUSTOS!$E$5</f>
        <v>0</v>
      </c>
      <c r="P61" s="13">
        <f>CUSTOS!$E$6</f>
        <v>0</v>
      </c>
      <c r="Q61" s="13">
        <f>CUSTOS!$E$7</f>
        <v>-245185.61438902293</v>
      </c>
      <c r="R61" s="13">
        <f>CUSTOS!$E$8</f>
        <v>-37884.487566450392</v>
      </c>
      <c r="S61" s="13">
        <f>CUSTOS!$E$9</f>
        <v>0</v>
      </c>
      <c r="T61" s="13">
        <f>CUSTOS!$E$10</f>
        <v>-414781.32089956122</v>
      </c>
      <c r="U61" s="13">
        <f>CUSTOS!$E$11</f>
        <v>977316.44974697579</v>
      </c>
      <c r="V61" s="13">
        <f>CUSTOS!$E$12</f>
        <v>136982.03985895967</v>
      </c>
      <c r="W61" s="13">
        <f>CUSTOS!$E$13</f>
        <v>0</v>
      </c>
      <c r="X61" s="13">
        <f>CUSTOS!$E$14</f>
        <v>0</v>
      </c>
      <c r="Y61" s="13">
        <f>CUSTOS!$E$15</f>
        <v>0</v>
      </c>
      <c r="Z61" s="13">
        <f>CUSTOS!$E$16</f>
        <v>0</v>
      </c>
      <c r="AA61" s="13">
        <f>CUSTOS!$E$17</f>
        <v>0</v>
      </c>
      <c r="AB61" s="13">
        <f>CUSTOS!$E$18</f>
        <v>1114298.4896059355</v>
      </c>
      <c r="AC61" s="13">
        <f>CUSTOS!$E$19</f>
        <v>-1208758.9664889562</v>
      </c>
      <c r="AD61" s="13">
        <f>CUSTOS!$E$20</f>
        <v>-1208758.9664889562</v>
      </c>
      <c r="AE61" s="13">
        <f>CUSTOS!$E$21</f>
        <v>0</v>
      </c>
      <c r="AF61" s="13">
        <f>CUSTOS!$E$22</f>
        <v>0</v>
      </c>
      <c r="AG61" s="13">
        <f>CUSTOS!$E$23</f>
        <v>0</v>
      </c>
      <c r="AH61" s="13">
        <f>CUSTOS!$E$24</f>
        <v>-36049.488240288418</v>
      </c>
      <c r="AI61" s="13">
        <f>CUSTOS!$E$25</f>
        <v>0</v>
      </c>
      <c r="AJ61" s="13">
        <f>CUSTOS!$E$26</f>
        <v>0</v>
      </c>
      <c r="AK61" s="13">
        <f>CUSTOS!$E$27</f>
        <v>0</v>
      </c>
      <c r="AL61" s="13">
        <f>CUSTOS!$E$28</f>
        <v>-36049.488240288418</v>
      </c>
      <c r="AM61" s="13">
        <f>CUSTOS!$E$29</f>
        <v>-545291.28602287045</v>
      </c>
    </row>
    <row r="62" spans="1:42" ht="11.25" customHeight="1" x14ac:dyDescent="0.25">
      <c r="K62" s="16" t="s">
        <v>492</v>
      </c>
      <c r="L62" s="13">
        <f>CUSTOS!$F$2</f>
        <v>0</v>
      </c>
      <c r="M62" s="13">
        <f>CUSTOS!$F$3</f>
        <v>0</v>
      </c>
      <c r="N62" s="13">
        <f>CUSTOS!$F$4</f>
        <v>0</v>
      </c>
      <c r="O62" s="13">
        <f>CUSTOS!$F$5</f>
        <v>0</v>
      </c>
      <c r="P62" s="13">
        <f>CUSTOS!$F$6</f>
        <v>0</v>
      </c>
      <c r="Q62" s="13">
        <f>CUSTOS!$F$7</f>
        <v>0</v>
      </c>
      <c r="R62" s="13">
        <f>CUSTOS!$F$8</f>
        <v>0</v>
      </c>
      <c r="S62" s="13">
        <f>CUSTOS!$F$9</f>
        <v>0</v>
      </c>
      <c r="T62" s="13">
        <f>CUSTOS!$F$10</f>
        <v>0</v>
      </c>
      <c r="U62" s="13">
        <f>CUSTOS!$F$11</f>
        <v>0</v>
      </c>
      <c r="V62" s="13">
        <f>CUSTOS!$F$12</f>
        <v>0</v>
      </c>
      <c r="W62" s="13">
        <f>CUSTOS!$F$13</f>
        <v>0</v>
      </c>
      <c r="X62" s="13">
        <f>CUSTOS!$F$14</f>
        <v>0</v>
      </c>
      <c r="Y62" s="13">
        <f>CUSTOS!$F$15</f>
        <v>0</v>
      </c>
      <c r="Z62" s="13">
        <f>CUSTOS!$F$16</f>
        <v>0</v>
      </c>
      <c r="AA62" s="13">
        <f>CUSTOS!$F$17</f>
        <v>0</v>
      </c>
      <c r="AB62" s="13">
        <f>CUSTOS!$F$18</f>
        <v>0</v>
      </c>
      <c r="AC62" s="13">
        <f>CUSTOS!$F$19</f>
        <v>0</v>
      </c>
      <c r="AD62" s="13">
        <f>CUSTOS!$F$20</f>
        <v>0</v>
      </c>
      <c r="AE62" s="13">
        <f>CUSTOS!$F$21</f>
        <v>0</v>
      </c>
      <c r="AF62" s="13">
        <f>CUSTOS!$F$22</f>
        <v>0</v>
      </c>
      <c r="AG62" s="13">
        <f>CUSTOS!$F$23</f>
        <v>0</v>
      </c>
      <c r="AH62" s="13">
        <f>CUSTOS!$F$24</f>
        <v>0</v>
      </c>
      <c r="AI62" s="13">
        <f>CUSTOS!$F$25</f>
        <v>0</v>
      </c>
      <c r="AJ62" s="13">
        <f>CUSTOS!$F$26</f>
        <v>0</v>
      </c>
      <c r="AK62" s="13">
        <f>CUSTOS!$F$27</f>
        <v>0</v>
      </c>
      <c r="AL62" s="13">
        <f>CUSTOS!$F$28</f>
        <v>0</v>
      </c>
      <c r="AM62" s="13">
        <f>CUSTOS!$F$29</f>
        <v>0</v>
      </c>
    </row>
    <row r="63" spans="1:42" ht="11.25" customHeight="1" x14ac:dyDescent="0.25">
      <c r="K63" s="16" t="s">
        <v>555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/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/>
      <c r="AC63" s="13">
        <v>0</v>
      </c>
      <c r="AD63" s="13"/>
      <c r="AE63" s="13">
        <v>0</v>
      </c>
      <c r="AF63" s="13">
        <v>0</v>
      </c>
      <c r="AG63" s="13"/>
      <c r="AH63" s="13">
        <v>0</v>
      </c>
      <c r="AI63" s="13">
        <v>0</v>
      </c>
      <c r="AJ63" s="13">
        <v>0</v>
      </c>
      <c r="AK63" s="13">
        <v>0</v>
      </c>
      <c r="AL63" s="13"/>
      <c r="AM63" s="13"/>
    </row>
    <row r="64" spans="1:42" ht="11.25" customHeight="1" x14ac:dyDescent="0.25">
      <c r="K64" s="16" t="s">
        <v>556</v>
      </c>
      <c r="L64" s="13">
        <f t="shared" ref="L64:S64" si="2">IF((L59+L57)&lt;&gt;0,(L60-L58-L63)/(L59+L57),0)</f>
        <v>32.362851452384838</v>
      </c>
      <c r="M64" s="13">
        <f t="shared" si="2"/>
        <v>1.0201152078660345</v>
      </c>
      <c r="N64" s="13">
        <f t="shared" ca="1" si="2"/>
        <v>0</v>
      </c>
      <c r="O64" s="13">
        <f t="shared" si="2"/>
        <v>0</v>
      </c>
      <c r="P64" s="13">
        <f t="shared" si="2"/>
        <v>0</v>
      </c>
      <c r="Q64" s="13">
        <f t="shared" si="2"/>
        <v>90.80233180680132</v>
      </c>
      <c r="R64" s="13">
        <f t="shared" si="2"/>
        <v>14.331562614370601</v>
      </c>
      <c r="S64" s="13">
        <f t="shared" si="2"/>
        <v>0</v>
      </c>
      <c r="T64" s="13"/>
      <c r="U64" s="13">
        <f>IF(U59&lt;&gt;0,(U60-U58-U57-U63)/U59,0)</f>
        <v>1.3897899691547808</v>
      </c>
      <c r="V64" s="13">
        <f>IF(V59&lt;&gt;0,(V60-V58-V57-V63)/V59,0)</f>
        <v>1.0432260359880134</v>
      </c>
      <c r="W64" s="13">
        <f>IF(W59&lt;&gt;0,(W60-W58-W57-W63)/W59,0)</f>
        <v>0</v>
      </c>
      <c r="X64" s="13">
        <f>IF(X59&lt;&gt;0,(X60-X58-X57-X63)/X59,0)</f>
        <v>0</v>
      </c>
      <c r="Y64" s="13">
        <f>IF(Y59&lt;&gt;0,(Y60-Y58-Y57-Y63)/Y59,0)</f>
        <v>0</v>
      </c>
      <c r="Z64" s="13"/>
      <c r="AA64" s="13"/>
      <c r="AB64" s="13"/>
      <c r="AC64" s="13">
        <f>IF(AC59&lt;&gt;0,(AC60-AC58-AC57-AC63)/AC59,0)</f>
        <v>0.86230640880556697</v>
      </c>
      <c r="AD64" s="13"/>
      <c r="AE64" s="13">
        <f>IF((AE59+AE57)&lt;&gt;0,(AE60-AE58-AE63)/(AE59+AE57),0)</f>
        <v>0</v>
      </c>
      <c r="AF64" s="13">
        <f>IF((AF59+AF57)&lt;&gt;0,(AF60-AF58-AF63)/(AF59+AF57),0)</f>
        <v>0</v>
      </c>
      <c r="AG64" s="13"/>
      <c r="AH64" s="13">
        <f>IF(AH59&lt;&gt;0,(AH60-AH58-AH57-AH63)/AH59,0)</f>
        <v>0.89527041997265255</v>
      </c>
      <c r="AI64" s="13">
        <f>IF(AI59&lt;&gt;0,(AI60-AI58-AI57-AI63)/AI59,0)</f>
        <v>0</v>
      </c>
      <c r="AJ64" s="13">
        <f ca="1">IF((AJ59+AJ57)&lt;&gt;0,(AJ60-AJ58-AJ63)/(AJ59+AJ57),0)</f>
        <v>0</v>
      </c>
      <c r="AK64" s="13">
        <f ca="1">IF((AK59+AK57)&lt;&gt;0,(AK60-AK58-AK63)/(AK59+AK57),0)</f>
        <v>0</v>
      </c>
      <c r="AL64" s="13"/>
      <c r="AM64" s="13"/>
    </row>
    <row r="66" spans="11:16" ht="11.25" customHeight="1" x14ac:dyDescent="0.25">
      <c r="K66" s="25" t="s">
        <v>560</v>
      </c>
      <c r="L66" s="25" t="s">
        <v>561</v>
      </c>
      <c r="M66" s="25" t="s">
        <v>562</v>
      </c>
      <c r="N66" s="25" t="s">
        <v>563</v>
      </c>
      <c r="O66" s="25" t="s">
        <v>564</v>
      </c>
      <c r="P66" s="25" t="s">
        <v>565</v>
      </c>
    </row>
    <row r="67" spans="11:16" ht="11.25" customHeight="1" x14ac:dyDescent="0.25">
      <c r="K67" s="24" t="s">
        <v>35</v>
      </c>
      <c r="L67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</f>
        <v>2367333.4225283749</v>
      </c>
      <c r="M67" s="24">
        <f>+'TUSD BE'!$I$7+'TUSD BE'!$I$8</f>
        <v>13359.382</v>
      </c>
      <c r="N67" s="24">
        <f ca="1">IF(AND($L$75&lt;&gt;0,M67&lt;&gt;0),(L67/$L$75*$AJ$60)/M67,0)</f>
        <v>0</v>
      </c>
      <c r="O67" s="24"/>
      <c r="P67" s="24"/>
    </row>
    <row r="68" spans="11:16" ht="11.25" customHeight="1" x14ac:dyDescent="0.25">
      <c r="K68" s="24" t="s">
        <v>39</v>
      </c>
      <c r="L68" s="24">
        <f ca="1">+(+'TUSD BE'!$L$9+'TUSD BE'!$M$9+'TUSD BE'!$N$9+'TUSD BE'!$O$9+'TUSD BE'!$P$9+'TUSD BE'!$Q$9+'TUSD BE'!$R$9+'TUSD BE'!$S$9+'TUSD BE'!$U$9+'TUSD BE'!$V$9+'TUSD BE'!$W$9+'TUSD BE'!$X$9+'TUSD BE'!$Y$9+'TUSD BE'!$Z$9+'TUSD BE'!$AA$9+'TUSD BE'!$AC$9+'TUSD BE'!$AH$9+'TUSD BE'!$AI$9)*'TUSD BE'!$I$9+(+'TUSD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BE'!$I$14+(+'TUSD BE'!$L$15+'TUSD BE'!$M$15+'TUSD BE'!$N$15+'TUSD BE'!$O$15+'TUSD BE'!$P$15+'TUSD BE'!$Q$15+'TUSD BE'!$R$15+'TUSD BE'!$S$15+'TUSD BE'!$U$15+'TUSD BE'!$V$15+'TUSD BE'!$W$15+'TUSD BE'!$X$15+'TUSD BE'!$Y$15+'TUSD BE'!$Z$15+'TUSD BE'!$AA$15+'TUSD BE'!$AC$15+'TUSD BE'!$AH$15+'TUSD BE'!$AI$15)*'TUSD BE'!$I$15+(+'TUSD BE'!$L$16+'TUSD BE'!$M$16+'TUSD BE'!$N$16+'TUSD BE'!$O$16+'TUSD BE'!$P$16+'TUSD BE'!$Q$16+'TUSD BE'!$R$16+'TUSD BE'!$S$16+'TUSD BE'!$U$16+'TUSD BE'!$V$16+'TUSD BE'!$W$16+'TUSD BE'!$X$16+'TUSD BE'!$Y$16+'TUSD BE'!$Z$16+'TUSD BE'!$AA$16+'TUSD BE'!$AC$16+'TUSD BE'!$AH$16+'TUSD BE'!$AI$16)*'TUSD BE'!$I$16+(+'TUSD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</f>
        <v>54992696.237162858</v>
      </c>
      <c r="M68" s="24">
        <f>+'TUSD BE'!$I$11+'TUSD BE'!$I$12+'TUSD BE'!$I$15+'TUSD BE'!$I$16+'TUSD BE'!$I$17+'TUSD BE'!$I$18</f>
        <v>215464.09899999999</v>
      </c>
      <c r="N68" s="24">
        <f ca="1">IF(AND($L$75&lt;&gt;0,M68&lt;&gt;0),(L68/$L$75*$AJ$60)/M68,0)</f>
        <v>0</v>
      </c>
      <c r="O68" s="24"/>
      <c r="P68" s="24"/>
    </row>
    <row r="69" spans="11:16" ht="11.25" customHeight="1" x14ac:dyDescent="0.25">
      <c r="K69" s="24" t="s">
        <v>83</v>
      </c>
      <c r="L69" s="24">
        <f ca="1">+$L$70+$L$71+$L$72+$L$73+$L$74</f>
        <v>35680798.105796136</v>
      </c>
      <c r="M69" s="24">
        <f>+$M$70+$M$71+$M$72+$M$73+$M$74</f>
        <v>107969.992</v>
      </c>
      <c r="N69" s="24">
        <f ca="1">IF(AND($L$75&lt;&gt;0,M69&lt;&gt;0),(L69/$L$75*$AJ$60)/M69,0)</f>
        <v>0</v>
      </c>
      <c r="O69" s="24"/>
      <c r="P69" s="24"/>
    </row>
    <row r="70" spans="11:16" ht="11.25" customHeight="1" x14ac:dyDescent="0.25">
      <c r="K70" s="24" t="s">
        <v>83</v>
      </c>
      <c r="L70" s="24"/>
      <c r="M70" s="24"/>
      <c r="N70" s="24">
        <f ca="1">IF(AND($L$75&lt;&gt;0,M70&lt;&gt;0),(L70/$L$75*$AJ$60)/M70,0)</f>
        <v>0</v>
      </c>
      <c r="O70" s="24"/>
      <c r="P70" s="24"/>
    </row>
    <row r="71" spans="11:16" ht="11.25" customHeight="1" x14ac:dyDescent="0.25">
      <c r="K71" s="24" t="s">
        <v>22</v>
      </c>
      <c r="L71" s="24">
        <f ca="1">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</f>
        <v>20648756.101488315</v>
      </c>
      <c r="M71" s="24">
        <f>+'TUSD BE'!$I$21+'TUSD BE'!$I$22+'TUSD BE'!$I$23+'TUSD BE'!$I$24+'TUSD BE'!$I$25+'TUSD BE'!$I$26+'TUSD BE'!$I$27+'TUSD BE'!$I$28+'TUSD BE'!$I$29+'TUSD BE'!$I$30+'TUSD BE'!$I$31+'TUSD BE'!$I$32+'TUSD BE'!$I$33</f>
        <v>59995.794000000002</v>
      </c>
      <c r="N71" s="24"/>
      <c r="O71" s="24"/>
      <c r="P71" s="24"/>
    </row>
    <row r="72" spans="11:16" ht="11.25" customHeight="1" x14ac:dyDescent="0.25">
      <c r="K72" s="24" t="s">
        <v>42</v>
      </c>
      <c r="L72" s="24">
        <f ca="1">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</f>
        <v>5557335.7297305986</v>
      </c>
      <c r="M72" s="24">
        <f>+'TUSD BE'!$I$34+'TUSD BE'!$I$35+'TUSD BE'!$I$36+'TUSD BE'!$I$37+'TUSD BE'!$I$38+'TUSD BE'!$I$39+'TUSD BE'!$I$40+'TUSD BE'!$I$41+'TUSD BE'!$I$42+'TUSD BE'!$I$43+'TUSD BE'!$I$44+'TUSD BE'!$I$45+'TUSD BE'!$I$46+'TUSD BE'!$I$47+'TUSD BE'!$I$48</f>
        <v>15992.407000000001</v>
      </c>
      <c r="N72" s="24"/>
      <c r="O72" s="24"/>
      <c r="P72" s="24"/>
    </row>
    <row r="73" spans="11:16" ht="11.25" customHeight="1" x14ac:dyDescent="0.25">
      <c r="K73" s="24" t="s">
        <v>33</v>
      </c>
      <c r="L73" s="24">
        <f ca="1">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BE'!$I$51+(+'TUSD BE'!$L$52+'TUSD BE'!$M$52+'TUSD BE'!$N$52+'TUSD BE'!$O$52+'TUSD BE'!$P$52+'TUSD BE'!$Q$52+'TUSD BE'!$R$52+'TUSD BE'!$S$52+'TUSD BE'!$U$52+'TUSD BE'!$V$52+'TUSD BE'!$W$52+'TUSD BE'!$X$52+'TUSD BE'!$Y$52+'TUSD BE'!$Z$52+'TUSD BE'!$AA$52+'TUSD BE'!$AC$52+'TUSD BE'!$AH$52+'TUSD BE'!$AI$52)*'TUSD BE'!$I$52+(+'TUSD BE'!$L$53+'TUSD BE'!$M$53+'TUSD BE'!$N$53+'TUSD BE'!$O$53+'TUSD BE'!$P$53+'TUSD BE'!$Q$53+'TUSD BE'!$R$53+'TUSD BE'!$S$53+'TUSD BE'!$U$53+'TUSD BE'!$V$53+'TUSD BE'!$W$53+'TUSD BE'!$X$53+'TUSD BE'!$Y$53+'TUSD BE'!$Z$53+'TUSD BE'!$AA$53+'TUSD BE'!$AC$53+'TUSD BE'!$AH$53+'TUSD BE'!$AI$53)*'TUSD BE'!$I$53</f>
        <v>7471588.3112808391</v>
      </c>
      <c r="M73" s="24">
        <f>+'TUSD BE'!$I$49+'TUSD BE'!$I$50+'TUSD BE'!$I$51+'TUSD BE'!$I$52+'TUSD BE'!$I$53</f>
        <v>21501.073</v>
      </c>
      <c r="N73" s="24"/>
      <c r="O73" s="24"/>
      <c r="P73" s="24"/>
    </row>
    <row r="74" spans="11:16" ht="11.25" customHeight="1" x14ac:dyDescent="0.25">
      <c r="K74" s="24" t="s">
        <v>45</v>
      </c>
      <c r="L74" s="24">
        <f ca="1">+(+'TUSD BE'!$L$54+'TUSD BE'!$M$54+'TUSD BE'!$N$54+'TUSD BE'!$O$54+'TUSD BE'!$P$54+'TUSD BE'!$Q$54+'TUSD BE'!$R$54+'TUSD BE'!$S$54+'TUSD BE'!$U$54+'TUSD BE'!$V$54+'TUSD BE'!$W$54+'TUSD BE'!$X$54+'TUSD BE'!$Y$54+'TUSD BE'!$Z$54+'TUSD BE'!$AA$54+'TUSD BE'!$AC$54+'TUSD BE'!$AH$54+'TUSD BE'!$AI$54)*'TUSD BE'!$I$54+(+'TUSD BE'!$L$55+'TUSD BE'!$M$55+'TUSD BE'!$N$55+'TUSD BE'!$O$55+'TUSD BE'!$P$55+'TUSD BE'!$Q$55+'TUSD BE'!$R$55+'TUSD BE'!$S$55+'TUSD BE'!$U$55+'TUSD BE'!$V$55+'TUSD BE'!$W$55+'TUSD BE'!$X$55+'TUSD BE'!$Y$55+'TUSD BE'!$Z$55+'TUSD BE'!$AA$55+'TUSD BE'!$AC$55+'TUSD BE'!$AH$55+'TUSD BE'!$AI$55)*'TUSD BE'!$I$55</f>
        <v>2003117.9632963846</v>
      </c>
      <c r="M74" s="24">
        <f>+'TUSD BE'!$I$54+'TUSD BE'!$I$55</f>
        <v>10480.718000000001</v>
      </c>
      <c r="N74" s="24"/>
      <c r="O74" s="24"/>
      <c r="P74" s="24"/>
    </row>
    <row r="75" spans="11:16" ht="11.25" customHeight="1" x14ac:dyDescent="0.25">
      <c r="K75" s="24"/>
      <c r="L75" s="24">
        <f ca="1">SUM($L$67:$L$74,-$L$69)</f>
        <v>93040827.765487403</v>
      </c>
      <c r="M75" s="24">
        <f>SUM($M$67:$M$74,-$M$69)</f>
        <v>336793.473</v>
      </c>
      <c r="N75" s="24"/>
      <c r="O75" s="24"/>
      <c r="P75" s="24"/>
    </row>
  </sheetData>
  <mergeCells count="79">
    <mergeCell ref="F5:F7"/>
    <mergeCell ref="E14:E16"/>
    <mergeCell ref="A5:A8"/>
    <mergeCell ref="B5:B8"/>
    <mergeCell ref="C5:C8"/>
    <mergeCell ref="D5:D8"/>
    <mergeCell ref="E5:E7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F21:F23"/>
    <mergeCell ref="B24:B28"/>
    <mergeCell ref="C24:C28"/>
    <mergeCell ref="B29:B33"/>
    <mergeCell ref="C29:C33"/>
    <mergeCell ref="A21:A33"/>
    <mergeCell ref="B21:B23"/>
    <mergeCell ref="C21:C23"/>
    <mergeCell ref="D21:D23"/>
    <mergeCell ref="E21:E23"/>
    <mergeCell ref="E42:E44"/>
    <mergeCell ref="F42:F44"/>
    <mergeCell ref="A34:A48"/>
    <mergeCell ref="B34:B36"/>
    <mergeCell ref="C34:C36"/>
    <mergeCell ref="D34:D36"/>
    <mergeCell ref="E34:E36"/>
    <mergeCell ref="F34:F36"/>
    <mergeCell ref="B38:B40"/>
    <mergeCell ref="C38:C40"/>
    <mergeCell ref="D38:D40"/>
    <mergeCell ref="E38:E40"/>
    <mergeCell ref="F1:F4"/>
    <mergeCell ref="E49:E51"/>
    <mergeCell ref="F49:F51"/>
    <mergeCell ref="A54:A55"/>
    <mergeCell ref="B54:B55"/>
    <mergeCell ref="C54:C55"/>
    <mergeCell ref="B46:B48"/>
    <mergeCell ref="C46:C48"/>
    <mergeCell ref="A49:A53"/>
    <mergeCell ref="B49:B51"/>
    <mergeCell ref="C49:C51"/>
    <mergeCell ref="D49:D51"/>
    <mergeCell ref="F38:F40"/>
    <mergeCell ref="B42:B44"/>
    <mergeCell ref="C42:C44"/>
    <mergeCell ref="D42:D44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F40C-E97B-4D46-8099-4AE9F8506F94}">
  <dimension ref="A1:AP62"/>
  <sheetViews>
    <sheetView showGridLines="0" topLeftCell="AB32" workbookViewId="0">
      <selection activeCell="AM57" sqref="AM57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2" width="10" style="9" bestFit="1" customWidth="1"/>
    <col min="23" max="24" width="9.85546875" style="9" bestFit="1" customWidth="1"/>
    <col min="25" max="25" width="5.1406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557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5"/>
      <c r="AP4" s="93"/>
    </row>
    <row r="5" spans="1:42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>
        <f>'TR TUSD'!$L$5*'TR TUSD'!$L$64</f>
        <v>0</v>
      </c>
      <c r="M5" s="13">
        <f>'TR TUSD'!$M$5*'TR TUSD'!$M$64</f>
        <v>0</v>
      </c>
      <c r="N5" s="13">
        <f ca="1">'TR TUSD'!$N$5*'TR TUSD'!$N$64</f>
        <v>0</v>
      </c>
      <c r="O5" s="13">
        <f>'TR TUSD'!$O$5*'TR TUSD'!$O$64</f>
        <v>0</v>
      </c>
      <c r="P5" s="13">
        <f>'TR TUSD'!$P$5*'TR TUSD'!$P$64</f>
        <v>0</v>
      </c>
      <c r="Q5" s="13">
        <f>'TR TUSD'!$Q$5*'TR TUSD'!$Q$64</f>
        <v>0</v>
      </c>
      <c r="R5" s="13">
        <f>'TR TUSD'!$R$5*'TR TUSD'!$R$64</f>
        <v>0</v>
      </c>
      <c r="S5" s="13">
        <f>'TR TUSD'!$S$5*'TR TUSD'!$S$64</f>
        <v>0</v>
      </c>
      <c r="T5" s="13">
        <f ca="1">SUM($L$5:$S$5)</f>
        <v>0</v>
      </c>
      <c r="U5" s="13">
        <f>'TR TUSD'!$U$5*'TR TUSD'!$U$64</f>
        <v>6.4498762678504225</v>
      </c>
      <c r="V5" s="13">
        <f>'TR TUSD'!$V$5*'TR TUSD'!$V$64</f>
        <v>0.85888799542893146</v>
      </c>
      <c r="W5" s="13">
        <f>'TR TUSD'!$W$5*'TR TUSD'!$W$64</f>
        <v>0</v>
      </c>
      <c r="X5" s="13">
        <f>'TR TUSD'!$X$5*'TR TUSD'!$X$64</f>
        <v>0</v>
      </c>
      <c r="Y5" s="13">
        <f>'TR TUSD'!$Y$5*'TR TUSD'!$Y$64</f>
        <v>0</v>
      </c>
      <c r="Z5" s="13">
        <f>'TR TUSD'!$Z$5</f>
        <v>0</v>
      </c>
      <c r="AA5" s="13">
        <f>'TR TUSD'!$AA$5</f>
        <v>0</v>
      </c>
      <c r="AB5" s="13">
        <f>SUM($U$5:$AA$5)</f>
        <v>7.3087642632793539</v>
      </c>
      <c r="AC5" s="13">
        <f>'TR TUSD'!$AC$5*'TR TUSD'!$AC$64</f>
        <v>19.826148951257597</v>
      </c>
      <c r="AD5" s="13">
        <f>SUM($AC$5:$AC$5)</f>
        <v>19.826148951257597</v>
      </c>
      <c r="AE5" s="13">
        <v>0</v>
      </c>
      <c r="AF5" s="13">
        <v>0</v>
      </c>
      <c r="AG5" s="13">
        <f>SUM($AE$5:$AF$5)</f>
        <v>0</v>
      </c>
      <c r="AH5" s="13">
        <f>'TR TUSD'!$AH$5*'TR TUSD'!$AH$64</f>
        <v>0</v>
      </c>
      <c r="AI5" s="13">
        <f>'TR TUSD'!$AI$5*'TR TUSD'!$AI$64</f>
        <v>0</v>
      </c>
      <c r="AJ5" s="13">
        <f ca="1">'TR TUSD'!$AJ$5*'TR TUSD'!$AJ$64</f>
        <v>0</v>
      </c>
      <c r="AK5" s="13">
        <f ca="1">'TR TUSD'!$AK$5*'TR TUSD'!$AK$64</f>
        <v>0</v>
      </c>
      <c r="AL5" s="13">
        <f ca="1">SUM($AH$5:$AK$5)</f>
        <v>0</v>
      </c>
      <c r="AM5" s="13">
        <f ca="1">SUMIF($L$4:$AL$4,"SUBTOTAL",$L$5:$AL$5)</f>
        <v>27.134913214536951</v>
      </c>
      <c r="AP5" s="1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>
        <f>'TR TUSD'!$L$6*'TR TUSD'!$L$64</f>
        <v>0</v>
      </c>
      <c r="M6" s="13">
        <f>'TR TUSD'!$M$6*'TR TUSD'!$M$64</f>
        <v>0</v>
      </c>
      <c r="N6" s="13">
        <f ca="1">'TR TUSD'!$N$6*'TR TUSD'!$N$64</f>
        <v>0</v>
      </c>
      <c r="O6" s="13">
        <f>'TR TUSD'!$O$6*'TR TUSD'!$O$64</f>
        <v>0</v>
      </c>
      <c r="P6" s="13">
        <f>'TR TUSD'!$P$6*'TR TUSD'!$P$64</f>
        <v>0</v>
      </c>
      <c r="Q6" s="13">
        <f>'TR TUSD'!$Q$6*'TR TUSD'!$Q$64</f>
        <v>0</v>
      </c>
      <c r="R6" s="13">
        <f>'TR TUSD'!$R$6*'TR TUSD'!$R$64</f>
        <v>0</v>
      </c>
      <c r="S6" s="13">
        <f>'TR TUSD'!$S$6*'TR TUSD'!$S$64</f>
        <v>0</v>
      </c>
      <c r="T6" s="13">
        <f ca="1">SUM($L$6:$S$6)</f>
        <v>0</v>
      </c>
      <c r="U6" s="13">
        <f>'TR TUSD'!$U$6*'TR TUSD'!$U$64</f>
        <v>5.9114716337998603</v>
      </c>
      <c r="V6" s="13">
        <f>'TR TUSD'!$V$6*'TR TUSD'!$V$64</f>
        <v>0.77532558994629153</v>
      </c>
      <c r="W6" s="13">
        <f>'TR TUSD'!$W$6*'TR TUSD'!$W$64</f>
        <v>0</v>
      </c>
      <c r="X6" s="13">
        <f>'TR TUSD'!$X$6*'TR TUSD'!$X$64</f>
        <v>0</v>
      </c>
      <c r="Y6" s="13">
        <f>'TR TUSD'!$Y$6*'TR TUSD'!$Y$64</f>
        <v>0</v>
      </c>
      <c r="Z6" s="13">
        <f>'TR TUSD'!$Z$6</f>
        <v>0</v>
      </c>
      <c r="AA6" s="13">
        <f>'TR TUSD'!$AA$6</f>
        <v>0</v>
      </c>
      <c r="AB6" s="13">
        <f>SUM($U$6:$AA$6)</f>
        <v>6.6867972237461517</v>
      </c>
      <c r="AC6" s="13">
        <f>'TR TUSD'!$AC$6*'TR TUSD'!$AC$64</f>
        <v>4.2427199926051511</v>
      </c>
      <c r="AD6" s="13">
        <f>SUM($AC$6:$AC$6)</f>
        <v>4.2427199926051511</v>
      </c>
      <c r="AE6" s="13">
        <v>0</v>
      </c>
      <c r="AF6" s="13">
        <v>0</v>
      </c>
      <c r="AG6" s="13">
        <f>SUM($AE$6:$AF$6)</f>
        <v>0</v>
      </c>
      <c r="AH6" s="13">
        <f>'TR TUSD'!$AH$6*'TR TUSD'!$AH$64</f>
        <v>0</v>
      </c>
      <c r="AI6" s="13">
        <f>'TR TUSD'!$AI$6*'TR TUSD'!$AI$64</f>
        <v>0</v>
      </c>
      <c r="AJ6" s="13">
        <f ca="1">'TR TUSD'!$AJ$6*'TR TUSD'!$AJ$64</f>
        <v>0</v>
      </c>
      <c r="AK6" s="13">
        <f ca="1">'TR TUSD'!$AK$6*'TR TUSD'!$AK$64</f>
        <v>0</v>
      </c>
      <c r="AL6" s="13">
        <f ca="1">SUM($AH$6:$AK$6)</f>
        <v>0</v>
      </c>
      <c r="AM6" s="13">
        <f ca="1">SUMIF($L$4:$AL$4,"SUBTOTAL",$L$6:$AL$6)</f>
        <v>10.929517216351304</v>
      </c>
      <c r="AP6" s="1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>
        <f>'TR TUSD'!$L$7*'TR TUSD'!$L$64</f>
        <v>20.064967900478599</v>
      </c>
      <c r="M7" s="13">
        <f>'TR TUSD'!$M$7*'TR TUSD'!$M$64</f>
        <v>0.23377291908420553</v>
      </c>
      <c r="N7" s="13">
        <f ca="1">'TR TUSD'!$N$7*'TR TUSD'!$N$64</f>
        <v>0</v>
      </c>
      <c r="O7" s="13">
        <f>'TR TUSD'!$O$7*'TR TUSD'!$O$64</f>
        <v>0</v>
      </c>
      <c r="P7" s="13">
        <f>'TR TUSD'!$P$7*'TR TUSD'!$P$64</f>
        <v>0</v>
      </c>
      <c r="Q7" s="13">
        <f>'TR TUSD'!$Q$7*'TR TUSD'!$Q$64</f>
        <v>56.297445720216821</v>
      </c>
      <c r="R7" s="13">
        <f>'TR TUSD'!$R$7*'TR TUSD'!$R$64</f>
        <v>14.331562614370601</v>
      </c>
      <c r="S7" s="13">
        <f>'TR TUSD'!$S$7*'TR TUSD'!$S$64</f>
        <v>0</v>
      </c>
      <c r="T7" s="13">
        <f ca="1">SUM($L$7:$S$7)</f>
        <v>90.92774915415022</v>
      </c>
      <c r="U7" s="13">
        <f>'TR TUSD'!$U$7*'TR TUSD'!$U$64</f>
        <v>0</v>
      </c>
      <c r="V7" s="13">
        <f>'TR TUSD'!$V$7*'TR TUSD'!$V$64</f>
        <v>0</v>
      </c>
      <c r="W7" s="13">
        <f>'TR TUSD'!$W$7*'TR TUSD'!$W$64</f>
        <v>0</v>
      </c>
      <c r="X7" s="13">
        <f>'TR TUSD'!$X$7*'TR TUSD'!$X$64</f>
        <v>0</v>
      </c>
      <c r="Y7" s="13">
        <f>'TR TUSD'!$Y$7*'TR TUSD'!$Y$64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TUSD'!$AC$64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TUSD'!$AH$64</f>
        <v>2.6566254442268491</v>
      </c>
      <c r="AI7" s="13">
        <f>'TR TUSD'!$AI$7*'TR TUSD'!$AI$64</f>
        <v>0</v>
      </c>
      <c r="AJ7" s="13">
        <f ca="1">'TR TUSD'!$AJ$7*'TR TUSD'!$AJ$64</f>
        <v>0</v>
      </c>
      <c r="AK7" s="13">
        <f ca="1">'TR TUSD'!$AK$7*'TR TUSD'!$AK$64</f>
        <v>0</v>
      </c>
      <c r="AL7" s="13">
        <f ca="1">SUM($AH$7:$AK$7)</f>
        <v>2.6566254442268491</v>
      </c>
      <c r="AM7" s="13">
        <f ca="1">SUMIF($L$4:$AL$4,"SUBTOTAL",$L$7:$AL$7)</f>
        <v>93.584374598377067</v>
      </c>
      <c r="AP7" s="13">
        <v>1</v>
      </c>
    </row>
    <row r="8" spans="1:42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>
        <f>'TR TUSD'!$L$8*'TR TUSD'!$L$64</f>
        <v>0</v>
      </c>
      <c r="M8" s="13">
        <f>'TR TUSD'!$M$8*'TR TUSD'!$M$64</f>
        <v>0.23377291908420553</v>
      </c>
      <c r="N8" s="13">
        <f ca="1">'TR TUSD'!$N$8*'TR TUSD'!$N$64</f>
        <v>0</v>
      </c>
      <c r="O8" s="13">
        <f>'TR TUSD'!$O$8*'TR TUSD'!$O$64</f>
        <v>0</v>
      </c>
      <c r="P8" s="13">
        <f>'TR TUSD'!$P$8*'TR TUSD'!$P$64</f>
        <v>0</v>
      </c>
      <c r="Q8" s="13">
        <f>'TR TUSD'!$Q$8*'TR TUSD'!$Q$64</f>
        <v>0</v>
      </c>
      <c r="R8" s="13">
        <f>'TR TUSD'!$R$8*'TR TUSD'!$R$64</f>
        <v>0</v>
      </c>
      <c r="S8" s="13">
        <f>'TR TUSD'!$S$8*'TR TUSD'!$S$64</f>
        <v>0</v>
      </c>
      <c r="T8" s="13">
        <f ca="1">SUM($L$8:$S$8)</f>
        <v>0.23377291908420553</v>
      </c>
      <c r="U8" s="13">
        <f>'TR TUSD'!$U$8*'TR TUSD'!$U$64</f>
        <v>0</v>
      </c>
      <c r="V8" s="13">
        <f>'TR TUSD'!$V$8*'TR TUSD'!$V$64</f>
        <v>0</v>
      </c>
      <c r="W8" s="13">
        <f>'TR TUSD'!$W$8*'TR TUSD'!$W$64</f>
        <v>0</v>
      </c>
      <c r="X8" s="13">
        <f>'TR TUSD'!$X$8*'TR TUSD'!$X$64</f>
        <v>0</v>
      </c>
      <c r="Y8" s="13">
        <f>'TR TUSD'!$Y$8*'TR TUSD'!$Y$64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TUSD'!$AC$64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TUSD'!$AH$64</f>
        <v>2.6566254442268491</v>
      </c>
      <c r="AI8" s="13">
        <f>'TR TUSD'!$AI$8*'TR TUSD'!$AI$64</f>
        <v>0</v>
      </c>
      <c r="AJ8" s="13">
        <f ca="1">'TR TUSD'!$AJ$8*'TR TUSD'!$AJ$64</f>
        <v>0</v>
      </c>
      <c r="AK8" s="13">
        <f ca="1">'TR TUSD'!$AK$8*'TR TUSD'!$AK$64</f>
        <v>0</v>
      </c>
      <c r="AL8" s="13">
        <f ca="1">SUM($AH$8:$AK$8)</f>
        <v>2.6566254442268491</v>
      </c>
      <c r="AM8" s="13">
        <f ca="1">SUMIF($L$4:$AL$4,"SUBTOTAL",$L$8:$AL$8)</f>
        <v>2.8903983633110548</v>
      </c>
      <c r="AP8" s="13">
        <v>1</v>
      </c>
    </row>
    <row r="9" spans="1:42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>
        <f>'TR TUSD'!$L$9*'TR TUSD'!$L$64</f>
        <v>0</v>
      </c>
      <c r="M9" s="13">
        <f>'TR TUSD'!$M$9*'TR TUSD'!$M$64</f>
        <v>0</v>
      </c>
      <c r="N9" s="13">
        <f ca="1">'TR TUSD'!$N$9*'TR TUSD'!$N$64</f>
        <v>0</v>
      </c>
      <c r="O9" s="13">
        <f>'TR TUSD'!$O$9*'TR TUSD'!$O$64</f>
        <v>0</v>
      </c>
      <c r="P9" s="13">
        <f>'TR TUSD'!$P$9*'TR TUSD'!$P$64</f>
        <v>0</v>
      </c>
      <c r="Q9" s="13">
        <f>'TR TUSD'!$Q$9*'TR TUSD'!$Q$64</f>
        <v>0</v>
      </c>
      <c r="R9" s="13">
        <f>'TR TUSD'!$R$9*'TR TUSD'!$R$64</f>
        <v>0</v>
      </c>
      <c r="S9" s="13">
        <f>'TR TUSD'!$S$9*'TR TUSD'!$S$64</f>
        <v>0</v>
      </c>
      <c r="T9" s="13">
        <f ca="1">SUM($L$9:$S$9)</f>
        <v>0</v>
      </c>
      <c r="U9" s="13">
        <f>'TR TUSD'!$U$9*'TR TUSD'!$U$64</f>
        <v>6.3851120552878093</v>
      </c>
      <c r="V9" s="13">
        <f>'TR TUSD'!$V$9*'TR TUSD'!$V$64</f>
        <v>0.90093000467924844</v>
      </c>
      <c r="W9" s="13">
        <f>'TR TUSD'!$W$9*'TR TUSD'!$W$64</f>
        <v>0</v>
      </c>
      <c r="X9" s="13">
        <f>'TR TUSD'!$X$9*'TR TUSD'!$X$64</f>
        <v>0</v>
      </c>
      <c r="Y9" s="13">
        <f>'TR TUSD'!$Y$9*'TR TUSD'!$Y$64</f>
        <v>0</v>
      </c>
      <c r="Z9" s="13">
        <f>'TR TUSD'!$Z$9</f>
        <v>0</v>
      </c>
      <c r="AA9" s="13">
        <f>'TR TUSD'!$AA$9</f>
        <v>0</v>
      </c>
      <c r="AB9" s="13">
        <f>SUM($U$9:$AA$9)</f>
        <v>7.2860420599670581</v>
      </c>
      <c r="AC9" s="13">
        <f>'TR TUSD'!$AC$9*'TR TUSD'!$AC$64</f>
        <v>40.298682786555844</v>
      </c>
      <c r="AD9" s="13">
        <f>SUM($AC$9:$AC$9)</f>
        <v>40.298682786555844</v>
      </c>
      <c r="AE9" s="13">
        <v>0</v>
      </c>
      <c r="AF9" s="13">
        <v>0</v>
      </c>
      <c r="AG9" s="13">
        <f>SUM($AE$9:$AF$9)</f>
        <v>0</v>
      </c>
      <c r="AH9" s="13">
        <f>'TR TUSD'!$AH$9*'TR TUSD'!$AH$64</f>
        <v>0</v>
      </c>
      <c r="AI9" s="13">
        <f>'TR TUSD'!$AI$9*'TR TUSD'!$AI$64</f>
        <v>0</v>
      </c>
      <c r="AJ9" s="13">
        <f ca="1">'TR TUSD'!$AJ$9*'TR TUSD'!$AJ$64</f>
        <v>0</v>
      </c>
      <c r="AK9" s="13">
        <f ca="1">'TR TUSD'!$AK$9*'TR TUSD'!$AK$64</f>
        <v>0</v>
      </c>
      <c r="AL9" s="13">
        <f ca="1">SUM($AH$9:$AK$9)</f>
        <v>0</v>
      </c>
      <c r="AM9" s="13">
        <f ca="1">SUMIF($L$4:$AL$4,"SUBTOTAL",$L$9:$AL$9)</f>
        <v>47.584724846522903</v>
      </c>
      <c r="AP9" s="13">
        <v>1</v>
      </c>
    </row>
    <row r="10" spans="1:42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>
        <f>'TR TUSD'!$L$10*'TR TUSD'!$L$64</f>
        <v>0</v>
      </c>
      <c r="M10" s="13">
        <f>'TR TUSD'!$M$10*'TR TUSD'!$M$64</f>
        <v>0</v>
      </c>
      <c r="N10" s="13">
        <f ca="1">'TR TUSD'!$N$10*'TR TUSD'!$N$64</f>
        <v>0</v>
      </c>
      <c r="O10" s="13">
        <f>'TR TUSD'!$O$10*'TR TUSD'!$O$64</f>
        <v>0</v>
      </c>
      <c r="P10" s="13">
        <f>'TR TUSD'!$P$10*'TR TUSD'!$P$64</f>
        <v>0</v>
      </c>
      <c r="Q10" s="13">
        <f>'TR TUSD'!$Q$10*'TR TUSD'!$Q$64</f>
        <v>0</v>
      </c>
      <c r="R10" s="13">
        <f>'TR TUSD'!$R$10*'TR TUSD'!$R$64</f>
        <v>0</v>
      </c>
      <c r="S10" s="13">
        <f>'TR TUSD'!$S$10*'TR TUSD'!$S$64</f>
        <v>0</v>
      </c>
      <c r="T10" s="13">
        <f ca="1">SUM($L$10:$S$10)</f>
        <v>0</v>
      </c>
      <c r="U10" s="13">
        <f>'TR TUSD'!$U$10*'TR TUSD'!$U$64</f>
        <v>5.9223119955592676</v>
      </c>
      <c r="V10" s="13">
        <f>'TR TUSD'!$V$10*'TR TUSD'!$V$64</f>
        <v>0.82926037600687197</v>
      </c>
      <c r="W10" s="13">
        <f>'TR TUSD'!$W$10*'TR TUSD'!$W$64</f>
        <v>0</v>
      </c>
      <c r="X10" s="13">
        <f>'TR TUSD'!$X$10*'TR TUSD'!$X$64</f>
        <v>0</v>
      </c>
      <c r="Y10" s="13">
        <f>'TR TUSD'!$Y$10*'TR TUSD'!$Y$64</f>
        <v>0</v>
      </c>
      <c r="Z10" s="13">
        <f>'TR TUSD'!$Z$10</f>
        <v>0</v>
      </c>
      <c r="AA10" s="13">
        <f>'TR TUSD'!$AA$10</f>
        <v>0</v>
      </c>
      <c r="AB10" s="13">
        <f>SUM($U$10:$AA$10)</f>
        <v>6.7515723715661391</v>
      </c>
      <c r="AC10" s="13">
        <f>'TR TUSD'!$AC$10*'TR TUSD'!$AC$64</f>
        <v>11.260773161951018</v>
      </c>
      <c r="AD10" s="13">
        <f>SUM($AC$10:$AC$10)</f>
        <v>11.260773161951018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TUSD'!$AH$64</f>
        <v>0</v>
      </c>
      <c r="AI10" s="13">
        <f>'TR TUSD'!$AI$10*'TR TUSD'!$AI$64</f>
        <v>0</v>
      </c>
      <c r="AJ10" s="13">
        <f ca="1">'TR TUSD'!$AJ$10*'TR TUSD'!$AJ$64</f>
        <v>0</v>
      </c>
      <c r="AK10" s="13">
        <f ca="1">'TR TUSD'!$AK$10*'TR TUSD'!$AK$64</f>
        <v>0</v>
      </c>
      <c r="AL10" s="13">
        <f ca="1">SUM($AH$10:$AK$10)</f>
        <v>0</v>
      </c>
      <c r="AM10" s="13">
        <f ca="1">SUMIF($L$4:$AL$4,"SUBTOTAL",$L$10:$AL$10)</f>
        <v>18.012345533517156</v>
      </c>
      <c r="AP10" s="1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>
        <f>'TR TUSD'!$L$11*'TR TUSD'!$L$64</f>
        <v>27.184795220003263</v>
      </c>
      <c r="M11" s="13">
        <f>'TR TUSD'!$M$11*'TR TUSD'!$M$64</f>
        <v>0.43758696756897836</v>
      </c>
      <c r="N11" s="13">
        <f ca="1">'TR TUSD'!$N$11*'TR TUSD'!$N$64</f>
        <v>0</v>
      </c>
      <c r="O11" s="13">
        <f>'TR TUSD'!$O$11*'TR TUSD'!$O$64</f>
        <v>0</v>
      </c>
      <c r="P11" s="13">
        <f>'TR TUSD'!$P$11*'TR TUSD'!$P$64</f>
        <v>0</v>
      </c>
      <c r="Q11" s="13">
        <f>'TR TUSD'!$Q$11*'TR TUSD'!$Q$64</f>
        <v>76.2739587177131</v>
      </c>
      <c r="R11" s="13">
        <f>'TR TUSD'!$R$11*'TR TUSD'!$R$64</f>
        <v>14.331562614370601</v>
      </c>
      <c r="S11" s="13">
        <f>'TR TUSD'!$S$11*'TR TUSD'!$S$64</f>
        <v>0</v>
      </c>
      <c r="T11" s="13">
        <f ca="1">SUM($L$11:$S$11)</f>
        <v>118.22790351965594</v>
      </c>
      <c r="U11" s="13">
        <f>'TR TUSD'!$U$11*'TR TUSD'!$U$64</f>
        <v>0</v>
      </c>
      <c r="V11" s="13">
        <f>'TR TUSD'!$V$11*'TR TUSD'!$V$64</f>
        <v>0</v>
      </c>
      <c r="W11" s="13">
        <f>'TR TUSD'!$W$11*'TR TUSD'!$W$64</f>
        <v>0</v>
      </c>
      <c r="X11" s="13">
        <f>'TR TUSD'!$X$11*'TR TUSD'!$X$64</f>
        <v>0</v>
      </c>
      <c r="Y11" s="13">
        <f>'TR TUSD'!$Y$11*'TR TUSD'!$Y$64</f>
        <v>0</v>
      </c>
      <c r="Z11" s="13">
        <f>'TR TUSD'!$Z$11</f>
        <v>0</v>
      </c>
      <c r="AA11" s="13">
        <f>'TR TUSD'!$AA$11</f>
        <v>0</v>
      </c>
      <c r="AB11" s="13">
        <f>SUM($U$11:$AA$11)</f>
        <v>0</v>
      </c>
      <c r="AC11" s="13">
        <f>'TR TUSD'!$AC$11*'TR TUSD'!$AC$64</f>
        <v>0</v>
      </c>
      <c r="AD11" s="13">
        <f>SUM($AC$11:$AC$11)</f>
        <v>0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TUSD'!$AH$64</f>
        <v>4.6899636220687375</v>
      </c>
      <c r="AI11" s="13">
        <f>'TR TUSD'!$AI$11*'TR TUSD'!$AI$64</f>
        <v>0</v>
      </c>
      <c r="AJ11" s="13">
        <f ca="1">'TR TUSD'!$AJ$11*'TR TUSD'!$AJ$64</f>
        <v>0</v>
      </c>
      <c r="AK11" s="13">
        <f ca="1">'TR TUSD'!$AK$11*'TR TUSD'!$AK$64</f>
        <v>0</v>
      </c>
      <c r="AL11" s="13">
        <f ca="1">SUM($AH$11:$AK$11)</f>
        <v>4.6899636220687375</v>
      </c>
      <c r="AM11" s="13">
        <f ca="1">SUMIF($L$4:$AL$4,"SUBTOTAL",$L$11:$AL$11)</f>
        <v>122.91786714172467</v>
      </c>
      <c r="AP11" s="13">
        <v>1</v>
      </c>
    </row>
    <row r="12" spans="1:42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>
        <f>'TR TUSD'!$L$12*'TR TUSD'!$L$64</f>
        <v>0</v>
      </c>
      <c r="M12" s="13">
        <f>'TR TUSD'!$M$12*'TR TUSD'!$M$64</f>
        <v>0.43758696756897836</v>
      </c>
      <c r="N12" s="13">
        <f ca="1">'TR TUSD'!$N$12*'TR TUSD'!$N$64</f>
        <v>0</v>
      </c>
      <c r="O12" s="13">
        <f>'TR TUSD'!$O$12*'TR TUSD'!$O$64</f>
        <v>0</v>
      </c>
      <c r="P12" s="13">
        <f>'TR TUSD'!$P$12*'TR TUSD'!$P$64</f>
        <v>0</v>
      </c>
      <c r="Q12" s="13">
        <f>'TR TUSD'!$Q$12*'TR TUSD'!$Q$64</f>
        <v>0</v>
      </c>
      <c r="R12" s="13">
        <f>'TR TUSD'!$R$12*'TR TUSD'!$R$64</f>
        <v>0</v>
      </c>
      <c r="S12" s="13">
        <f>'TR TUSD'!$S$12*'TR TUSD'!$S$64</f>
        <v>0</v>
      </c>
      <c r="T12" s="13">
        <f ca="1">SUM($L$12:$S$12)</f>
        <v>0.43758696756897836</v>
      </c>
      <c r="U12" s="13">
        <f>'TR TUSD'!$U$12*'TR TUSD'!$U$64</f>
        <v>0</v>
      </c>
      <c r="V12" s="13">
        <f>'TR TUSD'!$V$12*'TR TUSD'!$V$64</f>
        <v>0</v>
      </c>
      <c r="W12" s="13">
        <f>'TR TUSD'!$W$12*'TR TUSD'!$W$64</f>
        <v>0</v>
      </c>
      <c r="X12" s="13">
        <f>'TR TUSD'!$X$12*'TR TUSD'!$X$64</f>
        <v>0</v>
      </c>
      <c r="Y12" s="13">
        <f>'TR TUSD'!$Y$12*'TR TUSD'!$Y$64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TUSD'!$AC$64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TUSD'!$AH$64</f>
        <v>4.6899636220687375</v>
      </c>
      <c r="AI12" s="13">
        <f>'TR TUSD'!$AI$12*'TR TUSD'!$AI$64</f>
        <v>0</v>
      </c>
      <c r="AJ12" s="13">
        <f ca="1">'TR TUSD'!$AJ$12*'TR TUSD'!$AJ$64</f>
        <v>0</v>
      </c>
      <c r="AK12" s="13">
        <f ca="1">'TR TUSD'!$AK$12*'TR TUSD'!$AK$64</f>
        <v>0</v>
      </c>
      <c r="AL12" s="13">
        <f ca="1">SUM($AH$12:$AK$12)</f>
        <v>4.6899636220687375</v>
      </c>
      <c r="AM12" s="13">
        <f ca="1">SUMIF($L$4:$AL$4,"SUBTOTAL",$L$12:$AL$12)</f>
        <v>5.1275505896377158</v>
      </c>
      <c r="AP12" s="13">
        <v>1</v>
      </c>
    </row>
    <row r="13" spans="1:42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>
        <f>'TR TUSD'!$L$13*'TR TUSD'!$L$64</f>
        <v>0</v>
      </c>
      <c r="M13" s="13">
        <f>'TR TUSD'!$M$13*'TR TUSD'!$M$64</f>
        <v>1.0711209682593363E-2</v>
      </c>
      <c r="N13" s="13">
        <f ca="1">'TR TUSD'!$N$13*'TR TUSD'!$N$64</f>
        <v>0</v>
      </c>
      <c r="O13" s="13">
        <f>'TR TUSD'!$O$13*'TR TUSD'!$O$64</f>
        <v>0</v>
      </c>
      <c r="P13" s="13">
        <f>'TR TUSD'!$P$13*'TR TUSD'!$P$64</f>
        <v>0</v>
      </c>
      <c r="Q13" s="13">
        <f>'TR TUSD'!$Q$13*'TR TUSD'!$Q$64</f>
        <v>0</v>
      </c>
      <c r="R13" s="13">
        <f>'TR TUSD'!$R$13*'TR TUSD'!$R$64</f>
        <v>0</v>
      </c>
      <c r="S13" s="13">
        <f>'TR TUSD'!$S$13*'TR TUSD'!$S$64</f>
        <v>0</v>
      </c>
      <c r="T13" s="13">
        <f ca="1">SUM($L$13:$S$13)</f>
        <v>1.0711209682593363E-2</v>
      </c>
      <c r="U13" s="13">
        <f>'TR TUSD'!$U$13*'TR TUSD'!$U$64</f>
        <v>0</v>
      </c>
      <c r="V13" s="13">
        <f>'TR TUSD'!$V$13*'TR TUSD'!$V$64</f>
        <v>0</v>
      </c>
      <c r="W13" s="13">
        <f>'TR TUSD'!$W$13*'TR TUSD'!$W$64</f>
        <v>0</v>
      </c>
      <c r="X13" s="13">
        <f>'TR TUSD'!$X$13*'TR TUSD'!$X$64</f>
        <v>0</v>
      </c>
      <c r="Y13" s="13">
        <f>'TR TUSD'!$Y$13*'TR TUSD'!$Y$64</f>
        <v>0</v>
      </c>
      <c r="Z13" s="13">
        <f>'TR TUSD'!$Z$13*'TR TUSD'!$Z$64</f>
        <v>0</v>
      </c>
      <c r="AA13" s="13">
        <f>'TR TUSD'!$AA$13*'TR TUSD'!$AA$64</f>
        <v>0</v>
      </c>
      <c r="AB13" s="13">
        <f>SUM($U$13:$AA$13)</f>
        <v>0</v>
      </c>
      <c r="AC13" s="13">
        <f>'TR TUSD'!$AC$13*'TR TUSD'!$AC$64</f>
        <v>5.0944200325824092</v>
      </c>
      <c r="AD13" s="13">
        <f>SUM($AC$13:$AC$13)</f>
        <v>5.0944200325824092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TUSD'!$AH$64</f>
        <v>0</v>
      </c>
      <c r="AI13" s="13">
        <f>'TR TUSD'!$AI$13*'TR TUSD'!$AI$64</f>
        <v>0</v>
      </c>
      <c r="AJ13" s="13">
        <f ca="1">'TR TUSD'!$AJ$13*'TR TUSD'!$AJ$64</f>
        <v>0</v>
      </c>
      <c r="AK13" s="13">
        <f ca="1">'TR TUSD'!$AK$13*'TR TUSD'!$AK$64</f>
        <v>0</v>
      </c>
      <c r="AL13" s="13">
        <f ca="1">SUM($AH$13:$AK$13)</f>
        <v>0</v>
      </c>
      <c r="AM13" s="13">
        <f ca="1">SUMIF($L$4:$AL$4,"SUBTOTAL",$L$13:$AL$13)</f>
        <v>5.1051312422650028</v>
      </c>
      <c r="AP13" s="13"/>
    </row>
    <row r="14" spans="1:42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>
        <f>'TR TUSD'!$L$14*'TR TUSD'!$L$64</f>
        <v>0</v>
      </c>
      <c r="M14" s="13">
        <f>'TR TUSD'!$M$14*'TR TUSD'!$M$64</f>
        <v>0</v>
      </c>
      <c r="N14" s="13">
        <f ca="1">'TR TUSD'!$N$14*'TR TUSD'!$N$64</f>
        <v>0</v>
      </c>
      <c r="O14" s="13">
        <f>'TR TUSD'!$O$14*'TR TUSD'!$O$64</f>
        <v>0</v>
      </c>
      <c r="P14" s="13">
        <f>'TR TUSD'!$P$14*'TR TUSD'!$P$64</f>
        <v>0</v>
      </c>
      <c r="Q14" s="13">
        <f>'TR TUSD'!$Q$14*'TR TUSD'!$Q$64</f>
        <v>0</v>
      </c>
      <c r="R14" s="13">
        <f>'TR TUSD'!$R$14*'TR TUSD'!$R$64</f>
        <v>0</v>
      </c>
      <c r="S14" s="13">
        <f>'TR TUSD'!$S$14*'TR TUSD'!$S$64</f>
        <v>0</v>
      </c>
      <c r="T14" s="13">
        <f ca="1">SUM($L$14:$S$14)</f>
        <v>0</v>
      </c>
      <c r="U14" s="13">
        <f>'TR TUSD'!$U$14*'TR TUSD'!$U$64</f>
        <v>5.9223119955592676</v>
      </c>
      <c r="V14" s="13">
        <f>'TR TUSD'!$V$14*'TR TUSD'!$V$64</f>
        <v>0.82926037600687197</v>
      </c>
      <c r="W14" s="13">
        <f>'TR TUSD'!$W$14*'TR TUSD'!$W$64</f>
        <v>0</v>
      </c>
      <c r="X14" s="13">
        <f>'TR TUSD'!$X$14*'TR TUSD'!$X$64</f>
        <v>0</v>
      </c>
      <c r="Y14" s="13">
        <f>'TR TUSD'!$Y$14*'TR TUSD'!$Y$64</f>
        <v>0</v>
      </c>
      <c r="Z14" s="13">
        <f>'TR TUSD'!$Z$14</f>
        <v>0</v>
      </c>
      <c r="AA14" s="13">
        <f>'TR TUSD'!$AA$14</f>
        <v>0</v>
      </c>
      <c r="AB14" s="13">
        <f>SUM($U$14:$AA$14)</f>
        <v>6.7515723715661391</v>
      </c>
      <c r="AC14" s="13">
        <f>'TR TUSD'!$AC$14*'TR TUSD'!$AC$64</f>
        <v>11.260773161951018</v>
      </c>
      <c r="AD14" s="13">
        <f>SUM($AC$14:$AC$14)</f>
        <v>11.260773161951018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TUSD'!$AH$64</f>
        <v>0</v>
      </c>
      <c r="AI14" s="13">
        <f>'TR TUSD'!$AI$14*'TR TUSD'!$AI$64</f>
        <v>0</v>
      </c>
      <c r="AJ14" s="13">
        <f ca="1">'TR TUSD'!$AJ$14*'TR TUSD'!$AJ$64</f>
        <v>0</v>
      </c>
      <c r="AK14" s="13">
        <f ca="1">'TR TUSD'!$AK$14*'TR TUSD'!$AK$64</f>
        <v>0</v>
      </c>
      <c r="AL14" s="13">
        <f ca="1">SUM($AH$14:$AK$14)</f>
        <v>0</v>
      </c>
      <c r="AM14" s="13">
        <f ca="1">SUMIF($L$4:$AL$4,"SUBTOTAL",$L$14:$AL$14)</f>
        <v>18.012345533517156</v>
      </c>
      <c r="AP14" s="13">
        <v>1</v>
      </c>
    </row>
    <row r="15" spans="1:42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>
        <f>'TR TUSD'!$L$15*'TR TUSD'!$L$64</f>
        <v>27.184795220003263</v>
      </c>
      <c r="M15" s="13">
        <f>'TR TUSD'!$M$15*'TR TUSD'!$M$64</f>
        <v>0.43758696756897836</v>
      </c>
      <c r="N15" s="13">
        <f ca="1">'TR TUSD'!$N$15*'TR TUSD'!$N$64</f>
        <v>0</v>
      </c>
      <c r="O15" s="13">
        <f>'TR TUSD'!$O$15*'TR TUSD'!$O$64</f>
        <v>0</v>
      </c>
      <c r="P15" s="13">
        <f>'TR TUSD'!$P$15*'TR TUSD'!$P$64</f>
        <v>0</v>
      </c>
      <c r="Q15" s="13">
        <f>'TR TUSD'!$Q$15*'TR TUSD'!$Q$64</f>
        <v>76.2739587177131</v>
      </c>
      <c r="R15" s="13">
        <f>'TR TUSD'!$R$15*'TR TUSD'!$R$64</f>
        <v>14.331562614370601</v>
      </c>
      <c r="S15" s="13">
        <f>'TR TUSD'!$S$15*'TR TUSD'!$S$64</f>
        <v>0</v>
      </c>
      <c r="T15" s="13">
        <f ca="1">SUM($L$15:$S$15)</f>
        <v>118.22790351965594</v>
      </c>
      <c r="U15" s="13">
        <f>'TR TUSD'!$U$15*'TR TUSD'!$U$64</f>
        <v>153.56081225084694</v>
      </c>
      <c r="V15" s="13">
        <f>'TR TUSD'!$V$15*'TR TUSD'!$V$64</f>
        <v>21.670412832561009</v>
      </c>
      <c r="W15" s="13">
        <f>'TR TUSD'!$W$15*'TR TUSD'!$W$64</f>
        <v>0</v>
      </c>
      <c r="X15" s="13">
        <f>'TR TUSD'!$X$15*'TR TUSD'!$X$64</f>
        <v>0</v>
      </c>
      <c r="Y15" s="13">
        <f>'TR TUSD'!$Y$15*'TR TUSD'!$Y$64</f>
        <v>0</v>
      </c>
      <c r="Z15" s="13">
        <f>'TR TUSD'!$Z$15</f>
        <v>0</v>
      </c>
      <c r="AA15" s="13">
        <f>'TR TUSD'!$AA$15</f>
        <v>0</v>
      </c>
      <c r="AB15" s="13">
        <f>SUM($U$15:$AA$15)</f>
        <v>175.23122508340794</v>
      </c>
      <c r="AC15" s="13">
        <f>'TR TUSD'!$AC$15*'TR TUSD'!$AC$64</f>
        <v>969.18463172240945</v>
      </c>
      <c r="AD15" s="13">
        <f>SUM($AC$15:$AC$15)</f>
        <v>969.18463172240945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TUSD'!$AH$64</f>
        <v>4.6899636220687375</v>
      </c>
      <c r="AI15" s="13">
        <f>'TR TUSD'!$AI$15*'TR TUSD'!$AI$64</f>
        <v>0</v>
      </c>
      <c r="AJ15" s="13">
        <f ca="1">'TR TUSD'!$AJ$15*'TR TUSD'!$AJ$64</f>
        <v>0</v>
      </c>
      <c r="AK15" s="13">
        <f ca="1">'TR TUSD'!$AK$15*'TR TUSD'!$AK$64</f>
        <v>0</v>
      </c>
      <c r="AL15" s="13">
        <f ca="1">SUM($AH$15:$AK$15)</f>
        <v>4.6899636220687375</v>
      </c>
      <c r="AM15" s="13">
        <f ca="1">SUMIF($L$4:$AL$4,"SUBTOTAL",$L$15:$AL$15)</f>
        <v>1267.333723947542</v>
      </c>
      <c r="AP15" s="13">
        <v>1</v>
      </c>
    </row>
    <row r="16" spans="1:42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>
        <f>'TR TUSD'!$L$16*'TR TUSD'!$L$64</f>
        <v>27.184795220003263</v>
      </c>
      <c r="M16" s="13">
        <f>'TR TUSD'!$M$16*'TR TUSD'!$M$64</f>
        <v>0.43758696756897836</v>
      </c>
      <c r="N16" s="13">
        <f ca="1">'TR TUSD'!$N$16*'TR TUSD'!$N$64</f>
        <v>0</v>
      </c>
      <c r="O16" s="13">
        <f>'TR TUSD'!$O$16*'TR TUSD'!$O$64</f>
        <v>0</v>
      </c>
      <c r="P16" s="13">
        <f>'TR TUSD'!$P$16*'TR TUSD'!$P$64</f>
        <v>0</v>
      </c>
      <c r="Q16" s="13">
        <f>'TR TUSD'!$Q$16*'TR TUSD'!$Q$64</f>
        <v>76.2739587177131</v>
      </c>
      <c r="R16" s="13">
        <f>'TR TUSD'!$R$16*'TR TUSD'!$R$64</f>
        <v>14.331562614370601</v>
      </c>
      <c r="S16" s="13">
        <f>'TR TUSD'!$S$16*'TR TUSD'!$S$64</f>
        <v>0</v>
      </c>
      <c r="T16" s="13">
        <f ca="1">SUM($L$16:$S$16)</f>
        <v>118.22790351965594</v>
      </c>
      <c r="U16" s="13">
        <f>'TR TUSD'!$U$16*'TR TUSD'!$U$64</f>
        <v>0</v>
      </c>
      <c r="V16" s="13">
        <f>'TR TUSD'!$V$16*'TR TUSD'!$V$64</f>
        <v>0</v>
      </c>
      <c r="W16" s="13">
        <f>'TR TUSD'!$W$16*'TR TUSD'!$W$64</f>
        <v>0</v>
      </c>
      <c r="X16" s="13">
        <f>'TR TUSD'!$X$16*'TR TUSD'!$X$64</f>
        <v>0</v>
      </c>
      <c r="Y16" s="13">
        <f>'TR TUSD'!$Y$16*'TR TUSD'!$Y$64</f>
        <v>0</v>
      </c>
      <c r="Z16" s="13">
        <f>'TR TUSD'!$Z$16</f>
        <v>0</v>
      </c>
      <c r="AA16" s="13">
        <f>'TR TUSD'!$AA$16</f>
        <v>0</v>
      </c>
      <c r="AB16" s="13">
        <f>SUM($U$16:$AA$16)</f>
        <v>0</v>
      </c>
      <c r="AC16" s="13">
        <f>'TR TUSD'!$AC$16*'TR TUSD'!$AC$64</f>
        <v>0</v>
      </c>
      <c r="AD16" s="13">
        <f>SUM($AC$16:$AC$16)</f>
        <v>0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TUSD'!$AH$64</f>
        <v>4.6899636220687375</v>
      </c>
      <c r="AI16" s="13">
        <f>'TR TUSD'!$AI$16*'TR TUSD'!$AI$64</f>
        <v>0</v>
      </c>
      <c r="AJ16" s="13">
        <f ca="1">'TR TUSD'!$AJ$16*'TR TUSD'!$AJ$64</f>
        <v>0</v>
      </c>
      <c r="AK16" s="13">
        <f ca="1">'TR TUSD'!$AK$16*'TR TUSD'!$AK$64</f>
        <v>0</v>
      </c>
      <c r="AL16" s="13">
        <f ca="1">SUM($AH$16:$AK$16)</f>
        <v>4.6899636220687375</v>
      </c>
      <c r="AM16" s="13">
        <f ca="1">SUMIF($L$4:$AL$4,"SUBTOTAL",$L$16:$AL$16)</f>
        <v>122.91786714172467</v>
      </c>
      <c r="AP16" s="13">
        <v>1</v>
      </c>
    </row>
    <row r="17" spans="1:42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>
        <f>'TR TUSD'!$L$17*'TR TUSD'!$L$64</f>
        <v>0</v>
      </c>
      <c r="M17" s="13">
        <f>'TR TUSD'!$M$17*'TR TUSD'!$M$64</f>
        <v>0.43758696756897836</v>
      </c>
      <c r="N17" s="13">
        <f ca="1">'TR TUSD'!$N$17*'TR TUSD'!$N$64</f>
        <v>0</v>
      </c>
      <c r="O17" s="13">
        <f>'TR TUSD'!$O$17*'TR TUSD'!$O$64</f>
        <v>0</v>
      </c>
      <c r="P17" s="13">
        <f>'TR TUSD'!$P$17*'TR TUSD'!$P$64</f>
        <v>0</v>
      </c>
      <c r="Q17" s="13">
        <f>'TR TUSD'!$Q$17*'TR TUSD'!$Q$64</f>
        <v>0</v>
      </c>
      <c r="R17" s="13">
        <f>'TR TUSD'!$R$17*'TR TUSD'!$R$64</f>
        <v>0</v>
      </c>
      <c r="S17" s="13">
        <f>'TR TUSD'!$S$17*'TR TUSD'!$S$64</f>
        <v>0</v>
      </c>
      <c r="T17" s="13">
        <f ca="1">SUM($L$17:$S$17)</f>
        <v>0.43758696756897836</v>
      </c>
      <c r="U17" s="13">
        <f>'TR TUSD'!$U$17*'TR TUSD'!$U$64</f>
        <v>153.56081225084694</v>
      </c>
      <c r="V17" s="13">
        <f>'TR TUSD'!$V$17*'TR TUSD'!$V$64</f>
        <v>21.670412832561009</v>
      </c>
      <c r="W17" s="13">
        <f>'TR TUSD'!$W$17*'TR TUSD'!$W$64</f>
        <v>0</v>
      </c>
      <c r="X17" s="13">
        <f>'TR TUSD'!$X$17*'TR TUSD'!$X$64</f>
        <v>0</v>
      </c>
      <c r="Y17" s="13">
        <f>'TR TUSD'!$Y$17*'TR TUSD'!$Y$64</f>
        <v>0</v>
      </c>
      <c r="Z17" s="13">
        <f>'TR TUSD'!$Z$17</f>
        <v>0</v>
      </c>
      <c r="AA17" s="13">
        <f>'TR TUSD'!$AA$17</f>
        <v>0</v>
      </c>
      <c r="AB17" s="13">
        <f>SUM($U$17:$AA$17)</f>
        <v>175.23122508340794</v>
      </c>
      <c r="AC17" s="13">
        <f>'TR TUSD'!$AC$17*'TR TUSD'!$AC$64</f>
        <v>969.18463172240945</v>
      </c>
      <c r="AD17" s="13">
        <f>SUM($AC$17:$AC$17)</f>
        <v>969.18463172240945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TUSD'!$AH$64</f>
        <v>4.6899636220687375</v>
      </c>
      <c r="AI17" s="13">
        <f>'TR TUSD'!$AI$17*'TR TUSD'!$AI$64</f>
        <v>0</v>
      </c>
      <c r="AJ17" s="13">
        <f ca="1">'TR TUSD'!$AJ$17*'TR TUSD'!$AJ$64</f>
        <v>0</v>
      </c>
      <c r="AK17" s="13">
        <f ca="1">'TR TUSD'!$AK$17*'TR TUSD'!$AK$64</f>
        <v>0</v>
      </c>
      <c r="AL17" s="13">
        <f ca="1">SUM($AH$17:$AK$17)</f>
        <v>4.6899636220687375</v>
      </c>
      <c r="AM17" s="13">
        <f ca="1">SUMIF($L$4:$AL$4,"SUBTOTAL",$L$17:$AL$17)</f>
        <v>1149.543407395455</v>
      </c>
      <c r="AP17" s="1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>
        <f>'TR TUSD'!$L$18*'TR TUSD'!$L$64</f>
        <v>0</v>
      </c>
      <c r="M18" s="13">
        <f>'TR TUSD'!$M$18*'TR TUSD'!$M$64</f>
        <v>0.43758696756897836</v>
      </c>
      <c r="N18" s="13">
        <f ca="1">'TR TUSD'!$N$18*'TR TUSD'!$N$64</f>
        <v>0</v>
      </c>
      <c r="O18" s="13">
        <f>'TR TUSD'!$O$18*'TR TUSD'!$O$64</f>
        <v>0</v>
      </c>
      <c r="P18" s="13">
        <f>'TR TUSD'!$P$18*'TR TUSD'!$P$64</f>
        <v>0</v>
      </c>
      <c r="Q18" s="13">
        <f>'TR TUSD'!$Q$18*'TR TUSD'!$Q$64</f>
        <v>0</v>
      </c>
      <c r="R18" s="13">
        <f>'TR TUSD'!$R$18*'TR TUSD'!$R$64</f>
        <v>0</v>
      </c>
      <c r="S18" s="13">
        <f>'TR TUSD'!$S$18*'TR TUSD'!$S$64</f>
        <v>0</v>
      </c>
      <c r="T18" s="13">
        <f ca="1">SUM($L$18:$S$18)</f>
        <v>0.43758696756897836</v>
      </c>
      <c r="U18" s="13">
        <f>'TR TUSD'!$U$18*'TR TUSD'!$U$64</f>
        <v>0</v>
      </c>
      <c r="V18" s="13">
        <f>'TR TUSD'!$V$18*'TR TUSD'!$V$64</f>
        <v>0</v>
      </c>
      <c r="W18" s="13">
        <f>'TR TUSD'!$W$18*'TR TUSD'!$W$64</f>
        <v>0</v>
      </c>
      <c r="X18" s="13">
        <f>'TR TUSD'!$X$18*'TR TUSD'!$X$64</f>
        <v>0</v>
      </c>
      <c r="Y18" s="13">
        <f>'TR TUSD'!$Y$18*'TR TUSD'!$Y$64</f>
        <v>0</v>
      </c>
      <c r="Z18" s="13">
        <f>'TR TUSD'!$Z$18</f>
        <v>0</v>
      </c>
      <c r="AA18" s="13">
        <f>'TR TUSD'!$AA$18</f>
        <v>0</v>
      </c>
      <c r="AB18" s="13">
        <f>SUM($U$18:$AA$18)</f>
        <v>0</v>
      </c>
      <c r="AC18" s="13">
        <f>'TR TUSD'!$AC$18*'TR TUSD'!$AC$64</f>
        <v>0</v>
      </c>
      <c r="AD18" s="13">
        <f>SUM($AC$18:$AC$18)</f>
        <v>0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TUSD'!$AH$64</f>
        <v>4.6899636220687375</v>
      </c>
      <c r="AI18" s="13">
        <f>'TR TUSD'!$AI$18*'TR TUSD'!$AI$64</f>
        <v>0</v>
      </c>
      <c r="AJ18" s="13">
        <f ca="1">'TR TUSD'!$AJ$18*'TR TUSD'!$AJ$64</f>
        <v>0</v>
      </c>
      <c r="AK18" s="13">
        <f ca="1">'TR TUSD'!$AK$18*'TR TUSD'!$AK$64</f>
        <v>0</v>
      </c>
      <c r="AL18" s="13">
        <f ca="1">SUM($AH$18:$AK$18)</f>
        <v>4.6899636220687375</v>
      </c>
      <c r="AM18" s="13">
        <f ca="1">SUMIF($L$4:$AL$4,"SUBTOTAL",$L$18:$AL$18)</f>
        <v>5.1275505896377158</v>
      </c>
      <c r="AP18" s="13">
        <v>1</v>
      </c>
    </row>
    <row r="19" spans="1:42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>
        <f>'TR TUSD'!$L$19*'TR TUSD'!$L$64</f>
        <v>0</v>
      </c>
      <c r="M19" s="13">
        <f>'TR TUSD'!$M$19*'TR TUSD'!$M$64</f>
        <v>1.1017244244953173E-2</v>
      </c>
      <c r="N19" s="13">
        <f ca="1">'TR TUSD'!$N$19*'TR TUSD'!$N$64</f>
        <v>0</v>
      </c>
      <c r="O19" s="13">
        <f>'TR TUSD'!$O$19*'TR TUSD'!$O$64</f>
        <v>0</v>
      </c>
      <c r="P19" s="13">
        <f>'TR TUSD'!$P$19*'TR TUSD'!$P$64</f>
        <v>0</v>
      </c>
      <c r="Q19" s="13">
        <f>'TR TUSD'!$Q$19*'TR TUSD'!$Q$64</f>
        <v>0</v>
      </c>
      <c r="R19" s="13">
        <f>'TR TUSD'!$R$19*'TR TUSD'!$R$64</f>
        <v>0</v>
      </c>
      <c r="S19" s="13">
        <f>'TR TUSD'!$S$19*'TR TUSD'!$S$64</f>
        <v>0</v>
      </c>
      <c r="T19" s="13">
        <f ca="1">SUM($L$19:$S$19)</f>
        <v>1.1017244244953173E-2</v>
      </c>
      <c r="U19" s="13">
        <f>'TR TUSD'!$U$19*'TR TUSD'!$U$64</f>
        <v>0</v>
      </c>
      <c r="V19" s="13">
        <f>'TR TUSD'!$V$19*'TR TUSD'!$V$64</f>
        <v>0</v>
      </c>
      <c r="W19" s="13">
        <f>'TR TUSD'!$W$19*'TR TUSD'!$W$64</f>
        <v>0</v>
      </c>
      <c r="X19" s="13">
        <f>'TR TUSD'!$X$19*'TR TUSD'!$X$64</f>
        <v>0</v>
      </c>
      <c r="Y19" s="13">
        <f>'TR TUSD'!$Y$19*'TR TUSD'!$Y$64</f>
        <v>0</v>
      </c>
      <c r="Z19" s="13">
        <f>'TR TUSD'!$Z$19*'TR TUSD'!$Z$64</f>
        <v>0</v>
      </c>
      <c r="AA19" s="13">
        <f>'TR TUSD'!$AA$19*'TR TUSD'!$AA$64</f>
        <v>0</v>
      </c>
      <c r="AB19" s="13">
        <f>SUM($U$19:$AA$19)</f>
        <v>0</v>
      </c>
      <c r="AC19" s="13">
        <f>'TR TUSD'!$AC$19*'TR TUSD'!$AC$64</f>
        <v>5.2548090246202444</v>
      </c>
      <c r="AD19" s="13">
        <f>SUM($AC$19:$AC$19)</f>
        <v>5.2548090246202444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TUSD'!$AH$64</f>
        <v>0</v>
      </c>
      <c r="AI19" s="13">
        <f>'TR TUSD'!$AI$19*'TR TUSD'!$AI$64</f>
        <v>0</v>
      </c>
      <c r="AJ19" s="13">
        <f ca="1">'TR TUSD'!$AJ$19*'TR TUSD'!$AJ$64</f>
        <v>0</v>
      </c>
      <c r="AK19" s="13">
        <f ca="1">'TR TUSD'!$AK$19*'TR TUSD'!$AK$64</f>
        <v>0</v>
      </c>
      <c r="AL19" s="13">
        <f ca="1">SUM($AH$19:$AK$19)</f>
        <v>0</v>
      </c>
      <c r="AM19" s="13">
        <f ca="1">SUMIF($L$4:$AL$4,"SUBTOTAL",$L$19:$AL$19)</f>
        <v>5.2658262688651973</v>
      </c>
      <c r="AP19" s="13"/>
    </row>
    <row r="20" spans="1:42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>
        <f>'TR TUSD'!$L$20*'TR TUSD'!$L$64</f>
        <v>0</v>
      </c>
      <c r="M20" s="13">
        <f>'TR TUSD'!$M$20*'TR TUSD'!$M$64</f>
        <v>1.1017244244953173E-2</v>
      </c>
      <c r="N20" s="13">
        <f ca="1">'TR TUSD'!$N$20*'TR TUSD'!$N$64</f>
        <v>0</v>
      </c>
      <c r="O20" s="13">
        <f>'TR TUSD'!$O$20*'TR TUSD'!$O$64</f>
        <v>0</v>
      </c>
      <c r="P20" s="13">
        <f>'TR TUSD'!$P$20*'TR TUSD'!$P$64</f>
        <v>0</v>
      </c>
      <c r="Q20" s="13">
        <f>'TR TUSD'!$Q$20*'TR TUSD'!$Q$64</f>
        <v>0</v>
      </c>
      <c r="R20" s="13">
        <f>'TR TUSD'!$R$20*'TR TUSD'!$R$64</f>
        <v>0</v>
      </c>
      <c r="S20" s="13">
        <f>'TR TUSD'!$S$20*'TR TUSD'!$S$64</f>
        <v>0</v>
      </c>
      <c r="T20" s="13">
        <f ca="1">SUM($L$20:$S$20)</f>
        <v>1.1017244244953173E-2</v>
      </c>
      <c r="U20" s="13">
        <f>'TR TUSD'!$U$20*'TR TUSD'!$U$64</f>
        <v>0</v>
      </c>
      <c r="V20" s="13">
        <f>'TR TUSD'!$V$20*'TR TUSD'!$V$64</f>
        <v>0</v>
      </c>
      <c r="W20" s="13">
        <f>'TR TUSD'!$W$20*'TR TUSD'!$W$64</f>
        <v>0</v>
      </c>
      <c r="X20" s="13">
        <f>'TR TUSD'!$X$20*'TR TUSD'!$X$64</f>
        <v>0</v>
      </c>
      <c r="Y20" s="13">
        <f>'TR TUSD'!$Y$20*'TR TUSD'!$Y$64</f>
        <v>0</v>
      </c>
      <c r="Z20" s="13">
        <f>'TR TUSD'!$Z$20*'TR TUSD'!$Z$64</f>
        <v>0</v>
      </c>
      <c r="AA20" s="13">
        <f>'TR TUSD'!$AA$20*'TR TUSD'!$AA$64</f>
        <v>0</v>
      </c>
      <c r="AB20" s="13">
        <f>SUM($U$20:$AA$20)</f>
        <v>0</v>
      </c>
      <c r="AC20" s="13">
        <f>'TR TUSD'!$AC$20*'TR TUSD'!$AC$64</f>
        <v>10.691133548294061</v>
      </c>
      <c r="AD20" s="13">
        <f>SUM($AC$20:$AC$20)</f>
        <v>10.691133548294061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TUSD'!$AH$64</f>
        <v>0</v>
      </c>
      <c r="AI20" s="13">
        <f>'TR TUSD'!$AI$20*'TR TUSD'!$AI$64</f>
        <v>0</v>
      </c>
      <c r="AJ20" s="13">
        <f ca="1">'TR TUSD'!$AJ$20*'TR TUSD'!$AJ$64</f>
        <v>0</v>
      </c>
      <c r="AK20" s="13">
        <f ca="1">'TR TUSD'!$AK$20*'TR TUSD'!$AK$64</f>
        <v>0</v>
      </c>
      <c r="AL20" s="13">
        <f ca="1">SUM($AH$20:$AK$20)</f>
        <v>0</v>
      </c>
      <c r="AM20" s="13">
        <f ca="1">SUMIF($L$4:$AL$4,"SUBTOTAL",$L$20:$AL$20)</f>
        <v>10.702150792539015</v>
      </c>
      <c r="AP20" s="13"/>
    </row>
    <row r="21" spans="1:42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>
        <f>'TR TUSD'!$L$21*'TR TUSD'!$L$64</f>
        <v>32.362851452384838</v>
      </c>
      <c r="M21" s="13">
        <f>'TR TUSD'!$M$21*'TR TUSD'!$M$64</f>
        <v>0.7423668428154877</v>
      </c>
      <c r="N21" s="13">
        <f ca="1">'TR TUSD'!$N$21*'TR TUSD'!$N$64</f>
        <v>0</v>
      </c>
      <c r="O21" s="13">
        <f>'TR TUSD'!$O$21*'TR TUSD'!$O$64</f>
        <v>0</v>
      </c>
      <c r="P21" s="13">
        <f>'TR TUSD'!$P$21*'TR TUSD'!$P$64</f>
        <v>0</v>
      </c>
      <c r="Q21" s="13">
        <f>'TR TUSD'!$Q$21*'TR TUSD'!$Q$64</f>
        <v>90.80233180680132</v>
      </c>
      <c r="R21" s="13">
        <f>'TR TUSD'!$R$21*'TR TUSD'!$R$64</f>
        <v>14.331562614370601</v>
      </c>
      <c r="S21" s="13">
        <f>'TR TUSD'!$S$21*'TR TUSD'!$S$64</f>
        <v>0</v>
      </c>
      <c r="T21" s="13">
        <f ca="1">SUM($L$21:$S$21)</f>
        <v>138.23911271637223</v>
      </c>
      <c r="U21" s="13">
        <f>'TR TUSD'!$U$21*'TR TUSD'!$U$64</f>
        <v>69.579695826737193</v>
      </c>
      <c r="V21" s="13">
        <f>'TR TUSD'!$V$21*'TR TUSD'!$V$64</f>
        <v>9.7913022833690988</v>
      </c>
      <c r="W21" s="13">
        <f>'TR TUSD'!$W$21*'TR TUSD'!$W$64</f>
        <v>0</v>
      </c>
      <c r="X21" s="13">
        <f>'TR TUSD'!$X$21*'TR TUSD'!$X$64</f>
        <v>0</v>
      </c>
      <c r="Y21" s="13">
        <f>'TR TUSD'!$Y$21*'TR TUSD'!$Y$64</f>
        <v>0</v>
      </c>
      <c r="Z21" s="13">
        <f>'TR TUSD'!$Z$21</f>
        <v>0</v>
      </c>
      <c r="AA21" s="13">
        <f>'TR TUSD'!$AA$21</f>
        <v>0</v>
      </c>
      <c r="AB21" s="13">
        <f>SUM($U$21:$AA$21)</f>
        <v>79.370998110106285</v>
      </c>
      <c r="AC21" s="13">
        <f>'TR TUSD'!$AC$21*'TR TUSD'!$AC$64</f>
        <v>452.83132882823276</v>
      </c>
      <c r="AD21" s="13">
        <f>SUM($AC$21:$AC$21)</f>
        <v>452.83132882823276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TUSD'!$AH$64</f>
        <v>12.147387166356939</v>
      </c>
      <c r="AI21" s="13">
        <f>'TR TUSD'!$AI$21*'TR TUSD'!$AI$64</f>
        <v>0</v>
      </c>
      <c r="AJ21" s="13">
        <f ca="1">'TR TUSD'!$AJ$21*'TR TUSD'!$AJ$64</f>
        <v>0</v>
      </c>
      <c r="AK21" s="13">
        <f ca="1">'TR TUSD'!$AK$21*'TR TUSD'!$AK$64</f>
        <v>0</v>
      </c>
      <c r="AL21" s="13">
        <f ca="1">SUM($AH$21:$AK$21)</f>
        <v>12.147387166356939</v>
      </c>
      <c r="AM21" s="13">
        <f ca="1">SUMIF($L$4:$AL$4,"SUBTOTAL",$L$21:$AL$21)</f>
        <v>682.58882682106821</v>
      </c>
      <c r="AP21" s="13">
        <v>1</v>
      </c>
    </row>
    <row r="22" spans="1:42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>
        <f>'TR TUSD'!$L$22*'TR TUSD'!$L$64</f>
        <v>32.362851452384838</v>
      </c>
      <c r="M22" s="13">
        <f>'TR TUSD'!$M$22*'TR TUSD'!$M$64</f>
        <v>0.7423668428154877</v>
      </c>
      <c r="N22" s="13">
        <f ca="1">'TR TUSD'!$N$22*'TR TUSD'!$N$64</f>
        <v>0</v>
      </c>
      <c r="O22" s="13">
        <f>'TR TUSD'!$O$22*'TR TUSD'!$O$64</f>
        <v>0</v>
      </c>
      <c r="P22" s="13">
        <f>'TR TUSD'!$P$22*'TR TUSD'!$P$64</f>
        <v>0</v>
      </c>
      <c r="Q22" s="13">
        <f>'TR TUSD'!$Q$22*'TR TUSD'!$Q$64</f>
        <v>90.80233180680132</v>
      </c>
      <c r="R22" s="13">
        <f>'TR TUSD'!$R$22*'TR TUSD'!$R$64</f>
        <v>14.331562614370601</v>
      </c>
      <c r="S22" s="13">
        <f>'TR TUSD'!$S$22*'TR TUSD'!$S$64</f>
        <v>0</v>
      </c>
      <c r="T22" s="13">
        <f ca="1">SUM($L$22:$S$22)</f>
        <v>138.23911271637223</v>
      </c>
      <c r="U22" s="13">
        <f>'TR TUSD'!$U$22*'TR TUSD'!$U$64</f>
        <v>41.74776190444355</v>
      </c>
      <c r="V22" s="13">
        <f>'TR TUSD'!$V$22*'TR TUSD'!$V$64</f>
        <v>5.8748230990628993</v>
      </c>
      <c r="W22" s="13">
        <f>'TR TUSD'!$W$22*'TR TUSD'!$W$64</f>
        <v>0</v>
      </c>
      <c r="X22" s="13">
        <f>'TR TUSD'!$X$22*'TR TUSD'!$X$64</f>
        <v>0</v>
      </c>
      <c r="Y22" s="13">
        <f>'TR TUSD'!$Y$22*'TR TUSD'!$Y$64</f>
        <v>0</v>
      </c>
      <c r="Z22" s="13">
        <f>'TR TUSD'!$Z$22</f>
        <v>0</v>
      </c>
      <c r="AA22" s="13">
        <f>'TR TUSD'!$AA$22</f>
        <v>0</v>
      </c>
      <c r="AB22" s="13">
        <f>SUM($U$22:$AA$22)</f>
        <v>47.622585003506451</v>
      </c>
      <c r="AC22" s="13">
        <f>'TR TUSD'!$AC$22*'TR TUSD'!$AC$64</f>
        <v>271.69886628145241</v>
      </c>
      <c r="AD22" s="13">
        <f>SUM($AC$22:$AC$22)</f>
        <v>271.69886628145241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TUSD'!$AH$64</f>
        <v>12.147387166356939</v>
      </c>
      <c r="AI22" s="13">
        <f>'TR TUSD'!$AI$22*'TR TUSD'!$AI$64</f>
        <v>0</v>
      </c>
      <c r="AJ22" s="13">
        <f ca="1">'TR TUSD'!$AJ$22*'TR TUSD'!$AJ$64</f>
        <v>0</v>
      </c>
      <c r="AK22" s="13">
        <f ca="1">'TR TUSD'!$AK$22*'TR TUSD'!$AK$64</f>
        <v>0</v>
      </c>
      <c r="AL22" s="13">
        <f ca="1">SUM($AH$22:$AK$22)</f>
        <v>12.147387166356939</v>
      </c>
      <c r="AM22" s="13">
        <f ca="1">SUMIF($L$4:$AL$4,"SUBTOTAL",$L$22:$AL$22)</f>
        <v>469.70795116768807</v>
      </c>
      <c r="AP22" s="13">
        <v>1</v>
      </c>
    </row>
    <row r="23" spans="1:42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>
        <f>'TR TUSD'!$L$23*'TR TUSD'!$L$64</f>
        <v>32.362851452384838</v>
      </c>
      <c r="M23" s="13">
        <f>'TR TUSD'!$M$23*'TR TUSD'!$M$64</f>
        <v>0.7423668428154877</v>
      </c>
      <c r="N23" s="13">
        <f ca="1">'TR TUSD'!$N$23*'TR TUSD'!$N$64</f>
        <v>0</v>
      </c>
      <c r="O23" s="13">
        <f>'TR TUSD'!$O$23*'TR TUSD'!$O$64</f>
        <v>0</v>
      </c>
      <c r="P23" s="13">
        <f>'TR TUSD'!$P$23*'TR TUSD'!$P$64</f>
        <v>0</v>
      </c>
      <c r="Q23" s="13">
        <f>'TR TUSD'!$Q$23*'TR TUSD'!$Q$64</f>
        <v>90.80233180680132</v>
      </c>
      <c r="R23" s="13">
        <f>'TR TUSD'!$R$23*'TR TUSD'!$R$64</f>
        <v>14.331562614370601</v>
      </c>
      <c r="S23" s="13">
        <f>'TR TUSD'!$S$23*'TR TUSD'!$S$64</f>
        <v>0</v>
      </c>
      <c r="T23" s="13">
        <f ca="1">SUM($L$23:$S$23)</f>
        <v>138.23911271637223</v>
      </c>
      <c r="U23" s="13">
        <f>'TR TUSD'!$U$23*'TR TUSD'!$U$64</f>
        <v>13.91596696114682</v>
      </c>
      <c r="V23" s="13">
        <f>'TR TUSD'!$V$23*'TR TUSD'!$V$64</f>
        <v>1.9583439147566988</v>
      </c>
      <c r="W23" s="13">
        <f>'TR TUSD'!$W$23*'TR TUSD'!$W$64</f>
        <v>0</v>
      </c>
      <c r="X23" s="13">
        <f>'TR TUSD'!$X$23*'TR TUSD'!$X$64</f>
        <v>0</v>
      </c>
      <c r="Y23" s="13">
        <f>'TR TUSD'!$Y$23*'TR TUSD'!$Y$64</f>
        <v>0</v>
      </c>
      <c r="Z23" s="13">
        <f>'TR TUSD'!$Z$23</f>
        <v>0</v>
      </c>
      <c r="AA23" s="13">
        <f>'TR TUSD'!$AA$23</f>
        <v>0</v>
      </c>
      <c r="AB23" s="13">
        <f>SUM($U$23:$AA$23)</f>
        <v>15.874310875903518</v>
      </c>
      <c r="AC23" s="13">
        <f>'TR TUSD'!$AC$23*'TR TUSD'!$AC$64</f>
        <v>90.566231273390216</v>
      </c>
      <c r="AD23" s="13">
        <f>SUM($AC$23:$AC$23)</f>
        <v>90.566231273390216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TUSD'!$AH$64</f>
        <v>12.147387166356939</v>
      </c>
      <c r="AI23" s="13">
        <f>'TR TUSD'!$AI$23*'TR TUSD'!$AI$64</f>
        <v>0</v>
      </c>
      <c r="AJ23" s="13">
        <f ca="1">'TR TUSD'!$AJ$23*'TR TUSD'!$AJ$64</f>
        <v>0</v>
      </c>
      <c r="AK23" s="13">
        <f ca="1">'TR TUSD'!$AK$23*'TR TUSD'!$AK$64</f>
        <v>0</v>
      </c>
      <c r="AL23" s="13">
        <f ca="1">SUM($AH$23:$AK$23)</f>
        <v>12.147387166356939</v>
      </c>
      <c r="AM23" s="13">
        <f ca="1">SUMIF($L$4:$AL$4,"SUBTOTAL",$L$23:$AL$23)</f>
        <v>256.82704203202292</v>
      </c>
      <c r="AP23" s="13">
        <v>1</v>
      </c>
    </row>
    <row r="24" spans="1:42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>
        <f>'TR TUSD'!$L$24*'TR TUSD'!$L$64</f>
        <v>32.362851452384838</v>
      </c>
      <c r="M24" s="13">
        <f>'TR TUSD'!$M$24*'TR TUSD'!$M$64</f>
        <v>0.7423668428154877</v>
      </c>
      <c r="N24" s="13">
        <f ca="1">'TR TUSD'!$N$24*'TR TUSD'!$N$64</f>
        <v>0</v>
      </c>
      <c r="O24" s="13">
        <f>'TR TUSD'!$O$24*'TR TUSD'!$O$64</f>
        <v>0</v>
      </c>
      <c r="P24" s="13">
        <f>'TR TUSD'!$P$24*'TR TUSD'!$P$64</f>
        <v>0</v>
      </c>
      <c r="Q24" s="13">
        <f>'TR TUSD'!$Q$24*'TR TUSD'!$Q$64</f>
        <v>90.80233180680132</v>
      </c>
      <c r="R24" s="13">
        <f>'TR TUSD'!$R$24*'TR TUSD'!$R$64</f>
        <v>14.331562614370601</v>
      </c>
      <c r="S24" s="13">
        <f>'TR TUSD'!$S$24*'TR TUSD'!$S$64</f>
        <v>0</v>
      </c>
      <c r="T24" s="13">
        <f ca="1">SUM($L$24:$S$24)</f>
        <v>138.23911271637223</v>
      </c>
      <c r="U24" s="13">
        <f>'TR TUSD'!$U$24*'TR TUSD'!$U$64</f>
        <v>25.770319482049437</v>
      </c>
      <c r="V24" s="13">
        <f>'TR TUSD'!$V$24*'TR TUSD'!$V$64</f>
        <v>3.6262537010943348</v>
      </c>
      <c r="W24" s="13">
        <f>'TR TUSD'!$W$24*'TR TUSD'!$W$64</f>
        <v>0</v>
      </c>
      <c r="X24" s="13">
        <f>'TR TUSD'!$X$24*'TR TUSD'!$X$64</f>
        <v>0</v>
      </c>
      <c r="Y24" s="13">
        <f>'TR TUSD'!$Y$24*'TR TUSD'!$Y$64</f>
        <v>0</v>
      </c>
      <c r="Z24" s="13">
        <f>'TR TUSD'!$Z$24</f>
        <v>0</v>
      </c>
      <c r="AA24" s="13">
        <f>'TR TUSD'!$AA$24</f>
        <v>0</v>
      </c>
      <c r="AB24" s="13">
        <f>SUM($U$24:$AA$24)</f>
        <v>29.396573183143772</v>
      </c>
      <c r="AC24" s="13">
        <f>'TR TUSD'!$AC$24*'TR TUSD'!$AC$64</f>
        <v>167.71531974832931</v>
      </c>
      <c r="AD24" s="13">
        <f>SUM($AC$24:$AC$24)</f>
        <v>167.71531974832931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TUSD'!$AH$64</f>
        <v>12.147387166356939</v>
      </c>
      <c r="AI24" s="13">
        <f>'TR TUSD'!$AI$24*'TR TUSD'!$AI$64</f>
        <v>0</v>
      </c>
      <c r="AJ24" s="13">
        <f ca="1">'TR TUSD'!$AJ$24*'TR TUSD'!$AJ$64</f>
        <v>0</v>
      </c>
      <c r="AK24" s="13">
        <f ca="1">'TR TUSD'!$AK$24*'TR TUSD'!$AK$64</f>
        <v>0</v>
      </c>
      <c r="AL24" s="13">
        <f ca="1">SUM($AH$24:$AK$24)</f>
        <v>12.147387166356939</v>
      </c>
      <c r="AM24" s="13">
        <f ca="1">SUMIF($L$4:$AL$4,"SUBTOTAL",$L$24:$AL$24)</f>
        <v>347.4983928142023</v>
      </c>
      <c r="AP24" s="13">
        <v>1</v>
      </c>
    </row>
    <row r="25" spans="1:42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>
        <f>'TR TUSD'!$L$25*'TR TUSD'!$L$64</f>
        <v>0</v>
      </c>
      <c r="M25" s="13">
        <f>'TR TUSD'!$M$25*'TR TUSD'!$M$64</f>
        <v>0.7423668428154877</v>
      </c>
      <c r="N25" s="13">
        <f ca="1">'TR TUSD'!$N$25*'TR TUSD'!$N$64</f>
        <v>0</v>
      </c>
      <c r="O25" s="13">
        <f>'TR TUSD'!$O$25*'TR TUSD'!$O$64</f>
        <v>0</v>
      </c>
      <c r="P25" s="13">
        <f>'TR TUSD'!$P$25*'TR TUSD'!$P$64</f>
        <v>0</v>
      </c>
      <c r="Q25" s="13">
        <f>'TR TUSD'!$Q$25*'TR TUSD'!$Q$64</f>
        <v>0</v>
      </c>
      <c r="R25" s="13">
        <f>'TR TUSD'!$R$25*'TR TUSD'!$R$64</f>
        <v>0</v>
      </c>
      <c r="S25" s="13">
        <f>'TR TUSD'!$S$25*'TR TUSD'!$S$64</f>
        <v>0</v>
      </c>
      <c r="T25" s="13">
        <f ca="1">SUM($L$25:$S$25)</f>
        <v>0.7423668428154877</v>
      </c>
      <c r="U25" s="13">
        <f>'TR TUSD'!$U$25*'TR TUSD'!$U$64</f>
        <v>25.770319482049437</v>
      </c>
      <c r="V25" s="13">
        <f>'TR TUSD'!$V$25*'TR TUSD'!$V$64</f>
        <v>3.6262537010943348</v>
      </c>
      <c r="W25" s="13">
        <f>'TR TUSD'!$W$25*'TR TUSD'!$W$64</f>
        <v>0</v>
      </c>
      <c r="X25" s="13">
        <f>'TR TUSD'!$X$25*'TR TUSD'!$X$64</f>
        <v>0</v>
      </c>
      <c r="Y25" s="13">
        <f>'TR TUSD'!$Y$25*'TR TUSD'!$Y$64</f>
        <v>0</v>
      </c>
      <c r="Z25" s="13">
        <f>'TR TUSD'!$Z$25</f>
        <v>0</v>
      </c>
      <c r="AA25" s="13">
        <f>'TR TUSD'!$AA$25</f>
        <v>0</v>
      </c>
      <c r="AB25" s="13">
        <f>SUM($U$25:$AA$25)</f>
        <v>29.396573183143772</v>
      </c>
      <c r="AC25" s="13">
        <f>'TR TUSD'!$AC$25*'TR TUSD'!$AC$64</f>
        <v>167.71531974832931</v>
      </c>
      <c r="AD25" s="13">
        <f>SUM($AC$25:$AC$25)</f>
        <v>167.71531974832931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TUSD'!$AH$64</f>
        <v>12.147387166356939</v>
      </c>
      <c r="AI25" s="13">
        <f>'TR TUSD'!$AI$25*'TR TUSD'!$AI$64</f>
        <v>0</v>
      </c>
      <c r="AJ25" s="13">
        <f ca="1">'TR TUSD'!$AJ$25*'TR TUSD'!$AJ$64</f>
        <v>0</v>
      </c>
      <c r="AK25" s="13">
        <f ca="1">'TR TUSD'!$AK$25*'TR TUSD'!$AK$64</f>
        <v>0</v>
      </c>
      <c r="AL25" s="13">
        <f ca="1">SUM($AH$25:$AK$25)</f>
        <v>12.147387166356939</v>
      </c>
      <c r="AM25" s="13">
        <f ca="1">SUMIF($L$4:$AL$4,"SUBTOTAL",$L$25:$AL$25)</f>
        <v>210.00164694064551</v>
      </c>
      <c r="AP25" s="13">
        <f>IF((1 - CUSTOS!$M$24)&lt;&gt;0,1/(1 - CUSTOS!$M$24),1)</f>
        <v>1</v>
      </c>
    </row>
    <row r="26" spans="1:42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>
        <f>'TR TUSD'!$L$26*'TR TUSD'!$L$64</f>
        <v>0</v>
      </c>
      <c r="M26" s="13">
        <f>'TR TUSD'!$M$26*'TR TUSD'!$M$64</f>
        <v>0.7423668428154877</v>
      </c>
      <c r="N26" s="13">
        <f ca="1">'TR TUSD'!$N$26*'TR TUSD'!$N$64</f>
        <v>0</v>
      </c>
      <c r="O26" s="13">
        <f>'TR TUSD'!$O$26*'TR TUSD'!$O$64</f>
        <v>0</v>
      </c>
      <c r="P26" s="13">
        <f>'TR TUSD'!$P$26*'TR TUSD'!$P$64</f>
        <v>0</v>
      </c>
      <c r="Q26" s="13">
        <f>'TR TUSD'!$Q$26*'TR TUSD'!$Q$64</f>
        <v>0</v>
      </c>
      <c r="R26" s="13">
        <f>'TR TUSD'!$R$26*'TR TUSD'!$R$64</f>
        <v>0</v>
      </c>
      <c r="S26" s="13">
        <f>'TR TUSD'!$S$26*'TR TUSD'!$S$64</f>
        <v>0</v>
      </c>
      <c r="T26" s="13">
        <f ca="1">SUM($L$26:$S$26)</f>
        <v>0.7423668428154877</v>
      </c>
      <c r="U26" s="13">
        <f>'TR TUSD'!$U$26*'TR TUSD'!$U$64</f>
        <v>25.770319482049437</v>
      </c>
      <c r="V26" s="13">
        <f>'TR TUSD'!$V$26*'TR TUSD'!$V$64</f>
        <v>3.6262537010943348</v>
      </c>
      <c r="W26" s="13">
        <f>'TR TUSD'!$W$26*'TR TUSD'!$W$64</f>
        <v>0</v>
      </c>
      <c r="X26" s="13">
        <f>'TR TUSD'!$X$26*'TR TUSD'!$X$64</f>
        <v>0</v>
      </c>
      <c r="Y26" s="13">
        <f>'TR TUSD'!$Y$26*'TR TUSD'!$Y$64</f>
        <v>0</v>
      </c>
      <c r="Z26" s="13">
        <f>'TR TUSD'!$Z$26</f>
        <v>0</v>
      </c>
      <c r="AA26" s="13">
        <f>'TR TUSD'!$AA$26</f>
        <v>0</v>
      </c>
      <c r="AB26" s="13">
        <f>SUM($U$26:$AA$26)</f>
        <v>29.396573183143772</v>
      </c>
      <c r="AC26" s="13">
        <f>'TR TUSD'!$AC$26*'TR TUSD'!$AC$64</f>
        <v>167.71531974832931</v>
      </c>
      <c r="AD26" s="13">
        <f>SUM($AC$26:$AC$26)</f>
        <v>167.71531974832931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TUSD'!$AH$64</f>
        <v>12.147387166356939</v>
      </c>
      <c r="AI26" s="13">
        <f>'TR TUSD'!$AI$26*'TR TUSD'!$AI$64</f>
        <v>0</v>
      </c>
      <c r="AJ26" s="13">
        <f ca="1">'TR TUSD'!$AJ$26*'TR TUSD'!$AJ$64</f>
        <v>0</v>
      </c>
      <c r="AK26" s="13">
        <f ca="1">'TR TUSD'!$AK$26*'TR TUSD'!$AK$64</f>
        <v>0</v>
      </c>
      <c r="AL26" s="13">
        <f ca="1">SUM($AH$26:$AK$26)</f>
        <v>12.147387166356939</v>
      </c>
      <c r="AM26" s="13">
        <f ca="1">SUMIF($L$4:$AL$4,"SUBTOTAL",$L$26:$AL$26)</f>
        <v>210.00164694064551</v>
      </c>
      <c r="AP26" s="13">
        <f>IF((1 - CUSTOS!$M$25)&lt;&gt;0,1/(1 - CUSTOS!$M$25),1)</f>
        <v>1</v>
      </c>
    </row>
    <row r="27" spans="1:42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>
        <f>'TR TUSD'!$L$27*'TR TUSD'!$L$64</f>
        <v>0</v>
      </c>
      <c r="M27" s="13">
        <f>'TR TUSD'!$M$27*'TR TUSD'!$M$64</f>
        <v>0.7423668428154877</v>
      </c>
      <c r="N27" s="13">
        <f ca="1">'TR TUSD'!$N$27*'TR TUSD'!$N$64</f>
        <v>0</v>
      </c>
      <c r="O27" s="13">
        <f>'TR TUSD'!$O$27*'TR TUSD'!$O$64</f>
        <v>0</v>
      </c>
      <c r="P27" s="13">
        <f>'TR TUSD'!$P$27*'TR TUSD'!$P$64</f>
        <v>0</v>
      </c>
      <c r="Q27" s="13">
        <f>'TR TUSD'!$Q$27*'TR TUSD'!$Q$64</f>
        <v>0</v>
      </c>
      <c r="R27" s="13">
        <f>'TR TUSD'!$R$27*'TR TUSD'!$R$64</f>
        <v>0</v>
      </c>
      <c r="S27" s="13">
        <f>'TR TUSD'!$S$27*'TR TUSD'!$S$64</f>
        <v>0</v>
      </c>
      <c r="T27" s="13">
        <f ca="1">SUM($L$27:$S$27)</f>
        <v>0.7423668428154877</v>
      </c>
      <c r="U27" s="13">
        <f>'TR TUSD'!$U$27*'TR TUSD'!$U$64</f>
        <v>25.770319482049437</v>
      </c>
      <c r="V27" s="13">
        <f>'TR TUSD'!$V$27*'TR TUSD'!$V$64</f>
        <v>3.6262537010943348</v>
      </c>
      <c r="W27" s="13">
        <f>'TR TUSD'!$W$27*'TR TUSD'!$W$64</f>
        <v>0</v>
      </c>
      <c r="X27" s="13">
        <f>'TR TUSD'!$X$27*'TR TUSD'!$X$64</f>
        <v>0</v>
      </c>
      <c r="Y27" s="13">
        <f>'TR TUSD'!$Y$27*'TR TUSD'!$Y$64</f>
        <v>0</v>
      </c>
      <c r="Z27" s="13">
        <f>'TR TUSD'!$Z$27</f>
        <v>0</v>
      </c>
      <c r="AA27" s="13">
        <f>'TR TUSD'!$AA$27</f>
        <v>0</v>
      </c>
      <c r="AB27" s="13">
        <f>SUM($U$27:$AA$27)</f>
        <v>29.396573183143772</v>
      </c>
      <c r="AC27" s="13">
        <f>'TR TUSD'!$AC$27*'TR TUSD'!$AC$64</f>
        <v>167.71531974832931</v>
      </c>
      <c r="AD27" s="13">
        <f>SUM($AC$27:$AC$27)</f>
        <v>167.71531974832931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TUSD'!$AH$64</f>
        <v>12.147387166356939</v>
      </c>
      <c r="AI27" s="13">
        <f>'TR TUSD'!$AI$27*'TR TUSD'!$AI$64</f>
        <v>0</v>
      </c>
      <c r="AJ27" s="13">
        <f ca="1">'TR TUSD'!$AJ$27*'TR TUSD'!$AJ$64</f>
        <v>0</v>
      </c>
      <c r="AK27" s="13">
        <f ca="1">'TR TUSD'!$AK$27*'TR TUSD'!$AK$64</f>
        <v>0</v>
      </c>
      <c r="AL27" s="13">
        <f ca="1">SUM($AH$27:$AK$27)</f>
        <v>12.147387166356939</v>
      </c>
      <c r="AM27" s="13">
        <f ca="1">SUMIF($L$4:$AL$4,"SUBTOTAL",$L$27:$AL$27)</f>
        <v>210.00164694064551</v>
      </c>
      <c r="AP27" s="13">
        <f>IF((1 - CUSTOS!$M$26)&lt;&gt;0,1/(1 - CUSTOS!$M$26),1)</f>
        <v>1</v>
      </c>
    </row>
    <row r="28" spans="1:42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>
        <f>'TR TUSD'!$L$28*'TR TUSD'!$L$64</f>
        <v>0</v>
      </c>
      <c r="M28" s="13">
        <f>'TR TUSD'!$M$28*'TR TUSD'!$M$64</f>
        <v>0.7423668428154877</v>
      </c>
      <c r="N28" s="13">
        <f ca="1">'TR TUSD'!$N$28*'TR TUSD'!$N$64</f>
        <v>0</v>
      </c>
      <c r="O28" s="13">
        <f>'TR TUSD'!$O$28*'TR TUSD'!$O$64</f>
        <v>0</v>
      </c>
      <c r="P28" s="13">
        <f>'TR TUSD'!$P$28*'TR TUSD'!$P$64</f>
        <v>0</v>
      </c>
      <c r="Q28" s="13">
        <f>'TR TUSD'!$Q$28*'TR TUSD'!$Q$64</f>
        <v>0</v>
      </c>
      <c r="R28" s="13">
        <f>'TR TUSD'!$R$28*'TR TUSD'!$R$64</f>
        <v>0</v>
      </c>
      <c r="S28" s="13">
        <f>'TR TUSD'!$S$28*'TR TUSD'!$S$64</f>
        <v>0</v>
      </c>
      <c r="T28" s="13">
        <f ca="1">SUM($L$28:$S$28)</f>
        <v>0.7423668428154877</v>
      </c>
      <c r="U28" s="13">
        <f>'TR TUSD'!$U$28*'TR TUSD'!$U$64</f>
        <v>25.770319482049437</v>
      </c>
      <c r="V28" s="13">
        <f>'TR TUSD'!$V$28*'TR TUSD'!$V$64</f>
        <v>3.6262537010943348</v>
      </c>
      <c r="W28" s="13">
        <f>'TR TUSD'!$W$28*'TR TUSD'!$W$64</f>
        <v>0</v>
      </c>
      <c r="X28" s="13">
        <f>'TR TUSD'!$X$28*'TR TUSD'!$X$64</f>
        <v>0</v>
      </c>
      <c r="Y28" s="13">
        <f>'TR TUSD'!$Y$28*'TR TUSD'!$Y$64</f>
        <v>0</v>
      </c>
      <c r="Z28" s="13">
        <f>'TR TUSD'!$Z$28</f>
        <v>0</v>
      </c>
      <c r="AA28" s="13">
        <f>'TR TUSD'!$AA$28</f>
        <v>0</v>
      </c>
      <c r="AB28" s="13">
        <f>SUM($U$28:$AA$28)</f>
        <v>29.396573183143772</v>
      </c>
      <c r="AC28" s="13">
        <f>'TR TUSD'!$AC$28*'TR TUSD'!$AC$64</f>
        <v>167.71531974832931</v>
      </c>
      <c r="AD28" s="13">
        <f>SUM($AC$28:$AC$28)</f>
        <v>167.71531974832931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TUSD'!$AH$64</f>
        <v>12.147387166356939</v>
      </c>
      <c r="AI28" s="13">
        <f>'TR TUSD'!$AI$28*'TR TUSD'!$AI$64</f>
        <v>0</v>
      </c>
      <c r="AJ28" s="13">
        <f ca="1">'TR TUSD'!$AJ$28*'TR TUSD'!$AJ$64</f>
        <v>0</v>
      </c>
      <c r="AK28" s="13">
        <f ca="1">'TR TUSD'!$AK$28*'TR TUSD'!$AK$64</f>
        <v>0</v>
      </c>
      <c r="AL28" s="13">
        <f ca="1">SUM($AH$28:$AK$28)</f>
        <v>12.147387166356939</v>
      </c>
      <c r="AM28" s="13">
        <f ca="1">SUMIF($L$4:$AL$4,"SUBTOTAL",$L$28:$AL$28)</f>
        <v>210.00164694064551</v>
      </c>
      <c r="AP28" s="13">
        <f>IF((1 - CUSTOS!$M$27)&lt;&gt;0,1/(1 - CUSTOS!$M$27),1)</f>
        <v>1</v>
      </c>
    </row>
    <row r="29" spans="1:42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>
        <f>'TR TUSD'!$L$29*'TR TUSD'!$L$64</f>
        <v>32.362851452384838</v>
      </c>
      <c r="M29" s="13">
        <f>'TR TUSD'!$M$29*'TR TUSD'!$M$64</f>
        <v>0.7423668428154877</v>
      </c>
      <c r="N29" s="13">
        <f ca="1">'TR TUSD'!$N$29*'TR TUSD'!$N$64</f>
        <v>0</v>
      </c>
      <c r="O29" s="13">
        <f>'TR TUSD'!$O$29*'TR TUSD'!$O$64</f>
        <v>0</v>
      </c>
      <c r="P29" s="13">
        <f>'TR TUSD'!$P$29*'TR TUSD'!$P$64</f>
        <v>0</v>
      </c>
      <c r="Q29" s="13">
        <f>'TR TUSD'!$Q$29*'TR TUSD'!$Q$64</f>
        <v>90.80233180680132</v>
      </c>
      <c r="R29" s="13">
        <f>'TR TUSD'!$R$29*'TR TUSD'!$R$64</f>
        <v>14.331562614370601</v>
      </c>
      <c r="S29" s="13">
        <f>'TR TUSD'!$S$29*'TR TUSD'!$S$64</f>
        <v>0</v>
      </c>
      <c r="T29" s="13">
        <f ca="1">SUM($L$29:$S$29)</f>
        <v>138.23911271637223</v>
      </c>
      <c r="U29" s="13">
        <f>'TR TUSD'!$U$29*'TR TUSD'!$U$64</f>
        <v>25.770319482049437</v>
      </c>
      <c r="V29" s="13">
        <f>'TR TUSD'!$V$29*'TR TUSD'!$V$64</f>
        <v>3.6262537010943348</v>
      </c>
      <c r="W29" s="13">
        <f>'TR TUSD'!$W$29*'TR TUSD'!$W$64</f>
        <v>0</v>
      </c>
      <c r="X29" s="13">
        <f>'TR TUSD'!$X$29*'TR TUSD'!$X$64</f>
        <v>0</v>
      </c>
      <c r="Y29" s="13">
        <f>'TR TUSD'!$Y$29*'TR TUSD'!$Y$64</f>
        <v>0</v>
      </c>
      <c r="Z29" s="13">
        <f>'TR TUSD'!$Z$29</f>
        <v>0</v>
      </c>
      <c r="AA29" s="13">
        <f>'TR TUSD'!$AA$29</f>
        <v>0</v>
      </c>
      <c r="AB29" s="13">
        <f>SUM($U$29:$AA$29)</f>
        <v>29.396573183143772</v>
      </c>
      <c r="AC29" s="13">
        <f>'TR TUSD'!$AC$29*'TR TUSD'!$AC$64</f>
        <v>167.71531974832931</v>
      </c>
      <c r="AD29" s="13">
        <f>SUM($AC$29:$AC$29)</f>
        <v>167.71531974832931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TUSD'!$AH$64</f>
        <v>12.147387166356939</v>
      </c>
      <c r="AI29" s="13">
        <f>'TR TUSD'!$AI$29*'TR TUSD'!$AI$64</f>
        <v>0</v>
      </c>
      <c r="AJ29" s="13">
        <f ca="1">'TR TUSD'!$AJ$29*'TR TUSD'!$AJ$64</f>
        <v>0</v>
      </c>
      <c r="AK29" s="13">
        <f ca="1">'TR TUSD'!$AK$29*'TR TUSD'!$AK$64</f>
        <v>0</v>
      </c>
      <c r="AL29" s="13">
        <f ca="1">SUM($AH$29:$AK$29)</f>
        <v>12.147387166356939</v>
      </c>
      <c r="AM29" s="13">
        <f ca="1">SUMIF($L$4:$AL$4,"SUBTOTAL",$L$29:$AL$29)</f>
        <v>347.4983928142023</v>
      </c>
      <c r="AP29" s="13">
        <v>1</v>
      </c>
    </row>
    <row r="30" spans="1:42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>
        <f>'TR TUSD'!$L$30*'TR TUSD'!$L$64</f>
        <v>0</v>
      </c>
      <c r="M30" s="13">
        <f>'TR TUSD'!$M$30*'TR TUSD'!$M$64</f>
        <v>0.7423668428154877</v>
      </c>
      <c r="N30" s="13">
        <f ca="1">'TR TUSD'!$N$30*'TR TUSD'!$N$64</f>
        <v>0</v>
      </c>
      <c r="O30" s="13">
        <f>'TR TUSD'!$O$30*'TR TUSD'!$O$64</f>
        <v>0</v>
      </c>
      <c r="P30" s="13">
        <f>'TR TUSD'!$P$30*'TR TUSD'!$P$64</f>
        <v>0</v>
      </c>
      <c r="Q30" s="13">
        <f>'TR TUSD'!$Q$30*'TR TUSD'!$Q$64</f>
        <v>0</v>
      </c>
      <c r="R30" s="13">
        <f>'TR TUSD'!$R$30*'TR TUSD'!$R$64</f>
        <v>0</v>
      </c>
      <c r="S30" s="13">
        <f>'TR TUSD'!$S$30*'TR TUSD'!$S$64</f>
        <v>0</v>
      </c>
      <c r="T30" s="13">
        <f ca="1">SUM($L$30:$S$30)</f>
        <v>0.7423668428154877</v>
      </c>
      <c r="U30" s="13">
        <f>'TR TUSD'!$U$30*'TR TUSD'!$U$64</f>
        <v>25.770319482049437</v>
      </c>
      <c r="V30" s="13">
        <f>'TR TUSD'!$V$30*'TR TUSD'!$V$64</f>
        <v>3.6262537010943348</v>
      </c>
      <c r="W30" s="13">
        <f>'TR TUSD'!$W$30*'TR TUSD'!$W$64</f>
        <v>0</v>
      </c>
      <c r="X30" s="13">
        <f>'TR TUSD'!$X$30*'TR TUSD'!$X$64</f>
        <v>0</v>
      </c>
      <c r="Y30" s="13">
        <f>'TR TUSD'!$Y$30*'TR TUSD'!$Y$64</f>
        <v>0</v>
      </c>
      <c r="Z30" s="13">
        <f>'TR TUSD'!$Z$30</f>
        <v>0</v>
      </c>
      <c r="AA30" s="13">
        <f>'TR TUSD'!$AA$30</f>
        <v>0</v>
      </c>
      <c r="AB30" s="13">
        <f>SUM($U$30:$AA$30)</f>
        <v>29.396573183143772</v>
      </c>
      <c r="AC30" s="13">
        <f>'TR TUSD'!$AC$30*'TR TUSD'!$AC$64</f>
        <v>167.71531974832931</v>
      </c>
      <c r="AD30" s="13">
        <f>SUM($AC$30:$AC$30)</f>
        <v>167.71531974832931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TUSD'!$AH$64</f>
        <v>12.147387166356939</v>
      </c>
      <c r="AI30" s="13">
        <f>'TR TUSD'!$AI$30*'TR TUSD'!$AI$64</f>
        <v>0</v>
      </c>
      <c r="AJ30" s="13">
        <f ca="1">'TR TUSD'!$AJ$30*'TR TUSD'!$AJ$64</f>
        <v>0</v>
      </c>
      <c r="AK30" s="13">
        <f ca="1">'TR TUSD'!$AK$30*'TR TUSD'!$AK$64</f>
        <v>0</v>
      </c>
      <c r="AL30" s="13">
        <f ca="1">SUM($AH$30:$AK$30)</f>
        <v>12.147387166356939</v>
      </c>
      <c r="AM30" s="13">
        <f ca="1">SUMIF($L$4:$AL$4,"SUBTOTAL",$L$30:$AL$30)</f>
        <v>210.00164694064551</v>
      </c>
      <c r="AP30" s="13">
        <f>IF((1 - CUSTOS!$M$24)&lt;&gt;0,1/(1 - CUSTOS!$M$24),1)</f>
        <v>1</v>
      </c>
    </row>
    <row r="31" spans="1:42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>
        <f>'TR TUSD'!$L$31*'TR TUSD'!$L$64</f>
        <v>0</v>
      </c>
      <c r="M31" s="13">
        <f>'TR TUSD'!$M$31*'TR TUSD'!$M$64</f>
        <v>0.7423668428154877</v>
      </c>
      <c r="N31" s="13">
        <f ca="1">'TR TUSD'!$N$31*'TR TUSD'!$N$64</f>
        <v>0</v>
      </c>
      <c r="O31" s="13">
        <f>'TR TUSD'!$O$31*'TR TUSD'!$O$64</f>
        <v>0</v>
      </c>
      <c r="P31" s="13">
        <f>'TR TUSD'!$P$31*'TR TUSD'!$P$64</f>
        <v>0</v>
      </c>
      <c r="Q31" s="13">
        <f>'TR TUSD'!$Q$31*'TR TUSD'!$Q$64</f>
        <v>0</v>
      </c>
      <c r="R31" s="13">
        <f>'TR TUSD'!$R$31*'TR TUSD'!$R$64</f>
        <v>0</v>
      </c>
      <c r="S31" s="13">
        <f>'TR TUSD'!$S$31*'TR TUSD'!$S$64</f>
        <v>0</v>
      </c>
      <c r="T31" s="13">
        <f ca="1">SUM($L$31:$S$31)</f>
        <v>0.7423668428154877</v>
      </c>
      <c r="U31" s="13">
        <f>'TR TUSD'!$U$31*'TR TUSD'!$U$64</f>
        <v>25.770319482049437</v>
      </c>
      <c r="V31" s="13">
        <f>'TR TUSD'!$V$31*'TR TUSD'!$V$64</f>
        <v>3.6262537010943348</v>
      </c>
      <c r="W31" s="13">
        <f>'TR TUSD'!$W$31*'TR TUSD'!$W$64</f>
        <v>0</v>
      </c>
      <c r="X31" s="13">
        <f>'TR TUSD'!$X$31*'TR TUSD'!$X$64</f>
        <v>0</v>
      </c>
      <c r="Y31" s="13">
        <f>'TR TUSD'!$Y$31*'TR TUSD'!$Y$64</f>
        <v>0</v>
      </c>
      <c r="Z31" s="13">
        <f>'TR TUSD'!$Z$31</f>
        <v>0</v>
      </c>
      <c r="AA31" s="13">
        <f>'TR TUSD'!$AA$31</f>
        <v>0</v>
      </c>
      <c r="AB31" s="13">
        <f>SUM($U$31:$AA$31)</f>
        <v>29.396573183143772</v>
      </c>
      <c r="AC31" s="13">
        <f>'TR TUSD'!$AC$31*'TR TUSD'!$AC$64</f>
        <v>167.71531974832931</v>
      </c>
      <c r="AD31" s="13">
        <f>SUM($AC$31:$AC$31)</f>
        <v>167.71531974832931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TUSD'!$AH$64</f>
        <v>12.147387166356939</v>
      </c>
      <c r="AI31" s="13">
        <f>'TR TUSD'!$AI$31*'TR TUSD'!$AI$64</f>
        <v>0</v>
      </c>
      <c r="AJ31" s="13">
        <f ca="1">'TR TUSD'!$AJ$31*'TR TUSD'!$AJ$64</f>
        <v>0</v>
      </c>
      <c r="AK31" s="13">
        <f ca="1">'TR TUSD'!$AK$31*'TR TUSD'!$AK$64</f>
        <v>0</v>
      </c>
      <c r="AL31" s="13">
        <f ca="1">SUM($AH$31:$AK$31)</f>
        <v>12.147387166356939</v>
      </c>
      <c r="AM31" s="13">
        <f ca="1">SUMIF($L$4:$AL$4,"SUBTOTAL",$L$31:$AL$31)</f>
        <v>210.00164694064551</v>
      </c>
      <c r="AP31" s="13">
        <f>IF((1 - CUSTOS!$M$25)&lt;&gt;0,1/(1 - CUSTOS!$M$25),1)</f>
        <v>1</v>
      </c>
    </row>
    <row r="32" spans="1:42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>
        <f>'TR TUSD'!$L$32*'TR TUSD'!$L$64</f>
        <v>0</v>
      </c>
      <c r="M32" s="13">
        <f>'TR TUSD'!$M$32*'TR TUSD'!$M$64</f>
        <v>0.7423668428154877</v>
      </c>
      <c r="N32" s="13">
        <f ca="1">'TR TUSD'!$N$32*'TR TUSD'!$N$64</f>
        <v>0</v>
      </c>
      <c r="O32" s="13">
        <f>'TR TUSD'!$O$32*'TR TUSD'!$O$64</f>
        <v>0</v>
      </c>
      <c r="P32" s="13">
        <f>'TR TUSD'!$P$32*'TR TUSD'!$P$64</f>
        <v>0</v>
      </c>
      <c r="Q32" s="13">
        <f>'TR TUSD'!$Q$32*'TR TUSD'!$Q$64</f>
        <v>0</v>
      </c>
      <c r="R32" s="13">
        <f>'TR TUSD'!$R$32*'TR TUSD'!$R$64</f>
        <v>0</v>
      </c>
      <c r="S32" s="13">
        <f>'TR TUSD'!$S$32*'TR TUSD'!$S$64</f>
        <v>0</v>
      </c>
      <c r="T32" s="13">
        <f ca="1">SUM($L$32:$S$32)</f>
        <v>0.7423668428154877</v>
      </c>
      <c r="U32" s="13">
        <f>'TR TUSD'!$U$32*'TR TUSD'!$U$64</f>
        <v>25.770319482049437</v>
      </c>
      <c r="V32" s="13">
        <f>'TR TUSD'!$V$32*'TR TUSD'!$V$64</f>
        <v>3.6262537010943348</v>
      </c>
      <c r="W32" s="13">
        <f>'TR TUSD'!$W$32*'TR TUSD'!$W$64</f>
        <v>0</v>
      </c>
      <c r="X32" s="13">
        <f>'TR TUSD'!$X$32*'TR TUSD'!$X$64</f>
        <v>0</v>
      </c>
      <c r="Y32" s="13">
        <f>'TR TUSD'!$Y$32*'TR TUSD'!$Y$64</f>
        <v>0</v>
      </c>
      <c r="Z32" s="13">
        <f>'TR TUSD'!$Z$32</f>
        <v>0</v>
      </c>
      <c r="AA32" s="13">
        <f>'TR TUSD'!$AA$32</f>
        <v>0</v>
      </c>
      <c r="AB32" s="13">
        <f>SUM($U$32:$AA$32)</f>
        <v>29.396573183143772</v>
      </c>
      <c r="AC32" s="13">
        <f>'TR TUSD'!$AC$32*'TR TUSD'!$AC$64</f>
        <v>167.71531974832931</v>
      </c>
      <c r="AD32" s="13">
        <f>SUM($AC$32:$AC$32)</f>
        <v>167.71531974832931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TUSD'!$AH$64</f>
        <v>12.147387166356939</v>
      </c>
      <c r="AI32" s="13">
        <f>'TR TUSD'!$AI$32*'TR TUSD'!$AI$64</f>
        <v>0</v>
      </c>
      <c r="AJ32" s="13">
        <f ca="1">'TR TUSD'!$AJ$32*'TR TUSD'!$AJ$64</f>
        <v>0</v>
      </c>
      <c r="AK32" s="13">
        <f ca="1">'TR TUSD'!$AK$32*'TR TUSD'!$AK$64</f>
        <v>0</v>
      </c>
      <c r="AL32" s="13">
        <f ca="1">SUM($AH$32:$AK$32)</f>
        <v>12.147387166356939</v>
      </c>
      <c r="AM32" s="13">
        <f ca="1">SUMIF($L$4:$AL$4,"SUBTOTAL",$L$32:$AL$32)</f>
        <v>210.00164694064551</v>
      </c>
      <c r="AP32" s="13">
        <f>IF((1 - CUSTOS!$M$26)&lt;&gt;0,1/(1 - CUSTOS!$M$26),1)</f>
        <v>1</v>
      </c>
    </row>
    <row r="33" spans="1:42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>
        <f>'TR TUSD'!$L$33*'TR TUSD'!$L$64</f>
        <v>0</v>
      </c>
      <c r="M33" s="13">
        <f>'TR TUSD'!$M$33*'TR TUSD'!$M$64</f>
        <v>0.7423668428154877</v>
      </c>
      <c r="N33" s="13">
        <f ca="1">'TR TUSD'!$N$33*'TR TUSD'!$N$64</f>
        <v>0</v>
      </c>
      <c r="O33" s="13">
        <f>'TR TUSD'!$O$33*'TR TUSD'!$O$64</f>
        <v>0</v>
      </c>
      <c r="P33" s="13">
        <f>'TR TUSD'!$P$33*'TR TUSD'!$P$64</f>
        <v>0</v>
      </c>
      <c r="Q33" s="13">
        <f>'TR TUSD'!$Q$33*'TR TUSD'!$Q$64</f>
        <v>0</v>
      </c>
      <c r="R33" s="13">
        <f>'TR TUSD'!$R$33*'TR TUSD'!$R$64</f>
        <v>0</v>
      </c>
      <c r="S33" s="13">
        <f>'TR TUSD'!$S$33*'TR TUSD'!$S$64</f>
        <v>0</v>
      </c>
      <c r="T33" s="13">
        <f ca="1">SUM($L$33:$S$33)</f>
        <v>0.7423668428154877</v>
      </c>
      <c r="U33" s="13">
        <f>'TR TUSD'!$U$33*'TR TUSD'!$U$64</f>
        <v>25.770319482049437</v>
      </c>
      <c r="V33" s="13">
        <f>'TR TUSD'!$V$33*'TR TUSD'!$V$64</f>
        <v>3.6262537010943348</v>
      </c>
      <c r="W33" s="13">
        <f>'TR TUSD'!$W$33*'TR TUSD'!$W$64</f>
        <v>0</v>
      </c>
      <c r="X33" s="13">
        <f>'TR TUSD'!$X$33*'TR TUSD'!$X$64</f>
        <v>0</v>
      </c>
      <c r="Y33" s="13">
        <f>'TR TUSD'!$Y$33*'TR TUSD'!$Y$64</f>
        <v>0</v>
      </c>
      <c r="Z33" s="13">
        <f>'TR TUSD'!$Z$33</f>
        <v>0</v>
      </c>
      <c r="AA33" s="13">
        <f>'TR TUSD'!$AA$33</f>
        <v>0</v>
      </c>
      <c r="AB33" s="13">
        <f>SUM($U$33:$AA$33)</f>
        <v>29.396573183143772</v>
      </c>
      <c r="AC33" s="13">
        <f>'TR TUSD'!$AC$33*'TR TUSD'!$AC$64</f>
        <v>167.71531974832931</v>
      </c>
      <c r="AD33" s="13">
        <f>SUM($AC$33:$AC$33)</f>
        <v>167.71531974832931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TUSD'!$AH$64</f>
        <v>12.147387166356939</v>
      </c>
      <c r="AI33" s="13">
        <f>'TR TUSD'!$AI$33*'TR TUSD'!$AI$64</f>
        <v>0</v>
      </c>
      <c r="AJ33" s="13">
        <f ca="1">'TR TUSD'!$AJ$33*'TR TUSD'!$AJ$64</f>
        <v>0</v>
      </c>
      <c r="AK33" s="13">
        <f ca="1">'TR TUSD'!$AK$33*'TR TUSD'!$AK$64</f>
        <v>0</v>
      </c>
      <c r="AL33" s="13">
        <f ca="1">SUM($AH$33:$AK$33)</f>
        <v>12.147387166356939</v>
      </c>
      <c r="AM33" s="13">
        <f ca="1">SUMIF($L$4:$AL$4,"SUBTOTAL",$L$33:$AL$33)</f>
        <v>210.00164694064551</v>
      </c>
      <c r="AP33" s="13">
        <f>IF((1 - CUSTOS!$M$27)&lt;&gt;0,1/(1 - CUSTOS!$M$27),1)</f>
        <v>1</v>
      </c>
    </row>
    <row r="34" spans="1:42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>
        <f>'TR TUSD'!$L$34*'TR TUSD'!$L$64</f>
        <v>32.362851452384838</v>
      </c>
      <c r="M34" s="13">
        <f>'TR TUSD'!$M$34*'TR TUSD'!$M$64</f>
        <v>0.7423668428154877</v>
      </c>
      <c r="N34" s="13">
        <f ca="1">'TR TUSD'!$N$34*'TR TUSD'!$N$64</f>
        <v>0</v>
      </c>
      <c r="O34" s="13">
        <f>'TR TUSD'!$O$34*'TR TUSD'!$O$64</f>
        <v>0</v>
      </c>
      <c r="P34" s="13">
        <f>'TR TUSD'!$P$34*'TR TUSD'!$P$64</f>
        <v>0</v>
      </c>
      <c r="Q34" s="13">
        <f>'TR TUSD'!$Q$34*'TR TUSD'!$Q$64</f>
        <v>90.80233180680132</v>
      </c>
      <c r="R34" s="13">
        <f>'TR TUSD'!$R$34*'TR TUSD'!$R$64</f>
        <v>14.331562614370601</v>
      </c>
      <c r="S34" s="13">
        <f>'TR TUSD'!$S$34*'TR TUSD'!$S$64</f>
        <v>0</v>
      </c>
      <c r="T34" s="13">
        <f ca="1">SUM($L$34:$S$34)</f>
        <v>138.23911271637223</v>
      </c>
      <c r="U34" s="13">
        <f>'TR TUSD'!$U$34*'TR TUSD'!$U$64</f>
        <v>76.022345186748012</v>
      </c>
      <c r="V34" s="13">
        <f>'TR TUSD'!$V$34*'TR TUSD'!$V$64</f>
        <v>10.697970031246282</v>
      </c>
      <c r="W34" s="13">
        <f>'TR TUSD'!$W$34*'TR TUSD'!$W$64</f>
        <v>0</v>
      </c>
      <c r="X34" s="13">
        <f>'TR TUSD'!$X$34*'TR TUSD'!$X$64</f>
        <v>0</v>
      </c>
      <c r="Y34" s="13">
        <f>'TR TUSD'!$Y$34*'TR TUSD'!$Y$64</f>
        <v>0</v>
      </c>
      <c r="Z34" s="13">
        <f>'TR TUSD'!$Z$34</f>
        <v>0</v>
      </c>
      <c r="AA34" s="13">
        <f>'TR TUSD'!$AA$34</f>
        <v>0</v>
      </c>
      <c r="AB34" s="13">
        <f>SUM($U$34:$AA$34)</f>
        <v>86.720315217994298</v>
      </c>
      <c r="AC34" s="13">
        <f>'TR TUSD'!$AC$34*'TR TUSD'!$AC$64</f>
        <v>494.76020188063552</v>
      </c>
      <c r="AD34" s="13">
        <f>SUM($AC$34:$AC$34)</f>
        <v>494.76020188063552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TUSD'!$AH$64</f>
        <v>12.147387166356939</v>
      </c>
      <c r="AI34" s="13">
        <f>'TR TUSD'!$AI$34*'TR TUSD'!$AI$64</f>
        <v>0</v>
      </c>
      <c r="AJ34" s="13">
        <f ca="1">'TR TUSD'!$AJ$34*'TR TUSD'!$AJ$64</f>
        <v>0</v>
      </c>
      <c r="AK34" s="13">
        <f ca="1">'TR TUSD'!$AK$34*'TR TUSD'!$AK$64</f>
        <v>0</v>
      </c>
      <c r="AL34" s="13">
        <f ca="1">SUM($AH$34:$AK$34)</f>
        <v>12.147387166356939</v>
      </c>
      <c r="AM34" s="13">
        <f ca="1">SUMIF($L$4:$AL$4,"SUBTOTAL",$L$34:$AL$34)</f>
        <v>731.86701698135892</v>
      </c>
      <c r="AP34" s="13">
        <f>IF((1 - CUSTOS!$M$28)&lt;&gt;0,1/(1 - CUSTOS!$M$28),1)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>
        <f>'TR TUSD'!$L$35*'TR TUSD'!$L$64</f>
        <v>32.362851452384838</v>
      </c>
      <c r="M35" s="13">
        <f>'TR TUSD'!$M$35*'TR TUSD'!$M$64</f>
        <v>0.7423668428154877</v>
      </c>
      <c r="N35" s="13">
        <f ca="1">'TR TUSD'!$N$35*'TR TUSD'!$N$64</f>
        <v>0</v>
      </c>
      <c r="O35" s="13">
        <f>'TR TUSD'!$O$35*'TR TUSD'!$O$64</f>
        <v>0</v>
      </c>
      <c r="P35" s="13">
        <f>'TR TUSD'!$P$35*'TR TUSD'!$P$64</f>
        <v>0</v>
      </c>
      <c r="Q35" s="13">
        <f>'TR TUSD'!$Q$35*'TR TUSD'!$Q$64</f>
        <v>90.80233180680132</v>
      </c>
      <c r="R35" s="13">
        <f>'TR TUSD'!$R$35*'TR TUSD'!$R$64</f>
        <v>14.331562614370601</v>
      </c>
      <c r="S35" s="13">
        <f>'TR TUSD'!$S$35*'TR TUSD'!$S$64</f>
        <v>0</v>
      </c>
      <c r="T35" s="13">
        <f ca="1">SUM($L$35:$S$35)</f>
        <v>138.23911271637223</v>
      </c>
      <c r="U35" s="13">
        <f>'TR TUSD'!$U$35*'TR TUSD'!$U$64</f>
        <v>45.613323724650655</v>
      </c>
      <c r="V35" s="13">
        <f>'TR TUSD'!$V$35*'TR TUSD'!$V$64</f>
        <v>6.4187611542270488</v>
      </c>
      <c r="W35" s="13">
        <f>'TR TUSD'!$W$35*'TR TUSD'!$W$64</f>
        <v>0</v>
      </c>
      <c r="X35" s="13">
        <f>'TR TUSD'!$X$35*'TR TUSD'!$X$64</f>
        <v>0</v>
      </c>
      <c r="Y35" s="13">
        <f>'TR TUSD'!$Y$35*'TR TUSD'!$Y$64</f>
        <v>0</v>
      </c>
      <c r="Z35" s="13">
        <f>'TR TUSD'!$Z$35</f>
        <v>0</v>
      </c>
      <c r="AA35" s="13">
        <f>'TR TUSD'!$AA$35</f>
        <v>0</v>
      </c>
      <c r="AB35" s="13">
        <f>SUM($U$35:$AA$35)</f>
        <v>52.032084878877704</v>
      </c>
      <c r="AC35" s="13">
        <f>'TR TUSD'!$AC$35*'TR TUSD'!$AC$64</f>
        <v>296.85605214386862</v>
      </c>
      <c r="AD35" s="13">
        <f>SUM($AC$35:$AC$35)</f>
        <v>296.85605214386862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TUSD'!$AH$64</f>
        <v>12.147387166356939</v>
      </c>
      <c r="AI35" s="13">
        <f>'TR TUSD'!$AI$35*'TR TUSD'!$AI$64</f>
        <v>0</v>
      </c>
      <c r="AJ35" s="13">
        <f ca="1">'TR TUSD'!$AJ$35*'TR TUSD'!$AJ$64</f>
        <v>0</v>
      </c>
      <c r="AK35" s="13">
        <f ca="1">'TR TUSD'!$AK$35*'TR TUSD'!$AK$64</f>
        <v>0</v>
      </c>
      <c r="AL35" s="13">
        <f ca="1">SUM($AH$35:$AK$35)</f>
        <v>12.147387166356939</v>
      </c>
      <c r="AM35" s="13">
        <f ca="1">SUMIF($L$4:$AL$4,"SUBTOTAL",$L$35:$AL$35)</f>
        <v>499.27463690547552</v>
      </c>
      <c r="AP35" s="13">
        <f>IF((1 - CUSTOS!$M$28)&lt;&gt;0,1/(1 - CUSTOS!$M$28),1)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>
        <f>'TR TUSD'!$L$36*'TR TUSD'!$L$64</f>
        <v>32.362851452384838</v>
      </c>
      <c r="M36" s="13">
        <f>'TR TUSD'!$M$36*'TR TUSD'!$M$64</f>
        <v>0.7423668428154877</v>
      </c>
      <c r="N36" s="13">
        <f ca="1">'TR TUSD'!$N$36*'TR TUSD'!$N$64</f>
        <v>0</v>
      </c>
      <c r="O36" s="13">
        <f>'TR TUSD'!$O$36*'TR TUSD'!$O$64</f>
        <v>0</v>
      </c>
      <c r="P36" s="13">
        <f>'TR TUSD'!$P$36*'TR TUSD'!$P$64</f>
        <v>0</v>
      </c>
      <c r="Q36" s="13">
        <f>'TR TUSD'!$Q$36*'TR TUSD'!$Q$64</f>
        <v>90.80233180680132</v>
      </c>
      <c r="R36" s="13">
        <f>'TR TUSD'!$R$36*'TR TUSD'!$R$64</f>
        <v>14.331562614370601</v>
      </c>
      <c r="S36" s="13">
        <f>'TR TUSD'!$S$36*'TR TUSD'!$S$64</f>
        <v>0</v>
      </c>
      <c r="T36" s="13">
        <f ca="1">SUM($L$36:$S$36)</f>
        <v>138.23911271637223</v>
      </c>
      <c r="U36" s="13">
        <f>'TR TUSD'!$U$36*'TR TUSD'!$U$64</f>
        <v>15.204441241550217</v>
      </c>
      <c r="V36" s="13">
        <f>'TR TUSD'!$V$36*'TR TUSD'!$V$64</f>
        <v>2.1395522772078168</v>
      </c>
      <c r="W36" s="13">
        <f>'TR TUSD'!$W$36*'TR TUSD'!$W$64</f>
        <v>0</v>
      </c>
      <c r="X36" s="13">
        <f>'TR TUSD'!$X$36*'TR TUSD'!$X$64</f>
        <v>0</v>
      </c>
      <c r="Y36" s="13">
        <f>'TR TUSD'!$Y$36*'TR TUSD'!$Y$64</f>
        <v>0</v>
      </c>
      <c r="Z36" s="13">
        <f>'TR TUSD'!$Z$36</f>
        <v>0</v>
      </c>
      <c r="AA36" s="13">
        <f>'TR TUSD'!$AA$36</f>
        <v>0</v>
      </c>
      <c r="AB36" s="13">
        <f>SUM($U$36:$AA$36)</f>
        <v>17.343993518758033</v>
      </c>
      <c r="AC36" s="13">
        <f>'TR TUSD'!$AC$36*'TR TUSD'!$AC$64</f>
        <v>98.952074868383463</v>
      </c>
      <c r="AD36" s="13">
        <f>SUM($AC$36:$AC$36)</f>
        <v>98.952074868383463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TUSD'!$AH$64</f>
        <v>12.147387166356939</v>
      </c>
      <c r="AI36" s="13">
        <f>'TR TUSD'!$AI$36*'TR TUSD'!$AI$64</f>
        <v>0</v>
      </c>
      <c r="AJ36" s="13">
        <f ca="1">'TR TUSD'!$AJ$36*'TR TUSD'!$AJ$64</f>
        <v>0</v>
      </c>
      <c r="AK36" s="13">
        <f ca="1">'TR TUSD'!$AK$36*'TR TUSD'!$AK$64</f>
        <v>0</v>
      </c>
      <c r="AL36" s="13">
        <f ca="1">SUM($AH$36:$AK$36)</f>
        <v>12.147387166356939</v>
      </c>
      <c r="AM36" s="13">
        <f ca="1">SUMIF($L$4:$AL$4,"SUBTOTAL",$L$36:$AL$36)</f>
        <v>266.68256826987067</v>
      </c>
      <c r="AP36" s="13">
        <f>IF((1 - CUSTOS!$M$28)&lt;&gt;0,1/(1 - CUSTOS!$M$28),1)</f>
        <v>1</v>
      </c>
    </row>
    <row r="37" spans="1:42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>
        <f>'TR TUSD'!$L$37*'TR TUSD'!$L$64</f>
        <v>32.362851452384838</v>
      </c>
      <c r="M37" s="13">
        <f>'TR TUSD'!$M$37*'TR TUSD'!$M$64</f>
        <v>0.7423668428154877</v>
      </c>
      <c r="N37" s="13">
        <f ca="1">'TR TUSD'!$N$37*'TR TUSD'!$N$64</f>
        <v>0</v>
      </c>
      <c r="O37" s="13">
        <f>'TR TUSD'!$O$37*'TR TUSD'!$O$64</f>
        <v>0</v>
      </c>
      <c r="P37" s="13">
        <f>'TR TUSD'!$P$37*'TR TUSD'!$P$64</f>
        <v>0</v>
      </c>
      <c r="Q37" s="13">
        <f>'TR TUSD'!$Q$37*'TR TUSD'!$Q$64</f>
        <v>90.80233180680132</v>
      </c>
      <c r="R37" s="13">
        <f>'TR TUSD'!$R$37*'TR TUSD'!$R$64</f>
        <v>14.331562614370601</v>
      </c>
      <c r="S37" s="13">
        <f>'TR TUSD'!$S$37*'TR TUSD'!$S$64</f>
        <v>0</v>
      </c>
      <c r="T37" s="13">
        <f ca="1">SUM($L$37:$S$37)</f>
        <v>138.23911271637223</v>
      </c>
      <c r="U37" s="13">
        <f>'TR TUSD'!$U$37*'TR TUSD'!$U$64</f>
        <v>25.770319482049437</v>
      </c>
      <c r="V37" s="13">
        <f>'TR TUSD'!$V$37*'TR TUSD'!$V$64</f>
        <v>3.6262537010943348</v>
      </c>
      <c r="W37" s="13">
        <f>'TR TUSD'!$W$37*'TR TUSD'!$W$64</f>
        <v>0</v>
      </c>
      <c r="X37" s="13">
        <f>'TR TUSD'!$X$37*'TR TUSD'!$X$64</f>
        <v>0</v>
      </c>
      <c r="Y37" s="13">
        <f>'TR TUSD'!$Y$37*'TR TUSD'!$Y$64</f>
        <v>0</v>
      </c>
      <c r="Z37" s="13">
        <f>'TR TUSD'!$Z$37</f>
        <v>0</v>
      </c>
      <c r="AA37" s="13">
        <f>'TR TUSD'!$AA$37</f>
        <v>0</v>
      </c>
      <c r="AB37" s="13">
        <f>SUM($U$37:$AA$37)</f>
        <v>29.396573183143772</v>
      </c>
      <c r="AC37" s="13">
        <f>'TR TUSD'!$AC$37*'TR TUSD'!$AC$64</f>
        <v>167.71531974832931</v>
      </c>
      <c r="AD37" s="13">
        <f>SUM($AC$37:$AC$37)</f>
        <v>167.71531974832931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TUSD'!$AH$64</f>
        <v>12.147387166356939</v>
      </c>
      <c r="AI37" s="13">
        <f>'TR TUSD'!$AI$37*'TR TUSD'!$AI$64</f>
        <v>0</v>
      </c>
      <c r="AJ37" s="13">
        <f ca="1">'TR TUSD'!$AJ$37*'TR TUSD'!$AJ$64</f>
        <v>0</v>
      </c>
      <c r="AK37" s="13">
        <f ca="1">'TR TUSD'!$AK$37*'TR TUSD'!$AK$64</f>
        <v>0</v>
      </c>
      <c r="AL37" s="13">
        <f ca="1">SUM($AH$37:$AK$37)</f>
        <v>12.147387166356939</v>
      </c>
      <c r="AM37" s="13">
        <f ca="1">SUMIF($L$4:$AL$4,"SUBTOTAL",$L$37:$AL$37)</f>
        <v>347.4983928142023</v>
      </c>
      <c r="AP37" s="13">
        <f>IF((1 - CUSTOS!$M$28)&lt;&gt;0,1/(1 - CUSTOS!$M$28),1)</f>
        <v>1</v>
      </c>
    </row>
    <row r="38" spans="1:42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>
        <f>'TR TUSD'!$L$38*'TR TUSD'!$L$64</f>
        <v>32.362851452384838</v>
      </c>
      <c r="M38" s="13">
        <f>'TR TUSD'!$M$38*'TR TUSD'!$M$64</f>
        <v>0.7423668428154877</v>
      </c>
      <c r="N38" s="13">
        <f ca="1">'TR TUSD'!$N$38*'TR TUSD'!$N$64</f>
        <v>0</v>
      </c>
      <c r="O38" s="13">
        <f>'TR TUSD'!$O$38*'TR TUSD'!$O$64</f>
        <v>0</v>
      </c>
      <c r="P38" s="13">
        <f>'TR TUSD'!$P$38*'TR TUSD'!$P$64</f>
        <v>0</v>
      </c>
      <c r="Q38" s="13">
        <f>'TR TUSD'!$Q$38*'TR TUSD'!$Q$64</f>
        <v>90.80233180680132</v>
      </c>
      <c r="R38" s="13">
        <f>'TR TUSD'!$R$38*'TR TUSD'!$R$64</f>
        <v>14.331562614370601</v>
      </c>
      <c r="S38" s="13">
        <f>'TR TUSD'!$S$38*'TR TUSD'!$S$64</f>
        <v>0</v>
      </c>
      <c r="T38" s="13">
        <f ca="1">SUM($L$38:$S$38)</f>
        <v>138.23911271637223</v>
      </c>
      <c r="U38" s="13">
        <f>'TR TUSD'!$U$38*'TR TUSD'!$U$64</f>
        <v>76.022345186748012</v>
      </c>
      <c r="V38" s="13">
        <f>'TR TUSD'!$V$38*'TR TUSD'!$V$64</f>
        <v>10.697970031246282</v>
      </c>
      <c r="W38" s="13">
        <f>'TR TUSD'!$W$38*'TR TUSD'!$W$64</f>
        <v>0</v>
      </c>
      <c r="X38" s="13">
        <f>'TR TUSD'!$X$38*'TR TUSD'!$X$64</f>
        <v>0</v>
      </c>
      <c r="Y38" s="13">
        <f>'TR TUSD'!$Y$38*'TR TUSD'!$Y$64</f>
        <v>0</v>
      </c>
      <c r="Z38" s="13">
        <f>'TR TUSD'!$Z$38</f>
        <v>0</v>
      </c>
      <c r="AA38" s="13">
        <f>'TR TUSD'!$AA$38</f>
        <v>0</v>
      </c>
      <c r="AB38" s="13">
        <f>SUM($U$38:$AA$38)</f>
        <v>86.720315217994298</v>
      </c>
      <c r="AC38" s="13">
        <f>'TR TUSD'!$AC$38*'TR TUSD'!$AC$64</f>
        <v>494.76020188063552</v>
      </c>
      <c r="AD38" s="13">
        <f>SUM($AC$38:$AC$38)</f>
        <v>494.76020188063552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TUSD'!$AH$64</f>
        <v>12.147387166356939</v>
      </c>
      <c r="AI38" s="13">
        <f>'TR TUSD'!$AI$38*'TR TUSD'!$AI$64</f>
        <v>0</v>
      </c>
      <c r="AJ38" s="13">
        <f ca="1">'TR TUSD'!$AJ$38*'TR TUSD'!$AJ$64</f>
        <v>0</v>
      </c>
      <c r="AK38" s="13">
        <f ca="1">'TR TUSD'!$AK$38*'TR TUSD'!$AK$64</f>
        <v>0</v>
      </c>
      <c r="AL38" s="13">
        <f ca="1">SUM($AH$38:$AK$38)</f>
        <v>12.147387166356939</v>
      </c>
      <c r="AM38" s="13">
        <f ca="1">SUMIF($L$4:$AL$4,"SUBTOTAL",$L$38:$AL$38)</f>
        <v>731.86701698135892</v>
      </c>
      <c r="AP38" s="13">
        <f>IF((1 - CUSTOS!$M$29)&lt;&gt;0,1/(1 - CUSTOS!$M$29),1)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>
        <f>'TR TUSD'!$L$39*'TR TUSD'!$L$64</f>
        <v>32.362851452384838</v>
      </c>
      <c r="M39" s="13">
        <f>'TR TUSD'!$M$39*'TR TUSD'!$M$64</f>
        <v>0.7423668428154877</v>
      </c>
      <c r="N39" s="13">
        <f ca="1">'TR TUSD'!$N$39*'TR TUSD'!$N$64</f>
        <v>0</v>
      </c>
      <c r="O39" s="13">
        <f>'TR TUSD'!$O$39*'TR TUSD'!$O$64</f>
        <v>0</v>
      </c>
      <c r="P39" s="13">
        <f>'TR TUSD'!$P$39*'TR TUSD'!$P$64</f>
        <v>0</v>
      </c>
      <c r="Q39" s="13">
        <f>'TR TUSD'!$Q$39*'TR TUSD'!$Q$64</f>
        <v>90.80233180680132</v>
      </c>
      <c r="R39" s="13">
        <f>'TR TUSD'!$R$39*'TR TUSD'!$R$64</f>
        <v>14.331562614370601</v>
      </c>
      <c r="S39" s="13">
        <f>'TR TUSD'!$S$39*'TR TUSD'!$S$64</f>
        <v>0</v>
      </c>
      <c r="T39" s="13">
        <f ca="1">SUM($L$39:$S$39)</f>
        <v>138.23911271637223</v>
      </c>
      <c r="U39" s="13">
        <f>'TR TUSD'!$U$39*'TR TUSD'!$U$64</f>
        <v>45.613323724650655</v>
      </c>
      <c r="V39" s="13">
        <f>'TR TUSD'!$V$39*'TR TUSD'!$V$64</f>
        <v>6.4187611542270488</v>
      </c>
      <c r="W39" s="13">
        <f>'TR TUSD'!$W$39*'TR TUSD'!$W$64</f>
        <v>0</v>
      </c>
      <c r="X39" s="13">
        <f>'TR TUSD'!$X$39*'TR TUSD'!$X$64</f>
        <v>0</v>
      </c>
      <c r="Y39" s="13">
        <f>'TR TUSD'!$Y$39*'TR TUSD'!$Y$64</f>
        <v>0</v>
      </c>
      <c r="Z39" s="13">
        <f>'TR TUSD'!$Z$39</f>
        <v>0</v>
      </c>
      <c r="AA39" s="13">
        <f>'TR TUSD'!$AA$39</f>
        <v>0</v>
      </c>
      <c r="AB39" s="13">
        <f>SUM($U$39:$AA$39)</f>
        <v>52.032084878877704</v>
      </c>
      <c r="AC39" s="13">
        <f>'TR TUSD'!$AC$39*'TR TUSD'!$AC$64</f>
        <v>296.85605214386862</v>
      </c>
      <c r="AD39" s="13">
        <f>SUM($AC$39:$AC$39)</f>
        <v>296.85605214386862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TUSD'!$AH$64</f>
        <v>12.147387166356939</v>
      </c>
      <c r="AI39" s="13">
        <f>'TR TUSD'!$AI$39*'TR TUSD'!$AI$64</f>
        <v>0</v>
      </c>
      <c r="AJ39" s="13">
        <f ca="1">'TR TUSD'!$AJ$39*'TR TUSD'!$AJ$64</f>
        <v>0</v>
      </c>
      <c r="AK39" s="13">
        <f ca="1">'TR TUSD'!$AK$39*'TR TUSD'!$AK$64</f>
        <v>0</v>
      </c>
      <c r="AL39" s="13">
        <f ca="1">SUM($AH$39:$AK$39)</f>
        <v>12.147387166356939</v>
      </c>
      <c r="AM39" s="13">
        <f ca="1">SUMIF($L$4:$AL$4,"SUBTOTAL",$L$39:$AL$39)</f>
        <v>499.27463690547552</v>
      </c>
      <c r="AP39" s="13">
        <f>IF((1 - CUSTOS!$M$29)&lt;&gt;0,1/(1 - CUSTOS!$M$29),1)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>
        <f>'TR TUSD'!$L$40*'TR TUSD'!$L$64</f>
        <v>32.362851452384838</v>
      </c>
      <c r="M40" s="13">
        <f>'TR TUSD'!$M$40*'TR TUSD'!$M$64</f>
        <v>0.7423668428154877</v>
      </c>
      <c r="N40" s="13">
        <f ca="1">'TR TUSD'!$N$40*'TR TUSD'!$N$64</f>
        <v>0</v>
      </c>
      <c r="O40" s="13">
        <f>'TR TUSD'!$O$40*'TR TUSD'!$O$64</f>
        <v>0</v>
      </c>
      <c r="P40" s="13">
        <f>'TR TUSD'!$P$40*'TR TUSD'!$P$64</f>
        <v>0</v>
      </c>
      <c r="Q40" s="13">
        <f>'TR TUSD'!$Q$40*'TR TUSD'!$Q$64</f>
        <v>90.80233180680132</v>
      </c>
      <c r="R40" s="13">
        <f>'TR TUSD'!$R$40*'TR TUSD'!$R$64</f>
        <v>14.331562614370601</v>
      </c>
      <c r="S40" s="13">
        <f>'TR TUSD'!$S$40*'TR TUSD'!$S$64</f>
        <v>0</v>
      </c>
      <c r="T40" s="13">
        <f ca="1">SUM($L$40:$S$40)</f>
        <v>138.23911271637223</v>
      </c>
      <c r="U40" s="13">
        <f>'TR TUSD'!$U$40*'TR TUSD'!$U$64</f>
        <v>15.204441241550217</v>
      </c>
      <c r="V40" s="13">
        <f>'TR TUSD'!$V$40*'TR TUSD'!$V$64</f>
        <v>2.1395522772078168</v>
      </c>
      <c r="W40" s="13">
        <f>'TR TUSD'!$W$40*'TR TUSD'!$W$64</f>
        <v>0</v>
      </c>
      <c r="X40" s="13">
        <f>'TR TUSD'!$X$40*'TR TUSD'!$X$64</f>
        <v>0</v>
      </c>
      <c r="Y40" s="13">
        <f>'TR TUSD'!$Y$40*'TR TUSD'!$Y$64</f>
        <v>0</v>
      </c>
      <c r="Z40" s="13">
        <f>'TR TUSD'!$Z$40</f>
        <v>0</v>
      </c>
      <c r="AA40" s="13">
        <f>'TR TUSD'!$AA$40</f>
        <v>0</v>
      </c>
      <c r="AB40" s="13">
        <f>SUM($U$40:$AA$40)</f>
        <v>17.343993518758033</v>
      </c>
      <c r="AC40" s="13">
        <f>'TR TUSD'!$AC$40*'TR TUSD'!$AC$64</f>
        <v>98.952074868383463</v>
      </c>
      <c r="AD40" s="13">
        <f>SUM($AC$40:$AC$40)</f>
        <v>98.952074868383463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TUSD'!$AH$64</f>
        <v>12.147387166356939</v>
      </c>
      <c r="AI40" s="13">
        <f>'TR TUSD'!$AI$40*'TR TUSD'!$AI$64</f>
        <v>0</v>
      </c>
      <c r="AJ40" s="13">
        <f ca="1">'TR TUSD'!$AJ$40*'TR TUSD'!$AJ$64</f>
        <v>0</v>
      </c>
      <c r="AK40" s="13">
        <f ca="1">'TR TUSD'!$AK$40*'TR TUSD'!$AK$64</f>
        <v>0</v>
      </c>
      <c r="AL40" s="13">
        <f ca="1">SUM($AH$40:$AK$40)</f>
        <v>12.147387166356939</v>
      </c>
      <c r="AM40" s="13">
        <f ca="1">SUMIF($L$4:$AL$4,"SUBTOTAL",$L$40:$AL$40)</f>
        <v>266.68256826987067</v>
      </c>
      <c r="AP40" s="13">
        <f>IF((1 - CUSTOS!$M$29)&lt;&gt;0,1/(1 - CUSTOS!$M$29),1)</f>
        <v>1</v>
      </c>
    </row>
    <row r="41" spans="1:42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>
        <f>'TR TUSD'!$L$41*'TR TUSD'!$L$64</f>
        <v>32.362851452384838</v>
      </c>
      <c r="M41" s="13">
        <f>'TR TUSD'!$M$41*'TR TUSD'!$M$64</f>
        <v>0.7423668428154877</v>
      </c>
      <c r="N41" s="13">
        <f ca="1">'TR TUSD'!$N$41*'TR TUSD'!$N$64</f>
        <v>0</v>
      </c>
      <c r="O41" s="13">
        <f>'TR TUSD'!$O$41*'TR TUSD'!$O$64</f>
        <v>0</v>
      </c>
      <c r="P41" s="13">
        <f>'TR TUSD'!$P$41*'TR TUSD'!$P$64</f>
        <v>0</v>
      </c>
      <c r="Q41" s="13">
        <f>'TR TUSD'!$Q$41*'TR TUSD'!$Q$64</f>
        <v>90.80233180680132</v>
      </c>
      <c r="R41" s="13">
        <f>'TR TUSD'!$R$41*'TR TUSD'!$R$64</f>
        <v>14.331562614370601</v>
      </c>
      <c r="S41" s="13">
        <f>'TR TUSD'!$S$41*'TR TUSD'!$S$64</f>
        <v>0</v>
      </c>
      <c r="T41" s="13">
        <f ca="1">SUM($L$41:$S$41)</f>
        <v>138.23911271637223</v>
      </c>
      <c r="U41" s="13">
        <f>'TR TUSD'!$U$41*'TR TUSD'!$U$64</f>
        <v>25.770319482049437</v>
      </c>
      <c r="V41" s="13">
        <f>'TR TUSD'!$V$41*'TR TUSD'!$V$64</f>
        <v>3.6262537010943348</v>
      </c>
      <c r="W41" s="13">
        <f>'TR TUSD'!$W$41*'TR TUSD'!$W$64</f>
        <v>0</v>
      </c>
      <c r="X41" s="13">
        <f>'TR TUSD'!$X$41*'TR TUSD'!$X$64</f>
        <v>0</v>
      </c>
      <c r="Y41" s="13">
        <f>'TR TUSD'!$Y$41*'TR TUSD'!$Y$64</f>
        <v>0</v>
      </c>
      <c r="Z41" s="13">
        <f>'TR TUSD'!$Z$41</f>
        <v>0</v>
      </c>
      <c r="AA41" s="13">
        <f>'TR TUSD'!$AA$41</f>
        <v>0</v>
      </c>
      <c r="AB41" s="13">
        <f>SUM($U$41:$AA$41)</f>
        <v>29.396573183143772</v>
      </c>
      <c r="AC41" s="13">
        <f>'TR TUSD'!$AC$41*'TR TUSD'!$AC$64</f>
        <v>167.71531974832931</v>
      </c>
      <c r="AD41" s="13">
        <f>SUM($AC$41:$AC$41)</f>
        <v>167.71531974832931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TUSD'!$AH$64</f>
        <v>12.147387166356939</v>
      </c>
      <c r="AI41" s="13">
        <f>'TR TUSD'!$AI$41*'TR TUSD'!$AI$64</f>
        <v>0</v>
      </c>
      <c r="AJ41" s="13">
        <f ca="1">'TR TUSD'!$AJ$41*'TR TUSD'!$AJ$64</f>
        <v>0</v>
      </c>
      <c r="AK41" s="13">
        <f ca="1">'TR TUSD'!$AK$41*'TR TUSD'!$AK$64</f>
        <v>0</v>
      </c>
      <c r="AL41" s="13">
        <f ca="1">SUM($AH$41:$AK$41)</f>
        <v>12.147387166356939</v>
      </c>
      <c r="AM41" s="13">
        <f ca="1">SUMIF($L$4:$AL$4,"SUBTOTAL",$L$41:$AL$41)</f>
        <v>347.4983928142023</v>
      </c>
      <c r="AP41" s="13">
        <f>IF((1 - CUSTOS!$M$29)&lt;&gt;0,1/(1 - CUSTOS!$M$29),1)</f>
        <v>1</v>
      </c>
    </row>
    <row r="42" spans="1:42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>
        <f>'TR TUSD'!$L$42*'TR TUSD'!$L$64</f>
        <v>32.362851452384838</v>
      </c>
      <c r="M42" s="13">
        <f>'TR TUSD'!$M$42*'TR TUSD'!$M$64</f>
        <v>0.7423668428154877</v>
      </c>
      <c r="N42" s="13">
        <f ca="1">'TR TUSD'!$N$42*'TR TUSD'!$N$64</f>
        <v>0</v>
      </c>
      <c r="O42" s="13">
        <f>'TR TUSD'!$O$42*'TR TUSD'!$O$64</f>
        <v>0</v>
      </c>
      <c r="P42" s="13">
        <f>'TR TUSD'!$P$42*'TR TUSD'!$P$64</f>
        <v>0</v>
      </c>
      <c r="Q42" s="13">
        <f>'TR TUSD'!$Q$42*'TR TUSD'!$Q$64</f>
        <v>90.80233180680132</v>
      </c>
      <c r="R42" s="13">
        <f>'TR TUSD'!$R$42*'TR TUSD'!$R$64</f>
        <v>14.331562614370601</v>
      </c>
      <c r="S42" s="13">
        <f>'TR TUSD'!$S$42*'TR TUSD'!$S$64</f>
        <v>0</v>
      </c>
      <c r="T42" s="13">
        <f ca="1">SUM($L$42:$S$42)</f>
        <v>138.23911271637223</v>
      </c>
      <c r="U42" s="13">
        <f>'TR TUSD'!$U$42*'TR TUSD'!$U$64</f>
        <v>76.022345186748012</v>
      </c>
      <c r="V42" s="13">
        <f>'TR TUSD'!$V$42*'TR TUSD'!$V$64</f>
        <v>10.697970031246282</v>
      </c>
      <c r="W42" s="13">
        <f>'TR TUSD'!$W$42*'TR TUSD'!$W$64</f>
        <v>0</v>
      </c>
      <c r="X42" s="13">
        <f>'TR TUSD'!$X$42*'TR TUSD'!$X$64</f>
        <v>0</v>
      </c>
      <c r="Y42" s="13">
        <f>'TR TUSD'!$Y$42*'TR TUSD'!$Y$64</f>
        <v>0</v>
      </c>
      <c r="Z42" s="13">
        <f>'TR TUSD'!$Z$42</f>
        <v>0</v>
      </c>
      <c r="AA42" s="13">
        <f>'TR TUSD'!$AA$42</f>
        <v>0</v>
      </c>
      <c r="AB42" s="13">
        <f>SUM($U$42:$AA$42)</f>
        <v>86.720315217994298</v>
      </c>
      <c r="AC42" s="13">
        <f>'TR TUSD'!$AC$42*'TR TUSD'!$AC$64</f>
        <v>494.76020188063552</v>
      </c>
      <c r="AD42" s="13">
        <f>SUM($AC$42:$AC$42)</f>
        <v>494.76020188063552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TUSD'!$AH$64</f>
        <v>12.147387166356939</v>
      </c>
      <c r="AI42" s="13">
        <f>'TR TUSD'!$AI$42*'TR TUSD'!$AI$64</f>
        <v>0</v>
      </c>
      <c r="AJ42" s="13">
        <f ca="1">'TR TUSD'!$AJ$42*'TR TUSD'!$AJ$64</f>
        <v>0</v>
      </c>
      <c r="AK42" s="13">
        <f ca="1">'TR TUSD'!$AK$42*'TR TUSD'!$AK$64</f>
        <v>0</v>
      </c>
      <c r="AL42" s="13">
        <f ca="1">SUM($AH$42:$AK$42)</f>
        <v>12.147387166356939</v>
      </c>
      <c r="AM42" s="13">
        <f ca="1">SUMIF($L$4:$AL$4,"SUBTOTAL",$L$42:$AL$42)</f>
        <v>731.86701698135892</v>
      </c>
      <c r="AP42" s="13">
        <f>IF((1 - CUSTOS!$M$30)&lt;&gt;0,1/(1 - CUSTOS!$M$30),1)</f>
        <v>1</v>
      </c>
    </row>
    <row r="43" spans="1:42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>
        <f>'TR TUSD'!$L$43*'TR TUSD'!$L$64</f>
        <v>32.362851452384838</v>
      </c>
      <c r="M43" s="13">
        <f>'TR TUSD'!$M$43*'TR TUSD'!$M$64</f>
        <v>0.7423668428154877</v>
      </c>
      <c r="N43" s="13">
        <f ca="1">'TR TUSD'!$N$43*'TR TUSD'!$N$64</f>
        <v>0</v>
      </c>
      <c r="O43" s="13">
        <f>'TR TUSD'!$O$43*'TR TUSD'!$O$64</f>
        <v>0</v>
      </c>
      <c r="P43" s="13">
        <f>'TR TUSD'!$P$43*'TR TUSD'!$P$64</f>
        <v>0</v>
      </c>
      <c r="Q43" s="13">
        <f>'TR TUSD'!$Q$43*'TR TUSD'!$Q$64</f>
        <v>90.80233180680132</v>
      </c>
      <c r="R43" s="13">
        <f>'TR TUSD'!$R$43*'TR TUSD'!$R$64</f>
        <v>14.331562614370601</v>
      </c>
      <c r="S43" s="13">
        <f>'TR TUSD'!$S$43*'TR TUSD'!$S$64</f>
        <v>0</v>
      </c>
      <c r="T43" s="13">
        <f ca="1">SUM($L$43:$S$43)</f>
        <v>138.23911271637223</v>
      </c>
      <c r="U43" s="13">
        <f>'TR TUSD'!$U$43*'TR TUSD'!$U$64</f>
        <v>45.613323724650655</v>
      </c>
      <c r="V43" s="13">
        <f>'TR TUSD'!$V$43*'TR TUSD'!$V$64</f>
        <v>6.4187611542270488</v>
      </c>
      <c r="W43" s="13">
        <f>'TR TUSD'!$W$43*'TR TUSD'!$W$64</f>
        <v>0</v>
      </c>
      <c r="X43" s="13">
        <f>'TR TUSD'!$X$43*'TR TUSD'!$X$64</f>
        <v>0</v>
      </c>
      <c r="Y43" s="13">
        <f>'TR TUSD'!$Y$43*'TR TUSD'!$Y$64</f>
        <v>0</v>
      </c>
      <c r="Z43" s="13">
        <f>'TR TUSD'!$Z$43</f>
        <v>0</v>
      </c>
      <c r="AA43" s="13">
        <f>'TR TUSD'!$AA$43</f>
        <v>0</v>
      </c>
      <c r="AB43" s="13">
        <f>SUM($U$43:$AA$43)</f>
        <v>52.032084878877704</v>
      </c>
      <c r="AC43" s="13">
        <f>'TR TUSD'!$AC$43*'TR TUSD'!$AC$64</f>
        <v>296.85605214386862</v>
      </c>
      <c r="AD43" s="13">
        <f>SUM($AC$43:$AC$43)</f>
        <v>296.85605214386862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TUSD'!$AH$64</f>
        <v>12.147387166356939</v>
      </c>
      <c r="AI43" s="13">
        <f>'TR TUSD'!$AI$43*'TR TUSD'!$AI$64</f>
        <v>0</v>
      </c>
      <c r="AJ43" s="13">
        <f ca="1">'TR TUSD'!$AJ$43*'TR TUSD'!$AJ$64</f>
        <v>0</v>
      </c>
      <c r="AK43" s="13">
        <f ca="1">'TR TUSD'!$AK$43*'TR TUSD'!$AK$64</f>
        <v>0</v>
      </c>
      <c r="AL43" s="13">
        <f ca="1">SUM($AH$43:$AK$43)</f>
        <v>12.147387166356939</v>
      </c>
      <c r="AM43" s="13">
        <f ca="1">SUMIF($L$4:$AL$4,"SUBTOTAL",$L$43:$AL$43)</f>
        <v>499.27463690547552</v>
      </c>
      <c r="AP43" s="13">
        <f>IF((1 - CUSTOS!$M$30)&lt;&gt;0,1/(1 - CUSTOS!$M$30),1)</f>
        <v>1</v>
      </c>
    </row>
    <row r="44" spans="1:42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>
        <f>'TR TUSD'!$L$44*'TR TUSD'!$L$64</f>
        <v>32.362851452384838</v>
      </c>
      <c r="M44" s="13">
        <f>'TR TUSD'!$M$44*'TR TUSD'!$M$64</f>
        <v>0.7423668428154877</v>
      </c>
      <c r="N44" s="13">
        <f ca="1">'TR TUSD'!$N$44*'TR TUSD'!$N$64</f>
        <v>0</v>
      </c>
      <c r="O44" s="13">
        <f>'TR TUSD'!$O$44*'TR TUSD'!$O$64</f>
        <v>0</v>
      </c>
      <c r="P44" s="13">
        <f>'TR TUSD'!$P$44*'TR TUSD'!$P$64</f>
        <v>0</v>
      </c>
      <c r="Q44" s="13">
        <f>'TR TUSD'!$Q$44*'TR TUSD'!$Q$64</f>
        <v>90.80233180680132</v>
      </c>
      <c r="R44" s="13">
        <f>'TR TUSD'!$R$44*'TR TUSD'!$R$64</f>
        <v>14.331562614370601</v>
      </c>
      <c r="S44" s="13">
        <f>'TR TUSD'!$S$44*'TR TUSD'!$S$64</f>
        <v>0</v>
      </c>
      <c r="T44" s="13">
        <f ca="1">SUM($L$44:$S$44)</f>
        <v>138.23911271637223</v>
      </c>
      <c r="U44" s="13">
        <f>'TR TUSD'!$U$44*'TR TUSD'!$U$64</f>
        <v>15.204441241550217</v>
      </c>
      <c r="V44" s="13">
        <f>'TR TUSD'!$V$44*'TR TUSD'!$V$64</f>
        <v>2.1395522772078168</v>
      </c>
      <c r="W44" s="13">
        <f>'TR TUSD'!$W$44*'TR TUSD'!$W$64</f>
        <v>0</v>
      </c>
      <c r="X44" s="13">
        <f>'TR TUSD'!$X$44*'TR TUSD'!$X$64</f>
        <v>0</v>
      </c>
      <c r="Y44" s="13">
        <f>'TR TUSD'!$Y$44*'TR TUSD'!$Y$64</f>
        <v>0</v>
      </c>
      <c r="Z44" s="13">
        <f>'TR TUSD'!$Z$44</f>
        <v>0</v>
      </c>
      <c r="AA44" s="13">
        <f>'TR TUSD'!$AA$44</f>
        <v>0</v>
      </c>
      <c r="AB44" s="13">
        <f>SUM($U$44:$AA$44)</f>
        <v>17.343993518758033</v>
      </c>
      <c r="AC44" s="13">
        <f>'TR TUSD'!$AC$44*'TR TUSD'!$AC$64</f>
        <v>98.952074868383463</v>
      </c>
      <c r="AD44" s="13">
        <f>SUM($AC$44:$AC$44)</f>
        <v>98.952074868383463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TUSD'!$AH$64</f>
        <v>12.147387166356939</v>
      </c>
      <c r="AI44" s="13">
        <f>'TR TUSD'!$AI$44*'TR TUSD'!$AI$64</f>
        <v>0</v>
      </c>
      <c r="AJ44" s="13">
        <f ca="1">'TR TUSD'!$AJ$44*'TR TUSD'!$AJ$64</f>
        <v>0</v>
      </c>
      <c r="AK44" s="13">
        <f ca="1">'TR TUSD'!$AK$44*'TR TUSD'!$AK$64</f>
        <v>0</v>
      </c>
      <c r="AL44" s="13">
        <f ca="1">SUM($AH$44:$AK$44)</f>
        <v>12.147387166356939</v>
      </c>
      <c r="AM44" s="13">
        <f ca="1">SUMIF($L$4:$AL$4,"SUBTOTAL",$L$44:$AL$44)</f>
        <v>266.68256826987067</v>
      </c>
      <c r="AP44" s="13">
        <f>IF((1 - CUSTOS!$M$30)&lt;&gt;0,1/(1 - CUSTOS!$M$30),1)</f>
        <v>1</v>
      </c>
    </row>
    <row r="45" spans="1:42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>
        <f>'TR TUSD'!$L$45*'TR TUSD'!$L$64</f>
        <v>32.362851452384838</v>
      </c>
      <c r="M45" s="13">
        <f>'TR TUSD'!$M$45*'TR TUSD'!$M$64</f>
        <v>0.7423668428154877</v>
      </c>
      <c r="N45" s="13">
        <f ca="1">'TR TUSD'!$N$45*'TR TUSD'!$N$64</f>
        <v>0</v>
      </c>
      <c r="O45" s="13">
        <f>'TR TUSD'!$O$45*'TR TUSD'!$O$64</f>
        <v>0</v>
      </c>
      <c r="P45" s="13">
        <f>'TR TUSD'!$P$45*'TR TUSD'!$P$64</f>
        <v>0</v>
      </c>
      <c r="Q45" s="13">
        <f>'TR TUSD'!$Q$45*'TR TUSD'!$Q$64</f>
        <v>90.80233180680132</v>
      </c>
      <c r="R45" s="13">
        <f>'TR TUSD'!$R$45*'TR TUSD'!$R$64</f>
        <v>14.331562614370601</v>
      </c>
      <c r="S45" s="13">
        <f>'TR TUSD'!$S$45*'TR TUSD'!$S$64</f>
        <v>0</v>
      </c>
      <c r="T45" s="13">
        <f ca="1">SUM($L$45:$S$45)</f>
        <v>138.23911271637223</v>
      </c>
      <c r="U45" s="13">
        <f>'TR TUSD'!$U$45*'TR TUSD'!$U$64</f>
        <v>25.770319482049437</v>
      </c>
      <c r="V45" s="13">
        <f>'TR TUSD'!$V$45*'TR TUSD'!$V$64</f>
        <v>3.6262537010943348</v>
      </c>
      <c r="W45" s="13">
        <f>'TR TUSD'!$W$45*'TR TUSD'!$W$64</f>
        <v>0</v>
      </c>
      <c r="X45" s="13">
        <f>'TR TUSD'!$X$45*'TR TUSD'!$X$64</f>
        <v>0</v>
      </c>
      <c r="Y45" s="13">
        <f>'TR TUSD'!$Y$45*'TR TUSD'!$Y$64</f>
        <v>0</v>
      </c>
      <c r="Z45" s="13">
        <f>'TR TUSD'!$Z$45</f>
        <v>0</v>
      </c>
      <c r="AA45" s="13">
        <f>'TR TUSD'!$AA$45</f>
        <v>0</v>
      </c>
      <c r="AB45" s="13">
        <f>SUM($U$45:$AA$45)</f>
        <v>29.396573183143772</v>
      </c>
      <c r="AC45" s="13">
        <f>'TR TUSD'!$AC$45*'TR TUSD'!$AC$64</f>
        <v>167.71531974832931</v>
      </c>
      <c r="AD45" s="13">
        <f>SUM($AC$45:$AC$45)</f>
        <v>167.71531974832931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TUSD'!$AH$64</f>
        <v>12.147387166356939</v>
      </c>
      <c r="AI45" s="13">
        <f>'TR TUSD'!$AI$45*'TR TUSD'!$AI$64</f>
        <v>0</v>
      </c>
      <c r="AJ45" s="13">
        <f ca="1">'TR TUSD'!$AJ$45*'TR TUSD'!$AJ$64</f>
        <v>0</v>
      </c>
      <c r="AK45" s="13">
        <f ca="1">'TR TUSD'!$AK$45*'TR TUSD'!$AK$64</f>
        <v>0</v>
      </c>
      <c r="AL45" s="13">
        <f ca="1">SUM($AH$45:$AK$45)</f>
        <v>12.147387166356939</v>
      </c>
      <c r="AM45" s="13">
        <f ca="1">SUMIF($L$4:$AL$4,"SUBTOTAL",$L$45:$AL$45)</f>
        <v>347.4983928142023</v>
      </c>
      <c r="AP45" s="13">
        <f>IF((1 - CUSTOS!$M$30)&lt;&gt;0,1/(1 - CUSTOS!$M$30),1)</f>
        <v>1</v>
      </c>
    </row>
    <row r="46" spans="1:42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>
        <f>'TR TUSD'!$L$46*'TR TUSD'!$L$64</f>
        <v>32.362851452384838</v>
      </c>
      <c r="M46" s="13">
        <f>'TR TUSD'!$M$46*'TR TUSD'!$M$64</f>
        <v>0.7423668428154877</v>
      </c>
      <c r="N46" s="13">
        <f ca="1">'TR TUSD'!$N$46*'TR TUSD'!$N$64</f>
        <v>0</v>
      </c>
      <c r="O46" s="13">
        <f>'TR TUSD'!$O$46*'TR TUSD'!$O$64</f>
        <v>0</v>
      </c>
      <c r="P46" s="13">
        <f>'TR TUSD'!$P$46*'TR TUSD'!$P$64</f>
        <v>0</v>
      </c>
      <c r="Q46" s="13">
        <f>'TR TUSD'!$Q$46*'TR TUSD'!$Q$64</f>
        <v>90.80233180680132</v>
      </c>
      <c r="R46" s="13">
        <f>'TR TUSD'!$R$46*'TR TUSD'!$R$64</f>
        <v>14.331562614370601</v>
      </c>
      <c r="S46" s="13">
        <f>'TR TUSD'!$S$46*'TR TUSD'!$S$64</f>
        <v>0</v>
      </c>
      <c r="T46" s="13">
        <f ca="1">SUM($L$46:$S$46)</f>
        <v>138.23911271637223</v>
      </c>
      <c r="U46" s="13">
        <f>'TR TUSD'!$U$46*'TR TUSD'!$U$64</f>
        <v>25.770319482049437</v>
      </c>
      <c r="V46" s="13">
        <f>'TR TUSD'!$V$46*'TR TUSD'!$V$64</f>
        <v>3.6262537010943348</v>
      </c>
      <c r="W46" s="13">
        <f>'TR TUSD'!$W$46*'TR TUSD'!$W$64</f>
        <v>0</v>
      </c>
      <c r="X46" s="13">
        <f>'TR TUSD'!$X$46*'TR TUSD'!$X$64</f>
        <v>0</v>
      </c>
      <c r="Y46" s="13">
        <f>'TR TUSD'!$Y$46*'TR TUSD'!$Y$64</f>
        <v>0</v>
      </c>
      <c r="Z46" s="13">
        <f>'TR TUSD'!$Z$46</f>
        <v>0</v>
      </c>
      <c r="AA46" s="13">
        <f>'TR TUSD'!$AA$46</f>
        <v>0</v>
      </c>
      <c r="AB46" s="13">
        <f>SUM($U$46:$AA$46)</f>
        <v>29.396573183143772</v>
      </c>
      <c r="AC46" s="13">
        <f>'TR TUSD'!$AC$46*'TR TUSD'!$AC$64</f>
        <v>167.71531974832931</v>
      </c>
      <c r="AD46" s="13">
        <f>SUM($AC$46:$AC$46)</f>
        <v>167.71531974832931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TUSD'!$AH$64</f>
        <v>12.147387166356939</v>
      </c>
      <c r="AI46" s="13">
        <f>'TR TUSD'!$AI$46*'TR TUSD'!$AI$64</f>
        <v>0</v>
      </c>
      <c r="AJ46" s="13">
        <f ca="1">'TR TUSD'!$AJ$46*'TR TUSD'!$AJ$64</f>
        <v>0</v>
      </c>
      <c r="AK46" s="13">
        <f ca="1">'TR TUSD'!$AK$46*'TR TUSD'!$AK$64</f>
        <v>0</v>
      </c>
      <c r="AL46" s="13">
        <f ca="1">SUM($AH$46:$AK$46)</f>
        <v>12.147387166356939</v>
      </c>
      <c r="AM46" s="13">
        <f ca="1">SUMIF($L$4:$AL$4,"SUBTOTAL",$L$46:$AL$46)</f>
        <v>347.4983928142023</v>
      </c>
      <c r="AP46" s="13">
        <f>IF((1 - CUSTOS!$M$28)&lt;&gt;0,1/(1 - CUSTOS!$M$28),1)</f>
        <v>1</v>
      </c>
    </row>
    <row r="47" spans="1:42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>
        <f>'TR TUSD'!$L$47*'TR TUSD'!$L$64</f>
        <v>32.362851452384838</v>
      </c>
      <c r="M47" s="13">
        <f>'TR TUSD'!$M$47*'TR TUSD'!$M$64</f>
        <v>0.7423668428154877</v>
      </c>
      <c r="N47" s="13">
        <f ca="1">'TR TUSD'!$N$47*'TR TUSD'!$N$64</f>
        <v>0</v>
      </c>
      <c r="O47" s="13">
        <f>'TR TUSD'!$O$47*'TR TUSD'!$O$64</f>
        <v>0</v>
      </c>
      <c r="P47" s="13">
        <f>'TR TUSD'!$P$47*'TR TUSD'!$P$64</f>
        <v>0</v>
      </c>
      <c r="Q47" s="13">
        <f>'TR TUSD'!$Q$47*'TR TUSD'!$Q$64</f>
        <v>90.80233180680132</v>
      </c>
      <c r="R47" s="13">
        <f>'TR TUSD'!$R$47*'TR TUSD'!$R$64</f>
        <v>14.331562614370601</v>
      </c>
      <c r="S47" s="13">
        <f>'TR TUSD'!$S$47*'TR TUSD'!$S$64</f>
        <v>0</v>
      </c>
      <c r="T47" s="13">
        <f ca="1">SUM($L$47:$S$47)</f>
        <v>138.23911271637223</v>
      </c>
      <c r="U47" s="13">
        <f>'TR TUSD'!$U$47*'TR TUSD'!$U$64</f>
        <v>25.770319482049437</v>
      </c>
      <c r="V47" s="13">
        <f>'TR TUSD'!$V$47*'TR TUSD'!$V$64</f>
        <v>3.6262537010943348</v>
      </c>
      <c r="W47" s="13">
        <f>'TR TUSD'!$W$47*'TR TUSD'!$W$64</f>
        <v>0</v>
      </c>
      <c r="X47" s="13">
        <f>'TR TUSD'!$X$47*'TR TUSD'!$X$64</f>
        <v>0</v>
      </c>
      <c r="Y47" s="13">
        <f>'TR TUSD'!$Y$47*'TR TUSD'!$Y$64</f>
        <v>0</v>
      </c>
      <c r="Z47" s="13">
        <f>'TR TUSD'!$Z$47</f>
        <v>0</v>
      </c>
      <c r="AA47" s="13">
        <f>'TR TUSD'!$AA$47</f>
        <v>0</v>
      </c>
      <c r="AB47" s="13">
        <f>SUM($U$47:$AA$47)</f>
        <v>29.396573183143772</v>
      </c>
      <c r="AC47" s="13">
        <f>'TR TUSD'!$AC$47*'TR TUSD'!$AC$64</f>
        <v>167.71531974832931</v>
      </c>
      <c r="AD47" s="13">
        <f>SUM($AC$47:$AC$47)</f>
        <v>167.71531974832931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TUSD'!$AH$64</f>
        <v>12.147387166356939</v>
      </c>
      <c r="AI47" s="13">
        <f>'TR TUSD'!$AI$47*'TR TUSD'!$AI$64</f>
        <v>0</v>
      </c>
      <c r="AJ47" s="13">
        <f ca="1">'TR TUSD'!$AJ$47*'TR TUSD'!$AJ$64</f>
        <v>0</v>
      </c>
      <c r="AK47" s="13">
        <f ca="1">'TR TUSD'!$AK$47*'TR TUSD'!$AK$64</f>
        <v>0</v>
      </c>
      <c r="AL47" s="13">
        <f ca="1">SUM($AH$47:$AK$47)</f>
        <v>12.147387166356939</v>
      </c>
      <c r="AM47" s="13">
        <f ca="1">SUMIF($L$4:$AL$4,"SUBTOTAL",$L$47:$AL$47)</f>
        <v>347.4983928142023</v>
      </c>
      <c r="AP47" s="13">
        <f>IF((1 - CUSTOS!$M$29)&lt;&gt;0,1/(1 - CUSTOS!$M$29),1)</f>
        <v>1</v>
      </c>
    </row>
    <row r="48" spans="1:42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>
        <f>'TR TUSD'!$L$48*'TR TUSD'!$L$64</f>
        <v>32.362851452384838</v>
      </c>
      <c r="M48" s="13">
        <f>'TR TUSD'!$M$48*'TR TUSD'!$M$64</f>
        <v>0.7423668428154877</v>
      </c>
      <c r="N48" s="13">
        <f ca="1">'TR TUSD'!$N$48*'TR TUSD'!$N$64</f>
        <v>0</v>
      </c>
      <c r="O48" s="13">
        <f>'TR TUSD'!$O$48*'TR TUSD'!$O$64</f>
        <v>0</v>
      </c>
      <c r="P48" s="13">
        <f>'TR TUSD'!$P$48*'TR TUSD'!$P$64</f>
        <v>0</v>
      </c>
      <c r="Q48" s="13">
        <f>'TR TUSD'!$Q$48*'TR TUSD'!$Q$64</f>
        <v>90.80233180680132</v>
      </c>
      <c r="R48" s="13">
        <f>'TR TUSD'!$R$48*'TR TUSD'!$R$64</f>
        <v>14.331562614370601</v>
      </c>
      <c r="S48" s="13">
        <f>'TR TUSD'!$S$48*'TR TUSD'!$S$64</f>
        <v>0</v>
      </c>
      <c r="T48" s="13">
        <f ca="1">SUM($L$48:$S$48)</f>
        <v>138.23911271637223</v>
      </c>
      <c r="U48" s="13">
        <f>'TR TUSD'!$U$48*'TR TUSD'!$U$64</f>
        <v>25.770319482049437</v>
      </c>
      <c r="V48" s="13">
        <f>'TR TUSD'!$V$48*'TR TUSD'!$V$64</f>
        <v>3.6262537010943348</v>
      </c>
      <c r="W48" s="13">
        <f>'TR TUSD'!$W$48*'TR TUSD'!$W$64</f>
        <v>0</v>
      </c>
      <c r="X48" s="13">
        <f>'TR TUSD'!$X$48*'TR TUSD'!$X$64</f>
        <v>0</v>
      </c>
      <c r="Y48" s="13">
        <f>'TR TUSD'!$Y$48*'TR TUSD'!$Y$64</f>
        <v>0</v>
      </c>
      <c r="Z48" s="13">
        <f>'TR TUSD'!$Z$48</f>
        <v>0</v>
      </c>
      <c r="AA48" s="13">
        <f>'TR TUSD'!$AA$48</f>
        <v>0</v>
      </c>
      <c r="AB48" s="13">
        <f>SUM($U$48:$AA$48)</f>
        <v>29.396573183143772</v>
      </c>
      <c r="AC48" s="13">
        <f>'TR TUSD'!$AC$48*'TR TUSD'!$AC$64</f>
        <v>167.71531974832931</v>
      </c>
      <c r="AD48" s="13">
        <f>SUM($AC$48:$AC$48)</f>
        <v>167.71531974832931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TUSD'!$AH$64</f>
        <v>12.147387166356939</v>
      </c>
      <c r="AI48" s="13">
        <f>'TR TUSD'!$AI$48*'TR TUSD'!$AI$64</f>
        <v>0</v>
      </c>
      <c r="AJ48" s="13">
        <f ca="1">'TR TUSD'!$AJ$48*'TR TUSD'!$AJ$64</f>
        <v>0</v>
      </c>
      <c r="AK48" s="13">
        <f ca="1">'TR TUSD'!$AK$48*'TR TUSD'!$AK$64</f>
        <v>0</v>
      </c>
      <c r="AL48" s="13">
        <f ca="1">SUM($AH$48:$AK$48)</f>
        <v>12.147387166356939</v>
      </c>
      <c r="AM48" s="13">
        <f ca="1">SUMIF($L$4:$AL$4,"SUBTOTAL",$L$48:$AL$48)</f>
        <v>347.4983928142023</v>
      </c>
      <c r="AP48" s="13">
        <f>IF((1 - CUSTOS!$M$30)&lt;&gt;0,1/(1 - CUSTOS!$M$30),1)</f>
        <v>1</v>
      </c>
    </row>
    <row r="49" spans="1:42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>
        <f>'TR TUSD'!$L$49*'TR TUSD'!$L$64</f>
        <v>32.362851452384838</v>
      </c>
      <c r="M49" s="13">
        <f>'TR TUSD'!$M$49*'TR TUSD'!$M$64</f>
        <v>0.7423668428154877</v>
      </c>
      <c r="N49" s="13">
        <f ca="1">'TR TUSD'!$N$49*'TR TUSD'!$N$64</f>
        <v>0</v>
      </c>
      <c r="O49" s="13">
        <f>'TR TUSD'!$O$49*'TR TUSD'!$O$64</f>
        <v>0</v>
      </c>
      <c r="P49" s="13">
        <f>'TR TUSD'!$P$49*'TR TUSD'!$P$64</f>
        <v>0</v>
      </c>
      <c r="Q49" s="13">
        <f>'TR TUSD'!$Q$49*'TR TUSD'!$Q$64</f>
        <v>90.80233180680132</v>
      </c>
      <c r="R49" s="13">
        <f>'TR TUSD'!$R$49*'TR TUSD'!$R$64</f>
        <v>14.331562614370601</v>
      </c>
      <c r="S49" s="13">
        <f>'TR TUSD'!$S$49*'TR TUSD'!$S$64</f>
        <v>0</v>
      </c>
      <c r="T49" s="13">
        <f ca="1">SUM($L$49:$S$49)</f>
        <v>138.23911271637223</v>
      </c>
      <c r="U49" s="13">
        <f>'TR TUSD'!$U$49*'TR TUSD'!$U$64</f>
        <v>88.907643906769636</v>
      </c>
      <c r="V49" s="13">
        <f>'TR TUSD'!$V$49*'TR TUSD'!$V$64</f>
        <v>12.51099255918985</v>
      </c>
      <c r="W49" s="13">
        <f>'TR TUSD'!$W$49*'TR TUSD'!$W$64</f>
        <v>0</v>
      </c>
      <c r="X49" s="13">
        <f>'TR TUSD'!$X$49*'TR TUSD'!$X$64</f>
        <v>0</v>
      </c>
      <c r="Y49" s="13">
        <f>'TR TUSD'!$Y$49*'TR TUSD'!$Y$64</f>
        <v>0</v>
      </c>
      <c r="Z49" s="13">
        <f>'TR TUSD'!$Z$49</f>
        <v>0</v>
      </c>
      <c r="AA49" s="13">
        <f>'TR TUSD'!$AA$49</f>
        <v>0</v>
      </c>
      <c r="AB49" s="13">
        <f>SUM($U$49:$AA$49)</f>
        <v>101.41863646595948</v>
      </c>
      <c r="AC49" s="13">
        <f>'TR TUSD'!$AC$49*'TR TUSD'!$AC$64</f>
        <v>578.61777552415936</v>
      </c>
      <c r="AD49" s="13">
        <f>SUM($AC$49:$AC$49)</f>
        <v>578.61777552415936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TUSD'!$AH$64</f>
        <v>12.147387166356939</v>
      </c>
      <c r="AI49" s="13">
        <f>'TR TUSD'!$AI$49*'TR TUSD'!$AI$64</f>
        <v>0</v>
      </c>
      <c r="AJ49" s="13">
        <f ca="1">'TR TUSD'!$AJ$49*'TR TUSD'!$AJ$64</f>
        <v>0</v>
      </c>
      <c r="AK49" s="13">
        <f ca="1">'TR TUSD'!$AK$49*'TR TUSD'!$AK$64</f>
        <v>0</v>
      </c>
      <c r="AL49" s="13">
        <f ca="1">SUM($AH$49:$AK$49)</f>
        <v>12.147387166356939</v>
      </c>
      <c r="AM49" s="13">
        <f ca="1">SUMIF($L$4:$AL$4,"SUBTOTAL",$L$49:$AL$49)</f>
        <v>830.42291187284798</v>
      </c>
      <c r="AP49" s="13">
        <f>IF((1 - CUSTOS!$M$31)&lt;&gt;0,1/(1 - CUSTOS!$M$31),1)</f>
        <v>1</v>
      </c>
    </row>
    <row r="50" spans="1:42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>
        <f>'TR TUSD'!$L$50*'TR TUSD'!$L$64</f>
        <v>32.362851452384838</v>
      </c>
      <c r="M50" s="13">
        <f>'TR TUSD'!$M$50*'TR TUSD'!$M$64</f>
        <v>0.7423668428154877</v>
      </c>
      <c r="N50" s="13">
        <f ca="1">'TR TUSD'!$N$50*'TR TUSD'!$N$64</f>
        <v>0</v>
      </c>
      <c r="O50" s="13">
        <f>'TR TUSD'!$O$50*'TR TUSD'!$O$64</f>
        <v>0</v>
      </c>
      <c r="P50" s="13">
        <f>'TR TUSD'!$P$50*'TR TUSD'!$P$64</f>
        <v>0</v>
      </c>
      <c r="Q50" s="13">
        <f>'TR TUSD'!$Q$50*'TR TUSD'!$Q$64</f>
        <v>90.80233180680132</v>
      </c>
      <c r="R50" s="13">
        <f>'TR TUSD'!$R$50*'TR TUSD'!$R$64</f>
        <v>14.331562614370601</v>
      </c>
      <c r="S50" s="13">
        <f>'TR TUSD'!$S$50*'TR TUSD'!$S$64</f>
        <v>0</v>
      </c>
      <c r="T50" s="13">
        <f ca="1">SUM($L$50:$S$50)</f>
        <v>138.23911271637223</v>
      </c>
      <c r="U50" s="13">
        <f>'TR TUSD'!$U$50*'TR TUSD'!$U$64</f>
        <v>53.344586344061788</v>
      </c>
      <c r="V50" s="13">
        <f>'TR TUSD'!$V$50*'TR TUSD'!$V$64</f>
        <v>7.5067415871589489</v>
      </c>
      <c r="W50" s="13">
        <f>'TR TUSD'!$W$50*'TR TUSD'!$W$64</f>
        <v>0</v>
      </c>
      <c r="X50" s="13">
        <f>'TR TUSD'!$X$50*'TR TUSD'!$X$64</f>
        <v>0</v>
      </c>
      <c r="Y50" s="13">
        <f>'TR TUSD'!$Y$50*'TR TUSD'!$Y$64</f>
        <v>0</v>
      </c>
      <c r="Z50" s="13">
        <f>'TR TUSD'!$Z$50</f>
        <v>0</v>
      </c>
      <c r="AA50" s="13">
        <f>'TR TUSD'!$AA$50</f>
        <v>0</v>
      </c>
      <c r="AB50" s="13">
        <f>SUM($U$50:$AA$50)</f>
        <v>60.851327931220737</v>
      </c>
      <c r="AC50" s="13">
        <f>'TR TUSD'!$AC$50*'TR TUSD'!$AC$64</f>
        <v>347.17068256062379</v>
      </c>
      <c r="AD50" s="13">
        <f>SUM($AC$50:$AC$50)</f>
        <v>347.17068256062379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TUSD'!$AH$64</f>
        <v>12.147387166356939</v>
      </c>
      <c r="AI50" s="13">
        <f>'TR TUSD'!$AI$50*'TR TUSD'!$AI$64</f>
        <v>0</v>
      </c>
      <c r="AJ50" s="13">
        <f ca="1">'TR TUSD'!$AJ$50*'TR TUSD'!$AJ$64</f>
        <v>0</v>
      </c>
      <c r="AK50" s="13">
        <f ca="1">'TR TUSD'!$AK$50*'TR TUSD'!$AK$64</f>
        <v>0</v>
      </c>
      <c r="AL50" s="13">
        <f ca="1">SUM($AH$50:$AK$50)</f>
        <v>12.147387166356939</v>
      </c>
      <c r="AM50" s="13">
        <f ca="1">SUMIF($L$4:$AL$4,"SUBTOTAL",$L$50:$AL$50)</f>
        <v>558.40851037457367</v>
      </c>
      <c r="AP50" s="13">
        <f>IF((1 - CUSTOS!$M$31)&lt;&gt;0,1/(1 - CUSTOS!$M$31),1)</f>
        <v>1</v>
      </c>
    </row>
    <row r="51" spans="1:42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>
        <f>'TR TUSD'!$L$51*'TR TUSD'!$L$64</f>
        <v>32.362851452384838</v>
      </c>
      <c r="M51" s="13">
        <f>'TR TUSD'!$M$51*'TR TUSD'!$M$64</f>
        <v>0.7423668428154877</v>
      </c>
      <c r="N51" s="13">
        <f ca="1">'TR TUSD'!$N$51*'TR TUSD'!$N$64</f>
        <v>0</v>
      </c>
      <c r="O51" s="13">
        <f>'TR TUSD'!$O$51*'TR TUSD'!$O$64</f>
        <v>0</v>
      </c>
      <c r="P51" s="13">
        <f>'TR TUSD'!$P$51*'TR TUSD'!$P$64</f>
        <v>0</v>
      </c>
      <c r="Q51" s="13">
        <f>'TR TUSD'!$Q$51*'TR TUSD'!$Q$64</f>
        <v>90.80233180680132</v>
      </c>
      <c r="R51" s="13">
        <f>'TR TUSD'!$R$51*'TR TUSD'!$R$64</f>
        <v>14.331562614370601</v>
      </c>
      <c r="S51" s="13">
        <f>'TR TUSD'!$S$51*'TR TUSD'!$S$64</f>
        <v>0</v>
      </c>
      <c r="T51" s="13">
        <f ca="1">SUM($L$51:$S$51)</f>
        <v>138.23911271637223</v>
      </c>
      <c r="U51" s="13">
        <f>'TR TUSD'!$U$51*'TR TUSD'!$U$64</f>
        <v>17.781528781353927</v>
      </c>
      <c r="V51" s="13">
        <f>'TR TUSD'!$V$51*'TR TUSD'!$V$64</f>
        <v>2.5021776473172501</v>
      </c>
      <c r="W51" s="13">
        <f>'TR TUSD'!$W$51*'TR TUSD'!$W$64</f>
        <v>0</v>
      </c>
      <c r="X51" s="13">
        <f>'TR TUSD'!$X$51*'TR TUSD'!$X$64</f>
        <v>0</v>
      </c>
      <c r="Y51" s="13">
        <f>'TR TUSD'!$Y$51*'TR TUSD'!$Y$64</f>
        <v>0</v>
      </c>
      <c r="Z51" s="13">
        <f>'TR TUSD'!$Z$51</f>
        <v>0</v>
      </c>
      <c r="AA51" s="13">
        <f>'TR TUSD'!$AA$51</f>
        <v>0</v>
      </c>
      <c r="AB51" s="13">
        <f>SUM($U$51:$AA$51)</f>
        <v>20.283706428671177</v>
      </c>
      <c r="AC51" s="13">
        <f>'TR TUSD'!$AC$51*'TR TUSD'!$AC$64</f>
        <v>115.7236758277291</v>
      </c>
      <c r="AD51" s="13">
        <f>SUM($AC$51:$AC$51)</f>
        <v>115.7236758277291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TUSD'!$AH$64</f>
        <v>12.147387166356939</v>
      </c>
      <c r="AI51" s="13">
        <f>'TR TUSD'!$AI$51*'TR TUSD'!$AI$64</f>
        <v>0</v>
      </c>
      <c r="AJ51" s="13">
        <f ca="1">'TR TUSD'!$AJ$51*'TR TUSD'!$AJ$64</f>
        <v>0</v>
      </c>
      <c r="AK51" s="13">
        <f ca="1">'TR TUSD'!$AK$51*'TR TUSD'!$AK$64</f>
        <v>0</v>
      </c>
      <c r="AL51" s="13">
        <f ca="1">SUM($AH$51:$AK$51)</f>
        <v>12.147387166356939</v>
      </c>
      <c r="AM51" s="13">
        <f ca="1">SUMIF($L$4:$AL$4,"SUBTOTAL",$L$51:$AL$51)</f>
        <v>286.39388213912946</v>
      </c>
      <c r="AP51" s="13">
        <f>IF((1 - CUSTOS!$M$31)&lt;&gt;0,1/(1 - CUSTOS!$M$31),1)</f>
        <v>1</v>
      </c>
    </row>
    <row r="52" spans="1:42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>
        <f>'TR TUSD'!$L$52*'TR TUSD'!$L$64</f>
        <v>32.362851452384838</v>
      </c>
      <c r="M52" s="13">
        <f>'TR TUSD'!$M$52*'TR TUSD'!$M$64</f>
        <v>0.7423668428154877</v>
      </c>
      <c r="N52" s="13">
        <f ca="1">'TR TUSD'!$N$52*'TR TUSD'!$N$64</f>
        <v>0</v>
      </c>
      <c r="O52" s="13">
        <f>'TR TUSD'!$O$52*'TR TUSD'!$O$64</f>
        <v>0</v>
      </c>
      <c r="P52" s="13">
        <f>'TR TUSD'!$P$52*'TR TUSD'!$P$64</f>
        <v>0</v>
      </c>
      <c r="Q52" s="13">
        <f>'TR TUSD'!$Q$52*'TR TUSD'!$Q$64</f>
        <v>90.80233180680132</v>
      </c>
      <c r="R52" s="13">
        <f>'TR TUSD'!$R$52*'TR TUSD'!$R$64</f>
        <v>14.331562614370601</v>
      </c>
      <c r="S52" s="13">
        <f>'TR TUSD'!$S$52*'TR TUSD'!$S$64</f>
        <v>0</v>
      </c>
      <c r="T52" s="13">
        <f ca="1">SUM($L$52:$S$52)</f>
        <v>138.23911271637223</v>
      </c>
      <c r="U52" s="13">
        <f>'TR TUSD'!$U$52*'TR TUSD'!$U$64</f>
        <v>25.770319482049437</v>
      </c>
      <c r="V52" s="13">
        <f>'TR TUSD'!$V$52*'TR TUSD'!$V$64</f>
        <v>3.6262537010943348</v>
      </c>
      <c r="W52" s="13">
        <f>'TR TUSD'!$W$52*'TR TUSD'!$W$64</f>
        <v>0</v>
      </c>
      <c r="X52" s="13">
        <f>'TR TUSD'!$X$52*'TR TUSD'!$X$64</f>
        <v>0</v>
      </c>
      <c r="Y52" s="13">
        <f>'TR TUSD'!$Y$52*'TR TUSD'!$Y$64</f>
        <v>0</v>
      </c>
      <c r="Z52" s="13">
        <f>'TR TUSD'!$Z$52</f>
        <v>0</v>
      </c>
      <c r="AA52" s="13">
        <f>'TR TUSD'!$AA$52</f>
        <v>0</v>
      </c>
      <c r="AB52" s="13">
        <f>SUM($U$52:$AA$52)</f>
        <v>29.396573183143772</v>
      </c>
      <c r="AC52" s="13">
        <f>'TR TUSD'!$AC$52*'TR TUSD'!$AC$64</f>
        <v>167.71531974832931</v>
      </c>
      <c r="AD52" s="13">
        <f>SUM($AC$52:$AC$52)</f>
        <v>167.71531974832931</v>
      </c>
      <c r="AE52" s="13">
        <v>0</v>
      </c>
      <c r="AF52" s="13">
        <v>0</v>
      </c>
      <c r="AG52" s="13">
        <f>SUM($AE$52:$AF$52)</f>
        <v>0</v>
      </c>
      <c r="AH52" s="13">
        <f>'TR TUSD'!$AH$52*'TR TUSD'!$AH$64</f>
        <v>12.147387166356939</v>
      </c>
      <c r="AI52" s="13">
        <f>'TR TUSD'!$AI$52*'TR TUSD'!$AI$64</f>
        <v>0</v>
      </c>
      <c r="AJ52" s="13">
        <f ca="1">'TR TUSD'!$AJ$52*'TR TUSD'!$AJ$64</f>
        <v>0</v>
      </c>
      <c r="AK52" s="13">
        <f ca="1">'TR TUSD'!$AK$52*'TR TUSD'!$AK$64</f>
        <v>0</v>
      </c>
      <c r="AL52" s="13">
        <f ca="1">SUM($AH$52:$AK$52)</f>
        <v>12.147387166356939</v>
      </c>
      <c r="AM52" s="13">
        <f ca="1">SUMIF($L$4:$AL$4,"SUBTOTAL",$L$52:$AL$52)</f>
        <v>347.4983928142023</v>
      </c>
      <c r="AP52" s="13">
        <f>IF((1 - CUSTOS!$M$31)&lt;&gt;0,1/(1 - CUSTOS!$M$31),1)</f>
        <v>1</v>
      </c>
    </row>
    <row r="53" spans="1:42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>
        <f>'TR TUSD'!$L$53*'TR TUSD'!$L$64</f>
        <v>32.362851452384838</v>
      </c>
      <c r="M53" s="13">
        <f>'TR TUSD'!$M$53*'TR TUSD'!$M$64</f>
        <v>0.7423668428154877</v>
      </c>
      <c r="N53" s="13">
        <f ca="1">'TR TUSD'!$N$53*'TR TUSD'!$N$64</f>
        <v>0</v>
      </c>
      <c r="O53" s="13">
        <f>'TR TUSD'!$O$53*'TR TUSD'!$O$64</f>
        <v>0</v>
      </c>
      <c r="P53" s="13">
        <f>'TR TUSD'!$P$53*'TR TUSD'!$P$64</f>
        <v>0</v>
      </c>
      <c r="Q53" s="13">
        <f>'TR TUSD'!$Q$53*'TR TUSD'!$Q$64</f>
        <v>90.80233180680132</v>
      </c>
      <c r="R53" s="13">
        <f>'TR TUSD'!$R$53*'TR TUSD'!$R$64</f>
        <v>14.331562614370601</v>
      </c>
      <c r="S53" s="13">
        <f>'TR TUSD'!$S$53*'TR TUSD'!$S$64</f>
        <v>0</v>
      </c>
      <c r="T53" s="13">
        <f ca="1">SUM($L$53:$S$53)</f>
        <v>138.23911271637223</v>
      </c>
      <c r="U53" s="13">
        <f>'TR TUSD'!$U$53*'TR TUSD'!$U$64</f>
        <v>25.770319482049437</v>
      </c>
      <c r="V53" s="13">
        <f>'TR TUSD'!$V$53*'TR TUSD'!$V$64</f>
        <v>3.6262537010943348</v>
      </c>
      <c r="W53" s="13">
        <f>'TR TUSD'!$W$53*'TR TUSD'!$W$64</f>
        <v>0</v>
      </c>
      <c r="X53" s="13">
        <f>'TR TUSD'!$X$53*'TR TUSD'!$X$64</f>
        <v>0</v>
      </c>
      <c r="Y53" s="13">
        <f>'TR TUSD'!$Y$53*'TR TUSD'!$Y$64</f>
        <v>0</v>
      </c>
      <c r="Z53" s="13">
        <f>'TR TUSD'!$Z$53</f>
        <v>0</v>
      </c>
      <c r="AA53" s="13">
        <f>'TR TUSD'!$AA$53</f>
        <v>0</v>
      </c>
      <c r="AB53" s="13">
        <f>SUM($U$53:$AA$53)</f>
        <v>29.396573183143772</v>
      </c>
      <c r="AC53" s="13">
        <f>'TR TUSD'!$AC$53*'TR TUSD'!$AC$64</f>
        <v>167.71531974832931</v>
      </c>
      <c r="AD53" s="13">
        <f>SUM($AC$53:$AC$53)</f>
        <v>167.71531974832931</v>
      </c>
      <c r="AE53" s="13">
        <v>0</v>
      </c>
      <c r="AF53" s="13">
        <v>0</v>
      </c>
      <c r="AG53" s="13">
        <f>SUM($AE$53:$AF$53)</f>
        <v>0</v>
      </c>
      <c r="AH53" s="13">
        <f>'TR TUSD'!$AH$53*'TR TUSD'!$AH$64</f>
        <v>12.147387166356939</v>
      </c>
      <c r="AI53" s="13">
        <f>'TR TUSD'!$AI$53*'TR TUSD'!$AI$64</f>
        <v>0</v>
      </c>
      <c r="AJ53" s="13">
        <f ca="1">'TR TUSD'!$AJ$53*'TR TUSD'!$AJ$64</f>
        <v>0</v>
      </c>
      <c r="AK53" s="13">
        <f ca="1">'TR TUSD'!$AK$53*'TR TUSD'!$AK$64</f>
        <v>0</v>
      </c>
      <c r="AL53" s="13">
        <f ca="1">SUM($AH$53:$AK$53)</f>
        <v>12.147387166356939</v>
      </c>
      <c r="AM53" s="13">
        <f ca="1">SUMIF($L$4:$AL$4,"SUBTOTAL",$L$53:$AL$53)</f>
        <v>347.4983928142023</v>
      </c>
      <c r="AP53" s="13">
        <f>IF((1 - CUSTOS!$M$31)&lt;&gt;0,1/(1 - CUSTOS!$M$31),1)</f>
        <v>1</v>
      </c>
    </row>
    <row r="54" spans="1:42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>
        <f>'TR TUSD'!$L$54*'TR TUSD'!$L$64</f>
        <v>17.799568298811664</v>
      </c>
      <c r="M54" s="13">
        <f>'TR TUSD'!$M$54*'TR TUSD'!$M$64</f>
        <v>0.40830176354851827</v>
      </c>
      <c r="N54" s="13">
        <f ca="1">'TR TUSD'!$N$54*'TR TUSD'!$N$64</f>
        <v>0</v>
      </c>
      <c r="O54" s="13">
        <f>'TR TUSD'!$O$54*'TR TUSD'!$O$64</f>
        <v>0</v>
      </c>
      <c r="P54" s="13">
        <f>'TR TUSD'!$P$54*'TR TUSD'!$P$64</f>
        <v>0</v>
      </c>
      <c r="Q54" s="13">
        <f>'TR TUSD'!$Q$54*'TR TUSD'!$Q$64</f>
        <v>49.941282493740729</v>
      </c>
      <c r="R54" s="13">
        <f>'TR TUSD'!$R$54*'TR TUSD'!$R$64</f>
        <v>7.8823594379038306</v>
      </c>
      <c r="S54" s="13">
        <f>'TR TUSD'!$S$54*'TR TUSD'!$S$64</f>
        <v>0</v>
      </c>
      <c r="T54" s="13">
        <f ca="1">SUM($L$54:$S$54)</f>
        <v>76.031511994004745</v>
      </c>
      <c r="U54" s="13">
        <f>'TR TUSD'!$U$54*'TR TUSD'!$U$64</f>
        <v>14.173675715127191</v>
      </c>
      <c r="V54" s="13">
        <f>'TR TUSD'!$V$54*'TR TUSD'!$V$64</f>
        <v>1.9944395356018843</v>
      </c>
      <c r="W54" s="13">
        <f>'TR TUSD'!$W$54*'TR TUSD'!$W$64</f>
        <v>0</v>
      </c>
      <c r="X54" s="13">
        <f>'TR TUSD'!$X$54*'TR TUSD'!$X$64</f>
        <v>0</v>
      </c>
      <c r="Y54" s="13">
        <f>'TR TUSD'!$Y$54*'TR TUSD'!$Y$64</f>
        <v>0</v>
      </c>
      <c r="Z54" s="13">
        <f>'TR TUSD'!$Z$54</f>
        <v>0</v>
      </c>
      <c r="AA54" s="13">
        <f>'TR TUSD'!$AA$54</f>
        <v>0</v>
      </c>
      <c r="AB54" s="13">
        <f>SUM($U$54:$AA$54)</f>
        <v>16.168115250729073</v>
      </c>
      <c r="AC54" s="13">
        <f>'TR TUSD'!$AC$54*'TR TUSD'!$AC$64</f>
        <v>92.243425861581116</v>
      </c>
      <c r="AD54" s="13">
        <f>SUM($AC$54:$AC$54)</f>
        <v>92.243425861581116</v>
      </c>
      <c r="AE54" s="13">
        <v>0</v>
      </c>
      <c r="AF54" s="13">
        <v>0</v>
      </c>
      <c r="AG54" s="13">
        <f>SUM($AE$54:$AF$54)</f>
        <v>0</v>
      </c>
      <c r="AH54" s="13">
        <f>'TR TUSD'!$AH$54*'TR TUSD'!$AH$64</f>
        <v>6.6810629414963172</v>
      </c>
      <c r="AI54" s="13">
        <f>'TR TUSD'!$AI$54*'TR TUSD'!$AI$64</f>
        <v>0</v>
      </c>
      <c r="AJ54" s="13">
        <f ca="1">'TR TUSD'!$AJ$54*'TR TUSD'!$AJ$64</f>
        <v>0</v>
      </c>
      <c r="AK54" s="13">
        <f ca="1">'TR TUSD'!$AK$54*'TR TUSD'!$AK$64</f>
        <v>0</v>
      </c>
      <c r="AL54" s="13">
        <f ca="1">SUM($AH$54:$AK$54)</f>
        <v>6.6810629414963172</v>
      </c>
      <c r="AM54" s="13">
        <f ca="1">SUMIF($L$4:$AL$4,"SUBTOTAL",$L$54:$AL$54)</f>
        <v>191.12411604781127</v>
      </c>
      <c r="AP54" s="13">
        <f>IF((1 - CUSTOS!$M$32)&lt;&gt;0,1/(1 - CUSTOS!$M$32),1)</f>
        <v>1.8181818181818181</v>
      </c>
    </row>
    <row r="55" spans="1:42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>
        <f>'TR TUSD'!$L$55*'TR TUSD'!$L$64</f>
        <v>19.417710871430902</v>
      </c>
      <c r="M55" s="13">
        <f>'TR TUSD'!$M$55*'TR TUSD'!$M$64</f>
        <v>0.44542010568929258</v>
      </c>
      <c r="N55" s="13">
        <f ca="1">'TR TUSD'!$N$55*'TR TUSD'!$N$64</f>
        <v>0</v>
      </c>
      <c r="O55" s="13">
        <f>'TR TUSD'!$O$55*'TR TUSD'!$O$64</f>
        <v>0</v>
      </c>
      <c r="P55" s="13">
        <f>'TR TUSD'!$P$55*'TR TUSD'!$P$64</f>
        <v>0</v>
      </c>
      <c r="Q55" s="13">
        <f>'TR TUSD'!$Q$55*'TR TUSD'!$Q$64</f>
        <v>54.481399084080792</v>
      </c>
      <c r="R55" s="13">
        <f>'TR TUSD'!$R$55*'TR TUSD'!$R$64</f>
        <v>8.5989375686223593</v>
      </c>
      <c r="S55" s="13">
        <f>'TR TUSD'!$S$55*'TR TUSD'!$S$64</f>
        <v>0</v>
      </c>
      <c r="T55" s="13">
        <f ca="1">SUM($L$55:$S$55)</f>
        <v>82.943467629823346</v>
      </c>
      <c r="U55" s="13">
        <f>'TR TUSD'!$U$55*'TR TUSD'!$U$64</f>
        <v>15.462191689229664</v>
      </c>
      <c r="V55" s="13">
        <f>'TR TUSD'!$V$55*'TR TUSD'!$V$64</f>
        <v>2.1757522206566007</v>
      </c>
      <c r="W55" s="13">
        <f>'TR TUSD'!$W$55*'TR TUSD'!$W$64</f>
        <v>0</v>
      </c>
      <c r="X55" s="13">
        <f>'TR TUSD'!$X$55*'TR TUSD'!$X$64</f>
        <v>0</v>
      </c>
      <c r="Y55" s="13">
        <f>'TR TUSD'!$Y$55*'TR TUSD'!$Y$64</f>
        <v>0</v>
      </c>
      <c r="Z55" s="13">
        <f>'TR TUSD'!$Z$55</f>
        <v>0</v>
      </c>
      <c r="AA55" s="13">
        <f>'TR TUSD'!$AA$55</f>
        <v>0</v>
      </c>
      <c r="AB55" s="13">
        <f>SUM($U$55:$AA$55)</f>
        <v>17.637943909886264</v>
      </c>
      <c r="AC55" s="13">
        <f>'TR TUSD'!$AC$55*'TR TUSD'!$AC$64</f>
        <v>100.62919184899758</v>
      </c>
      <c r="AD55" s="13">
        <f>SUM($AC$55:$AC$55)</f>
        <v>100.62919184899758</v>
      </c>
      <c r="AE55" s="13">
        <v>0</v>
      </c>
      <c r="AF55" s="13">
        <v>0</v>
      </c>
      <c r="AG55" s="13">
        <f>SUM($AE$55:$AF$55)</f>
        <v>0</v>
      </c>
      <c r="AH55" s="13">
        <f>'TR TUSD'!$AH$55*'TR TUSD'!$AH$64</f>
        <v>7.288432299814164</v>
      </c>
      <c r="AI55" s="13">
        <f>'TR TUSD'!$AI$55*'TR TUSD'!$AI$64</f>
        <v>0</v>
      </c>
      <c r="AJ55" s="13">
        <f ca="1">'TR TUSD'!$AJ$55*'TR TUSD'!$AJ$64</f>
        <v>0</v>
      </c>
      <c r="AK55" s="13">
        <f ca="1">'TR TUSD'!$AK$55*'TR TUSD'!$AK$64</f>
        <v>0</v>
      </c>
      <c r="AL55" s="13">
        <f ca="1">SUM($AH$55:$AK$55)</f>
        <v>7.288432299814164</v>
      </c>
      <c r="AM55" s="13">
        <f ca="1">SUMIF($L$4:$AL$4,"SUBTOTAL",$L$55:$AL$55)</f>
        <v>208.49903568852133</v>
      </c>
      <c r="AP55" s="13">
        <f>IF((1 - CUSTOS!$M$33)&lt;&gt;0,1/(1 - CUSTOS!$M$33),1)</f>
        <v>1.6666666666666667</v>
      </c>
    </row>
    <row r="57" spans="1:42" ht="11.25" customHeight="1" x14ac:dyDescent="0.25">
      <c r="K57" s="16" t="s">
        <v>558</v>
      </c>
      <c r="L57" s="13">
        <f>SUMPRODUCT($I$5:$I55,$L$5:$L55)</f>
        <v>9419991.3842511326</v>
      </c>
      <c r="M57" s="13">
        <f>SUMPRODUCT($I$5:$I55,$M$5:$M55)</f>
        <v>174059.44361910206</v>
      </c>
      <c r="N57" s="13">
        <f ca="1">SUMPRODUCT($I$5:$I55,$N$5:$N55)</f>
        <v>0</v>
      </c>
      <c r="O57" s="13">
        <f>SUMPRODUCT($I$5:$I55,$O$5:$O55)</f>
        <v>0</v>
      </c>
      <c r="P57" s="13">
        <f>SUMPRODUCT($I$5:$I55,$P$5:$P55)</f>
        <v>0</v>
      </c>
      <c r="Q57" s="13">
        <f>SUMPRODUCT($I$5:$I55,$Q$5:$Q55)</f>
        <v>26430216.896940004</v>
      </c>
      <c r="R57" s="13">
        <f>SUMPRODUCT($I$5:$I55,$R$5:$R55)</f>
        <v>4738373.3178900024</v>
      </c>
      <c r="S57" s="13">
        <f>SUMPRODUCT($I$5:$I55,$S$5:$S55)</f>
        <v>0</v>
      </c>
      <c r="T57" s="13">
        <f ca="1">SUMPRODUCT($I$5:$I55,$T$5:$T55)</f>
        <v>40762641.042700231</v>
      </c>
      <c r="U57" s="13">
        <f>SUMPRODUCT($I$5:$I55,$U$5:$U55)</f>
        <v>9344726.9999999981</v>
      </c>
      <c r="V57" s="13">
        <f>SUMPRODUCT($I$5:$I55,$V$5:$V55)</f>
        <v>1309770</v>
      </c>
      <c r="W57" s="13">
        <f>SUMPRODUCT($I$5:$I55,$W$5:$W55)</f>
        <v>0</v>
      </c>
      <c r="X57" s="13">
        <f>SUMPRODUCT($I$5:$I55,$X$5:$X55)</f>
        <v>0</v>
      </c>
      <c r="Y57" s="13">
        <f>SUMPRODUCT($I$5:$I55,$Y$5:$Y55)</f>
        <v>0</v>
      </c>
      <c r="Z57" s="13">
        <f>SUMPRODUCT($I$5:$I55,$Z$5:$Z55)</f>
        <v>0</v>
      </c>
      <c r="AA57" s="13">
        <f>SUMPRODUCT($I$5:$I55,$AA$5:$AA55)</f>
        <v>0</v>
      </c>
      <c r="AB57" s="13">
        <f>SUMPRODUCT($I$5:$I55,$AB$5:$AB55)</f>
        <v>10654496.999999996</v>
      </c>
      <c r="AC57" s="13">
        <f>SUMPRODUCT($I$5:$I55,$AC$5:$AC55)</f>
        <v>39323417.770000003</v>
      </c>
      <c r="AD57" s="13">
        <f>SUMPRODUCT($I$5:$I55,$AD$5:$AD55)</f>
        <v>39323417.770000003</v>
      </c>
      <c r="AE57" s="13">
        <f>SUMPRODUCT($I$5:$I55,$AE$5:$AE55)</f>
        <v>0</v>
      </c>
      <c r="AF57" s="13">
        <f>SUMPRODUCT($I$5:$I55,$AF$5:$AF55)</f>
        <v>0</v>
      </c>
      <c r="AG57" s="13">
        <f>SUMPRODUCT($I$5:$I55,$AG$5:$AG55)</f>
        <v>0</v>
      </c>
      <c r="AH57" s="13">
        <f>SUMPRODUCT($I$5:$I55,$AH$5:$AH55)</f>
        <v>2300271.9527872917</v>
      </c>
      <c r="AI57" s="13">
        <f>SUMPRODUCT($I$5:$I55,$AI$5:$AI55)</f>
        <v>0</v>
      </c>
      <c r="AJ57" s="13">
        <f ca="1">SUMPRODUCT($I$5:$I55,$AJ$5:$AJ55)</f>
        <v>0</v>
      </c>
      <c r="AK57" s="13">
        <f ca="1">SUMPRODUCT($I$5:$I55,$AK$5:$AK55)</f>
        <v>0</v>
      </c>
      <c r="AL57" s="13">
        <f ca="1">SUMPRODUCT($I$5:$I55,$AL$5:$AL55)</f>
        <v>2300271.9527872917</v>
      </c>
      <c r="AM57" s="13">
        <f ca="1">SUMPRODUCT($I$5:$I55,$AM$5:$AM55)</f>
        <v>93040827.765487552</v>
      </c>
    </row>
    <row r="58" spans="1:42" ht="11.25" customHeight="1" x14ac:dyDescent="0.25">
      <c r="K58" s="16" t="s">
        <v>490</v>
      </c>
      <c r="L58" s="13">
        <f>'TR TUSD'!$L$60</f>
        <v>9419991.3842511326</v>
      </c>
      <c r="M58" s="13">
        <f>'TR TUSD'!$M$60</f>
        <v>174059.44361910204</v>
      </c>
      <c r="N58" s="13">
        <f>'TR TUSD'!$N$60</f>
        <v>0</v>
      </c>
      <c r="O58" s="13">
        <f>'TR TUSD'!$O$60</f>
        <v>0</v>
      </c>
      <c r="P58" s="13">
        <f>'TR TUSD'!$P$60</f>
        <v>0</v>
      </c>
      <c r="Q58" s="13">
        <f>'TR TUSD'!$Q$60</f>
        <v>26430216.89694</v>
      </c>
      <c r="R58" s="13">
        <f>'TR TUSD'!$R$60</f>
        <v>4738373.3178900015</v>
      </c>
      <c r="S58" s="13">
        <f>'TR TUSD'!$S$60</f>
        <v>0</v>
      </c>
      <c r="T58" s="13">
        <f>'TR TUSD'!$T$60</f>
        <v>40762641.042700239</v>
      </c>
      <c r="U58" s="13">
        <f>'TR TUSD'!$U$60</f>
        <v>9344727</v>
      </c>
      <c r="V58" s="13">
        <f>'TR TUSD'!$V$60</f>
        <v>1309770</v>
      </c>
      <c r="W58" s="13">
        <f>'TR TUSD'!$W$60</f>
        <v>0</v>
      </c>
      <c r="X58" s="13">
        <f>'TR TUSD'!$X$60</f>
        <v>0</v>
      </c>
      <c r="Y58" s="13">
        <f>'TR TUSD'!$Y$60</f>
        <v>0</v>
      </c>
      <c r="Z58" s="13">
        <f>'TR TUSD'!$Z$60</f>
        <v>0</v>
      </c>
      <c r="AA58" s="13">
        <f>'TR TUSD'!$AA$60</f>
        <v>0</v>
      </c>
      <c r="AB58" s="13">
        <f>'TR TUSD'!$AB$60</f>
        <v>10654497</v>
      </c>
      <c r="AC58" s="13">
        <f>'TR TUSD'!$AC$60</f>
        <v>39323417.770000003</v>
      </c>
      <c r="AD58" s="13">
        <f>'TR TUSD'!$AD$60</f>
        <v>39323417.770000003</v>
      </c>
      <c r="AE58" s="13">
        <f>'TR TUSD'!$AE$60</f>
        <v>0</v>
      </c>
      <c r="AF58" s="13">
        <f>'TR TUSD'!$AF$60</f>
        <v>0</v>
      </c>
      <c r="AG58" s="13">
        <f>'TR TUSD'!$AG$60</f>
        <v>0</v>
      </c>
      <c r="AH58" s="13">
        <f>'TR TUSD'!$AH$60</f>
        <v>2300271.9527872917</v>
      </c>
      <c r="AI58" s="13">
        <f>'TR TUSD'!$AI$60</f>
        <v>0</v>
      </c>
      <c r="AJ58" s="13">
        <f>'TR TUSD'!$AJ$60</f>
        <v>0</v>
      </c>
      <c r="AK58" s="13">
        <f>'TR TUSD'!$AK$60</f>
        <v>0</v>
      </c>
      <c r="AL58" s="13">
        <f>'TR TUSD'!$AL$60</f>
        <v>2300271.9527872917</v>
      </c>
      <c r="AM58" s="13">
        <f>CUSTOS!$D$29</f>
        <v>93040827.765487537</v>
      </c>
    </row>
    <row r="59" spans="1:42" ht="11.25" customHeight="1" x14ac:dyDescent="0.25">
      <c r="K59" s="16" t="s">
        <v>491</v>
      </c>
      <c r="L59" s="13">
        <f>CUSTOS!$E$2</f>
        <v>-128162.06640272774</v>
      </c>
      <c r="M59" s="13">
        <f>CUSTOS!$E$3</f>
        <v>-3549.1525413601648</v>
      </c>
      <c r="N59" s="13">
        <f>CUSTOS!$E$4</f>
        <v>0</v>
      </c>
      <c r="O59" s="13">
        <f>CUSTOS!$E$5</f>
        <v>0</v>
      </c>
      <c r="P59" s="13">
        <f>CUSTOS!$E$6</f>
        <v>0</v>
      </c>
      <c r="Q59" s="13">
        <f>CUSTOS!$E$7</f>
        <v>-245185.61438902293</v>
      </c>
      <c r="R59" s="13">
        <f>CUSTOS!$E$8</f>
        <v>-37884.487566450392</v>
      </c>
      <c r="S59" s="13">
        <f>CUSTOS!$E$9</f>
        <v>0</v>
      </c>
      <c r="T59" s="13">
        <f>CUSTOS!$E$10</f>
        <v>-414781.32089956122</v>
      </c>
      <c r="U59" s="13">
        <f>CUSTOS!$E$11</f>
        <v>977316.44974697579</v>
      </c>
      <c r="V59" s="13">
        <f>CUSTOS!$E$12</f>
        <v>136982.03985895967</v>
      </c>
      <c r="W59" s="13">
        <f>CUSTOS!$E$13</f>
        <v>0</v>
      </c>
      <c r="X59" s="13">
        <f>CUSTOS!$E$14</f>
        <v>0</v>
      </c>
      <c r="Y59" s="13">
        <f>CUSTOS!$E$15</f>
        <v>0</v>
      </c>
      <c r="Z59" s="13">
        <f>CUSTOS!$E$16</f>
        <v>0</v>
      </c>
      <c r="AA59" s="13">
        <f>CUSTOS!$E$17</f>
        <v>0</v>
      </c>
      <c r="AB59" s="13">
        <f>CUSTOS!$E$18</f>
        <v>1114298.4896059355</v>
      </c>
      <c r="AC59" s="13">
        <f>CUSTOS!$E$19</f>
        <v>-1208758.9664889562</v>
      </c>
      <c r="AD59" s="13">
        <f>CUSTOS!$E$20</f>
        <v>-1208758.9664889562</v>
      </c>
      <c r="AE59" s="13">
        <f>CUSTOS!$E$21</f>
        <v>0</v>
      </c>
      <c r="AF59" s="13">
        <f>CUSTOS!$E$22</f>
        <v>0</v>
      </c>
      <c r="AG59" s="13">
        <f>CUSTOS!$E$23</f>
        <v>0</v>
      </c>
      <c r="AH59" s="13">
        <f>CUSTOS!$E$24</f>
        <v>-36049.488240288418</v>
      </c>
      <c r="AI59" s="13">
        <f>CUSTOS!$E$25</f>
        <v>0</v>
      </c>
      <c r="AJ59" s="13">
        <f>CUSTOS!$E$26</f>
        <v>0</v>
      </c>
      <c r="AK59" s="13">
        <f>CUSTOS!$E$27</f>
        <v>0</v>
      </c>
      <c r="AL59" s="13">
        <f>CUSTOS!$E$28</f>
        <v>-36049.488240288418</v>
      </c>
      <c r="AM59" s="13">
        <f>CUSTOS!$E$29</f>
        <v>-545291.28602287045</v>
      </c>
    </row>
    <row r="60" spans="1:42" ht="11.25" customHeight="1" x14ac:dyDescent="0.25">
      <c r="K60" s="16" t="s">
        <v>492</v>
      </c>
      <c r="L60" s="13">
        <f>CUSTOS!$F$2</f>
        <v>0</v>
      </c>
      <c r="M60" s="13">
        <f>CUSTOS!$F$3</f>
        <v>0</v>
      </c>
      <c r="N60" s="13">
        <f>CUSTOS!$F$4</f>
        <v>0</v>
      </c>
      <c r="O60" s="13">
        <f>CUSTOS!$F$5</f>
        <v>0</v>
      </c>
      <c r="P60" s="13">
        <f>CUSTOS!$F$6</f>
        <v>0</v>
      </c>
      <c r="Q60" s="13">
        <f>CUSTOS!$F$7</f>
        <v>0</v>
      </c>
      <c r="R60" s="13">
        <f>CUSTOS!$F$8</f>
        <v>0</v>
      </c>
      <c r="S60" s="13">
        <f>CUSTOS!$F$9</f>
        <v>0</v>
      </c>
      <c r="T60" s="13">
        <f>CUSTOS!$F$10</f>
        <v>0</v>
      </c>
      <c r="U60" s="13">
        <f>CUSTOS!$F$11</f>
        <v>0</v>
      </c>
      <c r="V60" s="13">
        <f>CUSTOS!$F$12</f>
        <v>0</v>
      </c>
      <c r="W60" s="13">
        <f>CUSTOS!$F$13</f>
        <v>0</v>
      </c>
      <c r="X60" s="13">
        <f>CUSTOS!$F$14</f>
        <v>0</v>
      </c>
      <c r="Y60" s="13">
        <f>CUSTOS!$F$15</f>
        <v>0</v>
      </c>
      <c r="Z60" s="13">
        <f>CUSTOS!$F$16</f>
        <v>0</v>
      </c>
      <c r="AA60" s="13">
        <f>CUSTOS!$F$17</f>
        <v>0</v>
      </c>
      <c r="AB60" s="13">
        <f>CUSTOS!$F$18</f>
        <v>0</v>
      </c>
      <c r="AC60" s="13">
        <f>CUSTOS!$F$19</f>
        <v>0</v>
      </c>
      <c r="AD60" s="13">
        <f>CUSTOS!$F$20</f>
        <v>0</v>
      </c>
      <c r="AE60" s="13">
        <f>CUSTOS!$F$21</f>
        <v>0</v>
      </c>
      <c r="AF60" s="13">
        <f>CUSTOS!$F$22</f>
        <v>0</v>
      </c>
      <c r="AG60" s="13">
        <f>CUSTOS!$F$23</f>
        <v>0</v>
      </c>
      <c r="AH60" s="13">
        <f>CUSTOS!$F$24</f>
        <v>0</v>
      </c>
      <c r="AI60" s="13">
        <f>CUSTOS!$F$25</f>
        <v>0</v>
      </c>
      <c r="AJ60" s="13">
        <f>CUSTOS!$F$26</f>
        <v>0</v>
      </c>
      <c r="AK60" s="13">
        <f>CUSTOS!$F$27</f>
        <v>0</v>
      </c>
      <c r="AL60" s="13">
        <f>CUSTOS!$F$28</f>
        <v>0</v>
      </c>
      <c r="AM60" s="13">
        <f>CUSTOS!$F$29</f>
        <v>0</v>
      </c>
    </row>
    <row r="61" spans="1:42" ht="11.25" customHeight="1" x14ac:dyDescent="0.25">
      <c r="K61" s="16" t="s">
        <v>555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f>SUM($L$61:$S$61)</f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f>SUM($U$61:$AA$61)</f>
        <v>0</v>
      </c>
      <c r="AC61" s="13">
        <v>0</v>
      </c>
      <c r="AD61" s="13">
        <f>SUM($AC$61:$AC$61)</f>
        <v>0</v>
      </c>
      <c r="AE61" s="13">
        <v>0</v>
      </c>
      <c r="AF61" s="13">
        <v>0</v>
      </c>
      <c r="AG61" s="13">
        <f>SUM($AE$61:$AF$61)</f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f>SUM($AH$61:$AK$61)</f>
        <v>0</v>
      </c>
      <c r="AM61" s="13">
        <f>SUMIF($L$4:$AL$4,"SUBTOTAL",$L$61:$AL$61)</f>
        <v>0</v>
      </c>
    </row>
    <row r="62" spans="1:42" ht="11.25" customHeight="1" x14ac:dyDescent="0.25">
      <c r="K62" s="16" t="s">
        <v>559</v>
      </c>
      <c r="L62" s="13">
        <f t="shared" ref="L62:R62" si="0">IF((L57-(0))&lt;&gt;0,(L59)/(L57-(0)),0)</f>
        <v>-1.3605327348493783E-2</v>
      </c>
      <c r="M62" s="13">
        <f t="shared" si="0"/>
        <v>-2.0390462405055425E-2</v>
      </c>
      <c r="N62" s="13">
        <f t="shared" ca="1" si="0"/>
        <v>0</v>
      </c>
      <c r="O62" s="13">
        <f t="shared" si="0"/>
        <v>0</v>
      </c>
      <c r="P62" s="13">
        <f t="shared" si="0"/>
        <v>0</v>
      </c>
      <c r="Q62" s="13">
        <f t="shared" si="0"/>
        <v>-9.276715940133266E-3</v>
      </c>
      <c r="R62" s="13">
        <f t="shared" si="0"/>
        <v>-7.9952517509364069E-3</v>
      </c>
      <c r="S62" s="13">
        <f>IF((R57-(0)&lt;&gt;0),(S59)/(R57-(0)),0)</f>
        <v>0</v>
      </c>
      <c r="T62" s="13"/>
      <c r="U62" s="13">
        <f t="shared" ref="U62:AA62" si="1">IF((U57-(0))&lt;&gt;0,(U59)/(U57-(0)),0)</f>
        <v>0.10458480485807407</v>
      </c>
      <c r="V62" s="13">
        <f t="shared" si="1"/>
        <v>0.10458480485807407</v>
      </c>
      <c r="W62" s="13">
        <f t="shared" si="1"/>
        <v>0</v>
      </c>
      <c r="X62" s="13">
        <f t="shared" si="1"/>
        <v>0</v>
      </c>
      <c r="Y62" s="13">
        <f t="shared" si="1"/>
        <v>0</v>
      </c>
      <c r="Z62" s="13">
        <f t="shared" si="1"/>
        <v>0</v>
      </c>
      <c r="AA62" s="13">
        <f t="shared" si="1"/>
        <v>0</v>
      </c>
      <c r="AB62" s="13"/>
      <c r="AC62" s="13">
        <f>IF((AC57-(0))&lt;&gt;0,(AC59)/(AC57-(0)),0)</f>
        <v>-3.0738909154817244E-2</v>
      </c>
      <c r="AD62" s="13"/>
      <c r="AE62" s="13">
        <f ca="1">IF(($AM57-(0))&lt;&gt;0,(AE59)/($AM57-(0)),0)</f>
        <v>0</v>
      </c>
      <c r="AF62" s="13">
        <f ca="1">IF(($AM57-(0))&lt;&gt;0,(AF59)/($AM57-(0)),0)</f>
        <v>0</v>
      </c>
      <c r="AG62" s="13"/>
      <c r="AH62" s="13">
        <f>IF((AH57-(0))&lt;&gt;0,(AH59)/(AH57-(0)),0)</f>
        <v>-1.5671837495825847E-2</v>
      </c>
      <c r="AI62" s="13">
        <f>IF((AI57-(0))&lt;&gt;0,(AI59)/(AI57-(0)),0)</f>
        <v>0</v>
      </c>
      <c r="AJ62" s="13">
        <f ca="1">IF((AJ57-(0))&lt;&gt;0,(AJ59)/(AJ57-(0)),0)</f>
        <v>0</v>
      </c>
      <c r="AK62" s="13">
        <f ca="1">IF((AK57-(0))&lt;&gt;0,(AK59)/(AK57-(0)),0)</f>
        <v>0</v>
      </c>
      <c r="AL62" s="13"/>
      <c r="AM62" s="13"/>
    </row>
  </sheetData>
  <mergeCells count="79">
    <mergeCell ref="E49:E51"/>
    <mergeCell ref="F49:F51"/>
    <mergeCell ref="A54:A55"/>
    <mergeCell ref="B54:B55"/>
    <mergeCell ref="C54:C55"/>
    <mergeCell ref="D49:D51"/>
    <mergeCell ref="B46:B48"/>
    <mergeCell ref="C46:C48"/>
    <mergeCell ref="A49:A53"/>
    <mergeCell ref="B49:B51"/>
    <mergeCell ref="C49:C51"/>
    <mergeCell ref="A34:A48"/>
    <mergeCell ref="B34:B36"/>
    <mergeCell ref="C34:C36"/>
    <mergeCell ref="B42:B44"/>
    <mergeCell ref="C42:C44"/>
    <mergeCell ref="B38:B40"/>
    <mergeCell ref="C38:C40"/>
    <mergeCell ref="D42:D44"/>
    <mergeCell ref="E42:E44"/>
    <mergeCell ref="F42:F44"/>
    <mergeCell ref="D34:D36"/>
    <mergeCell ref="E34:E36"/>
    <mergeCell ref="F34:F36"/>
    <mergeCell ref="D38:D40"/>
    <mergeCell ref="E38:E40"/>
    <mergeCell ref="F38:F40"/>
    <mergeCell ref="A21:A33"/>
    <mergeCell ref="B21:B23"/>
    <mergeCell ref="C21:C23"/>
    <mergeCell ref="D21:D23"/>
    <mergeCell ref="E21:E23"/>
    <mergeCell ref="F21:F23"/>
    <mergeCell ref="B24:B28"/>
    <mergeCell ref="C24:C28"/>
    <mergeCell ref="B29:B33"/>
    <mergeCell ref="C29:C33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E14:E16"/>
    <mergeCell ref="AE3:AG3"/>
    <mergeCell ref="AH3:AL3"/>
    <mergeCell ref="AM3:AM4"/>
    <mergeCell ref="A5:A8"/>
    <mergeCell ref="B5:B8"/>
    <mergeCell ref="C5:C8"/>
    <mergeCell ref="D5:D8"/>
    <mergeCell ref="E5:E7"/>
    <mergeCell ref="F5:F7"/>
    <mergeCell ref="G1:G4"/>
    <mergeCell ref="H1:H4"/>
    <mergeCell ref="I1:I4"/>
    <mergeCell ref="J1:J4"/>
    <mergeCell ref="L1:AM1"/>
    <mergeCell ref="A1:A4"/>
    <mergeCell ref="AP1:AP4"/>
    <mergeCell ref="L2:AM2"/>
    <mergeCell ref="L3:T3"/>
    <mergeCell ref="U3:AB3"/>
    <mergeCell ref="AC3:AD3"/>
    <mergeCell ref="B1:B4"/>
    <mergeCell ref="C1:C4"/>
    <mergeCell ref="D1:D4"/>
    <mergeCell ref="E1:E4"/>
    <mergeCell ref="F1:F4"/>
  </mergeCells>
  <conditionalFormatting sqref="L57">
    <cfRule type="cellIs" dxfId="784" priority="55" operator="notEqual">
      <formula>$L$58-$L$61</formula>
    </cfRule>
    <cfRule type="cellIs" dxfId="783" priority="56" operator="equal">
      <formula>$L$58-$L$61</formula>
    </cfRule>
  </conditionalFormatting>
  <conditionalFormatting sqref="M57">
    <cfRule type="cellIs" dxfId="782" priority="53" operator="notEqual">
      <formula>$M$58-$M$61</formula>
    </cfRule>
    <cfRule type="cellIs" dxfId="781" priority="54" operator="equal">
      <formula>$M$58-$M$61</formula>
    </cfRule>
  </conditionalFormatting>
  <conditionalFormatting sqref="N57">
    <cfRule type="cellIs" dxfId="780" priority="51" operator="notEqual">
      <formula>$N$58-$N$61</formula>
    </cfRule>
    <cfRule type="cellIs" dxfId="779" priority="52" operator="equal">
      <formula>$N$58-$N$61</formula>
    </cfRule>
  </conditionalFormatting>
  <conditionalFormatting sqref="O57">
    <cfRule type="cellIs" dxfId="778" priority="49" operator="notEqual">
      <formula>$O$58-$O$61</formula>
    </cfRule>
    <cfRule type="cellIs" dxfId="777" priority="50" operator="equal">
      <formula>$O$58-$O$61</formula>
    </cfRule>
  </conditionalFormatting>
  <conditionalFormatting sqref="P57">
    <cfRule type="cellIs" dxfId="776" priority="47" operator="notEqual">
      <formula>$P$58-$P$61</formula>
    </cfRule>
    <cfRule type="cellIs" dxfId="775" priority="48" operator="equal">
      <formula>$P$58-$P$61</formula>
    </cfRule>
  </conditionalFormatting>
  <conditionalFormatting sqref="Q57">
    <cfRule type="cellIs" dxfId="774" priority="45" operator="notEqual">
      <formula>$Q$58-$Q$61</formula>
    </cfRule>
    <cfRule type="cellIs" dxfId="773" priority="46" operator="equal">
      <formula>$Q$58-$Q$61</formula>
    </cfRule>
  </conditionalFormatting>
  <conditionalFormatting sqref="R57">
    <cfRule type="cellIs" dxfId="772" priority="43" operator="notEqual">
      <formula>$R$58-$R$61</formula>
    </cfRule>
    <cfRule type="cellIs" dxfId="771" priority="44" operator="equal">
      <formula>$R$58-$R$61</formula>
    </cfRule>
  </conditionalFormatting>
  <conditionalFormatting sqref="S57">
    <cfRule type="cellIs" dxfId="770" priority="41" operator="notEqual">
      <formula>$S$58-$S$61</formula>
    </cfRule>
    <cfRule type="cellIs" dxfId="769" priority="42" operator="equal">
      <formula>$S$58-$S$61</formula>
    </cfRule>
  </conditionalFormatting>
  <conditionalFormatting sqref="T57">
    <cfRule type="cellIs" dxfId="768" priority="39" operator="notEqual">
      <formula>$T$58-$T$61</formula>
    </cfRule>
    <cfRule type="cellIs" dxfId="767" priority="40" operator="equal">
      <formula>$T$58-$T$61</formula>
    </cfRule>
  </conditionalFormatting>
  <conditionalFormatting sqref="U57">
    <cfRule type="cellIs" dxfId="766" priority="37" operator="notEqual">
      <formula>$U$58-$U$61</formula>
    </cfRule>
    <cfRule type="cellIs" dxfId="765" priority="38" operator="equal">
      <formula>$U$58-$U$61</formula>
    </cfRule>
  </conditionalFormatting>
  <conditionalFormatting sqref="V57">
    <cfRule type="cellIs" dxfId="764" priority="35" operator="notEqual">
      <formula>$V$58-$V$61</formula>
    </cfRule>
    <cfRule type="cellIs" dxfId="763" priority="36" operator="equal">
      <formula>$V$58-$V$61</formula>
    </cfRule>
  </conditionalFormatting>
  <conditionalFormatting sqref="W57">
    <cfRule type="cellIs" dxfId="762" priority="33" operator="notEqual">
      <formula>$W$58-$W$61</formula>
    </cfRule>
    <cfRule type="cellIs" dxfId="761" priority="34" operator="equal">
      <formula>$W$58-$W$61</formula>
    </cfRule>
  </conditionalFormatting>
  <conditionalFormatting sqref="X57">
    <cfRule type="cellIs" dxfId="760" priority="31" operator="notEqual">
      <formula>$X$58-$X$61</formula>
    </cfRule>
    <cfRule type="cellIs" dxfId="759" priority="32" operator="equal">
      <formula>$X$58-$X$61</formula>
    </cfRule>
  </conditionalFormatting>
  <conditionalFormatting sqref="Y57">
    <cfRule type="cellIs" dxfId="758" priority="29" operator="notEqual">
      <formula>$Y$58-$Y$61</formula>
    </cfRule>
    <cfRule type="cellIs" dxfId="757" priority="30" operator="equal">
      <formula>$Y$58-$Y$61</formula>
    </cfRule>
  </conditionalFormatting>
  <conditionalFormatting sqref="Z57">
    <cfRule type="cellIs" dxfId="756" priority="27" operator="notEqual">
      <formula>$Z$58-$Z$61</formula>
    </cfRule>
    <cfRule type="cellIs" dxfId="755" priority="28" operator="equal">
      <formula>$Z$58-$Z$61</formula>
    </cfRule>
  </conditionalFormatting>
  <conditionalFormatting sqref="AA57">
    <cfRule type="cellIs" dxfId="754" priority="25" operator="notEqual">
      <formula>$AA$58-$AA$61</formula>
    </cfRule>
    <cfRule type="cellIs" dxfId="753" priority="26" operator="equal">
      <formula>$AA$58-$AA$61</formula>
    </cfRule>
  </conditionalFormatting>
  <conditionalFormatting sqref="AB57">
    <cfRule type="cellIs" dxfId="752" priority="23" operator="notEqual">
      <formula>$AB$58-$AB$61</formula>
    </cfRule>
    <cfRule type="cellIs" dxfId="751" priority="24" operator="equal">
      <formula>$AB$58-$AB$61</formula>
    </cfRule>
  </conditionalFormatting>
  <conditionalFormatting sqref="AC57">
    <cfRule type="cellIs" dxfId="750" priority="21" operator="notEqual">
      <formula>$AC$58-$AC$61</formula>
    </cfRule>
    <cfRule type="cellIs" dxfId="749" priority="22" operator="equal">
      <formula>$AC$58-$AC$61</formula>
    </cfRule>
  </conditionalFormatting>
  <conditionalFormatting sqref="AD57">
    <cfRule type="cellIs" dxfId="748" priority="19" operator="notEqual">
      <formula>$AD$58-$AD$61</formula>
    </cfRule>
    <cfRule type="cellIs" dxfId="747" priority="20" operator="equal">
      <formula>$AD$58-$AD$61</formula>
    </cfRule>
  </conditionalFormatting>
  <conditionalFormatting sqref="AE57">
    <cfRule type="cellIs" dxfId="746" priority="17" operator="notEqual">
      <formula>$AE$58-$AE$61</formula>
    </cfRule>
    <cfRule type="cellIs" dxfId="745" priority="18" operator="equal">
      <formula>$AE$58-$AE$61</formula>
    </cfRule>
  </conditionalFormatting>
  <conditionalFormatting sqref="AF57">
    <cfRule type="cellIs" dxfId="744" priority="16" operator="equal">
      <formula>$AF$58-$AF$61</formula>
    </cfRule>
  </conditionalFormatting>
  <conditionalFormatting sqref="AF57">
    <cfRule type="cellIs" dxfId="743" priority="15" operator="notEqual">
      <formula>$AF$58-$AF$61</formula>
    </cfRule>
  </conditionalFormatting>
  <conditionalFormatting sqref="AG57">
    <cfRule type="cellIs" dxfId="742" priority="14" operator="equal">
      <formula>$AG$58-$AG$61</formula>
    </cfRule>
  </conditionalFormatting>
  <conditionalFormatting sqref="AG57">
    <cfRule type="cellIs" dxfId="741" priority="13" operator="notEqual">
      <formula>$AG$58-$AG$61</formula>
    </cfRule>
  </conditionalFormatting>
  <conditionalFormatting sqref="AH57">
    <cfRule type="cellIs" dxfId="740" priority="12" operator="equal">
      <formula>$AH$58-$AH$61</formula>
    </cfRule>
  </conditionalFormatting>
  <conditionalFormatting sqref="AH57">
    <cfRule type="cellIs" dxfId="739" priority="11" operator="notEqual">
      <formula>$AH$58-$AH$61</formula>
    </cfRule>
  </conditionalFormatting>
  <conditionalFormatting sqref="AI57">
    <cfRule type="cellIs" dxfId="738" priority="10" operator="equal">
      <formula>$AI$58-$AI$61</formula>
    </cfRule>
  </conditionalFormatting>
  <conditionalFormatting sqref="AI57">
    <cfRule type="cellIs" dxfId="737" priority="9" operator="notEqual">
      <formula>$AI$58-$AI$61</formula>
    </cfRule>
  </conditionalFormatting>
  <conditionalFormatting sqref="AJ57">
    <cfRule type="cellIs" dxfId="736" priority="8" operator="equal">
      <formula>$AJ$58-$AJ$61</formula>
    </cfRule>
  </conditionalFormatting>
  <conditionalFormatting sqref="AJ57">
    <cfRule type="cellIs" dxfId="735" priority="7" operator="notEqual">
      <formula>$AJ$58-$AJ$61</formula>
    </cfRule>
  </conditionalFormatting>
  <conditionalFormatting sqref="AK57">
    <cfRule type="cellIs" dxfId="734" priority="6" operator="equal">
      <formula>$AK$58-$AK$61</formula>
    </cfRule>
  </conditionalFormatting>
  <conditionalFormatting sqref="AK57">
    <cfRule type="cellIs" dxfId="733" priority="5" operator="notEqual">
      <formula>$AK$58-$AK$61</formula>
    </cfRule>
  </conditionalFormatting>
  <conditionalFormatting sqref="AL57">
    <cfRule type="cellIs" dxfId="732" priority="4" operator="equal">
      <formula>$AL$58-$AL$61</formula>
    </cfRule>
  </conditionalFormatting>
  <conditionalFormatting sqref="AL57">
    <cfRule type="cellIs" dxfId="731" priority="3" operator="notEqual">
      <formula>$AL$58-$AL$61</formula>
    </cfRule>
  </conditionalFormatting>
  <conditionalFormatting sqref="AM57">
    <cfRule type="cellIs" dxfId="730" priority="2" operator="equal">
      <formula>$AM$58-$AM$61</formula>
    </cfRule>
  </conditionalFormatting>
  <conditionalFormatting sqref="AM57">
    <cfRule type="cellIs" dxfId="729" priority="1" operator="notEqual">
      <formula>$AM$58-$AM$61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D94A-377D-45DD-8737-5EF4B911D5C4}">
  <dimension ref="A1:AP62"/>
  <sheetViews>
    <sheetView showGridLines="0" topLeftCell="AB32" workbookViewId="0">
      <selection activeCell="AO57" sqref="AO57:AP5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2" width="10" style="9" bestFit="1" customWidth="1"/>
    <col min="23" max="24" width="9.85546875" style="9" bestFit="1" customWidth="1"/>
    <col min="25" max="25" width="5.1406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566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5"/>
      <c r="AO4" s="27" t="s">
        <v>568</v>
      </c>
      <c r="AP4" s="98"/>
    </row>
    <row r="5" spans="1:42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>
        <f>'TUSD BE'!$L$5*'TUSD BE'!$L$62</f>
        <v>0</v>
      </c>
      <c r="M5" s="13">
        <f>'TUSD BE'!$M$5*'TUSD BE'!$M$62</f>
        <v>0</v>
      </c>
      <c r="N5" s="13">
        <f ca="1">'TUSD BE'!$N$5*'TUSD BE'!$N$62</f>
        <v>0</v>
      </c>
      <c r="O5" s="13">
        <f>'TUSD BE'!$O$5*'TUSD BE'!$O$62</f>
        <v>0</v>
      </c>
      <c r="P5" s="13">
        <f>'TUSD BE'!$P$5*'TUSD BE'!$P$62</f>
        <v>0</v>
      </c>
      <c r="Q5" s="13">
        <f>'TUSD BE'!$Q$5*'TUSD BE'!$Q$62</f>
        <v>0</v>
      </c>
      <c r="R5" s="13">
        <f>'TUSD BE'!$R$5*'TUSD BE'!$R$62</f>
        <v>0</v>
      </c>
      <c r="S5" s="13">
        <f>'TUSD BE'!$R$5*'TUSD BE'!$S$62</f>
        <v>0</v>
      </c>
      <c r="T5" s="13">
        <f ca="1">SUM($L$5:$S$5)</f>
        <v>0</v>
      </c>
      <c r="U5" s="13">
        <f>'TUSD BE'!$U$5*'TUSD BE'!$U$62</f>
        <v>0.67455905083185952</v>
      </c>
      <c r="V5" s="13">
        <f>'TUSD BE'!$V$5*'TUSD BE'!$V$62</f>
        <v>8.9826633396877215E-2</v>
      </c>
      <c r="W5" s="13">
        <f>'TUSD BE'!$W$5*'TUSD BE'!$W$62</f>
        <v>0</v>
      </c>
      <c r="X5" s="13">
        <f>'TUSD BE'!$X$5*'TUSD BE'!$X$62</f>
        <v>0</v>
      </c>
      <c r="Y5" s="13">
        <f>'TUSD BE'!$Y$5*'TUSD BE'!$Y$62</f>
        <v>0</v>
      </c>
      <c r="Z5" s="13">
        <f>'TUSD BE'!$Z$5*'TUSD BE'!$Z$62</f>
        <v>0</v>
      </c>
      <c r="AA5" s="13">
        <f>'TUSD BE'!$AA$5*'TUSD BE'!$AA$62</f>
        <v>0</v>
      </c>
      <c r="AB5" s="13">
        <f>SUM($U$5:$AA$5)</f>
        <v>0.76438568422873676</v>
      </c>
      <c r="AC5" s="13">
        <f>'TUSD BE'!$AC$5*'TUSD BE'!$AC$62</f>
        <v>-0.60943419150258249</v>
      </c>
      <c r="AD5" s="13">
        <f>SUM($AC$5:$AC$5)</f>
        <v>-0.60943419150258249</v>
      </c>
      <c r="AE5" s="13">
        <f ca="1">$AO$5*$AO$59</f>
        <v>0</v>
      </c>
      <c r="AF5" s="13">
        <f ca="1">$AP$5*$AP$59</f>
        <v>0</v>
      </c>
      <c r="AG5" s="13">
        <f ca="1">SUM($AE$5:$AF$5)</f>
        <v>0</v>
      </c>
      <c r="AH5" s="13">
        <f>'TUSD BE'!$AH$5*'TUSD BE'!$AH$62</f>
        <v>0</v>
      </c>
      <c r="AI5" s="13">
        <f>'TUSD BE'!$AI$5*'TUSD BE'!$AI$62</f>
        <v>0</v>
      </c>
      <c r="AJ5" s="13">
        <f ca="1">'TUSD BE'!$AJ$5*'TUSD BE'!$AJ$62</f>
        <v>0</v>
      </c>
      <c r="AK5" s="13">
        <f ca="1">'TUSD BE'!$AK$5*'TUSD BE'!$AK$62</f>
        <v>0</v>
      </c>
      <c r="AL5" s="13">
        <f ca="1">SUM($AH$5:$AK$5)</f>
        <v>0</v>
      </c>
      <c r="AM5" s="13">
        <f ca="1">SUMIF($L$4:$AL$4,"SUBTOTAL",$L$5:$AL$5)</f>
        <v>0.15495149272615427</v>
      </c>
      <c r="AO5" s="26">
        <f ca="1">+'TUSD BE'!$T$5+'TUSD BE'!$AB$5+'TUSD BE'!$AD$5+'TUSD BE'!$AL$5</f>
        <v>27.134913214536951</v>
      </c>
      <c r="AP5" s="26">
        <f ca="1">+'TUSD BE'!$T$5+'TUSD BE'!$AB$5+'TUSD BE'!$AD$5+'TUSD BE'!$AL$5</f>
        <v>27.134913214536951</v>
      </c>
    </row>
    <row r="6" spans="1:42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>
        <f>'TUSD BE'!$L$6*'TUSD BE'!$L$62</f>
        <v>0</v>
      </c>
      <c r="M6" s="13">
        <f>'TUSD BE'!$M$6*'TUSD BE'!$M$62</f>
        <v>0</v>
      </c>
      <c r="N6" s="13">
        <f ca="1">'TUSD BE'!$N$6*'TUSD BE'!$N$62</f>
        <v>0</v>
      </c>
      <c r="O6" s="13">
        <f>'TUSD BE'!$O$6*'TUSD BE'!$O$62</f>
        <v>0</v>
      </c>
      <c r="P6" s="13">
        <f>'TUSD BE'!$P$6*'TUSD BE'!$P$62</f>
        <v>0</v>
      </c>
      <c r="Q6" s="13">
        <f>'TUSD BE'!$Q$6*'TUSD BE'!$Q$62</f>
        <v>0</v>
      </c>
      <c r="R6" s="13">
        <f>'TUSD BE'!$R$6*'TUSD BE'!$R$62</f>
        <v>0</v>
      </c>
      <c r="S6" s="13">
        <f>'TUSD BE'!$R$6*'TUSD BE'!$S$62</f>
        <v>0</v>
      </c>
      <c r="T6" s="13">
        <f ca="1">SUM($L$6:$S$6)</f>
        <v>0</v>
      </c>
      <c r="U6" s="13">
        <f>'TUSD BE'!$U$6*'TUSD BE'!$U$62</f>
        <v>0.61825010724499874</v>
      </c>
      <c r="V6" s="13">
        <f>'TUSD BE'!$V$6*'TUSD BE'!$V$62</f>
        <v>8.108727552600406E-2</v>
      </c>
      <c r="W6" s="13">
        <f>'TUSD BE'!$W$6*'TUSD BE'!$W$62</f>
        <v>0</v>
      </c>
      <c r="X6" s="13">
        <f>'TUSD BE'!$X$6*'TUSD BE'!$X$62</f>
        <v>0</v>
      </c>
      <c r="Y6" s="13">
        <f>'TUSD BE'!$Y$6*'TUSD BE'!$Y$62</f>
        <v>0</v>
      </c>
      <c r="Z6" s="13">
        <f>'TUSD BE'!$Z$6*'TUSD BE'!$Z$62</f>
        <v>0</v>
      </c>
      <c r="AA6" s="13">
        <f>'TUSD BE'!$AA$6*'TUSD BE'!$AA$62</f>
        <v>0</v>
      </c>
      <c r="AB6" s="13">
        <f>SUM($U$6:$AA$6)</f>
        <v>0.69933738277100277</v>
      </c>
      <c r="AC6" s="13">
        <f>'TUSD BE'!$AC$6*'TUSD BE'!$AC$62</f>
        <v>-0.13041658442201662</v>
      </c>
      <c r="AD6" s="13">
        <f>SUM($AC$6:$AC$6)</f>
        <v>-0.13041658442201662</v>
      </c>
      <c r="AE6" s="13">
        <f ca="1">$AO$6*$AO$59</f>
        <v>0</v>
      </c>
      <c r="AF6" s="13">
        <f ca="1">$AP$6*$AP$59</f>
        <v>0</v>
      </c>
      <c r="AG6" s="13">
        <f ca="1">SUM($AE$6:$AF$6)</f>
        <v>0</v>
      </c>
      <c r="AH6" s="13">
        <f>'TUSD BE'!$AH$6*'TUSD BE'!$AH$62</f>
        <v>0</v>
      </c>
      <c r="AI6" s="13">
        <f>'TUSD BE'!$AI$6*'TUSD BE'!$AI$62</f>
        <v>0</v>
      </c>
      <c r="AJ6" s="13">
        <f ca="1">'TUSD BE'!$AJ$6*'TUSD BE'!$AJ$62</f>
        <v>0</v>
      </c>
      <c r="AK6" s="13">
        <f ca="1">'TUSD BE'!$AK$6*'TUSD BE'!$AK$62</f>
        <v>0</v>
      </c>
      <c r="AL6" s="13">
        <f ca="1">SUM($AH$6:$AK$6)</f>
        <v>0</v>
      </c>
      <c r="AM6" s="13">
        <f ca="1">SUMIF($L$4:$AL$4,"SUBTOTAL",$L$6:$AL$6)</f>
        <v>0.56892079834898612</v>
      </c>
      <c r="AO6" s="26">
        <f ca="1">+'TUSD BE'!$T$6+'TUSD BE'!$AB$6+'TUSD BE'!$AD$6+'TUSD BE'!$AL$6</f>
        <v>10.929517216351304</v>
      </c>
      <c r="AP6" s="26">
        <f ca="1">+'TUSD BE'!$T$6+'TUSD BE'!$AB$6+'TUSD BE'!$AD$6+'TUSD BE'!$AL$6</f>
        <v>10.929517216351304</v>
      </c>
    </row>
    <row r="7" spans="1:42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>
        <f>'TUSD BE'!$L$7*'TUSD BE'!$L$62</f>
        <v>-0.27299045652303139</v>
      </c>
      <c r="M7" s="13">
        <f>'TUSD BE'!$M$7*'TUSD BE'!$M$62</f>
        <v>-4.7667379179065564E-3</v>
      </c>
      <c r="N7" s="13">
        <f ca="1">'TUSD BE'!$N$7*'TUSD BE'!$N$62</f>
        <v>0</v>
      </c>
      <c r="O7" s="13">
        <f>'TUSD BE'!$O$7*'TUSD BE'!$O$62</f>
        <v>0</v>
      </c>
      <c r="P7" s="13">
        <f>'TUSD BE'!$P$7*'TUSD BE'!$P$62</f>
        <v>0</v>
      </c>
      <c r="Q7" s="13">
        <f>'TUSD BE'!$Q$7*'TUSD BE'!$Q$62</f>
        <v>-0.52225541210152271</v>
      </c>
      <c r="R7" s="13">
        <f>'TUSD BE'!$R$7*'TUSD BE'!$R$62</f>
        <v>-0.1145844510862013</v>
      </c>
      <c r="S7" s="13">
        <f>'TUSD BE'!$R$7*'TUSD BE'!$S$62</f>
        <v>0</v>
      </c>
      <c r="T7" s="13">
        <f ca="1">SUM($L$7:$S$7)</f>
        <v>-0.91459705762866195</v>
      </c>
      <c r="U7" s="13">
        <f>'TUSD BE'!$U$7*'TUSD BE'!$U$62</f>
        <v>0</v>
      </c>
      <c r="V7" s="13">
        <f>'TUSD BE'!$V$7*'TUSD BE'!$V$62</f>
        <v>0</v>
      </c>
      <c r="W7" s="13">
        <f>'TUSD BE'!$W$7*'TUSD BE'!$W$62</f>
        <v>0</v>
      </c>
      <c r="X7" s="13">
        <f>'TUSD BE'!$X$7*'TUSD BE'!$X$62</f>
        <v>0</v>
      </c>
      <c r="Y7" s="13">
        <f>'TUSD BE'!$Y$7*'TUSD BE'!$Y$62</f>
        <v>0</v>
      </c>
      <c r="Z7" s="13">
        <f>'TUSD BE'!$Z$7*'TUSD BE'!$Z$62</f>
        <v>0</v>
      </c>
      <c r="AA7" s="13">
        <f>'TUSD BE'!$AA$7*'TUSD BE'!$AA$62</f>
        <v>0</v>
      </c>
      <c r="AB7" s="13">
        <f>SUM($U$7:$AA$7)</f>
        <v>0</v>
      </c>
      <c r="AC7" s="13">
        <f>'TUSD BE'!$AC$7*'TUSD BE'!$AC$62</f>
        <v>0</v>
      </c>
      <c r="AD7" s="13">
        <f>SUM($AC$7:$AC$7)</f>
        <v>0</v>
      </c>
      <c r="AE7" s="13">
        <f ca="1">$AO$7*$AO$59</f>
        <v>0</v>
      </c>
      <c r="AF7" s="13">
        <f ca="1">$AP$7*$AP$59</f>
        <v>0</v>
      </c>
      <c r="AG7" s="13">
        <f ca="1">SUM($AE$7:$AF$7)</f>
        <v>0</v>
      </c>
      <c r="AH7" s="13">
        <f>'TUSD BE'!$AH$7*'TUSD BE'!$AH$62</f>
        <v>-4.163420224919933E-2</v>
      </c>
      <c r="AI7" s="13">
        <f>'TUSD BE'!$AI$7*'TUSD BE'!$AI$62</f>
        <v>0</v>
      </c>
      <c r="AJ7" s="13">
        <f ca="1">'TUSD BE'!$AJ$7*'TUSD BE'!$AJ$62</f>
        <v>0</v>
      </c>
      <c r="AK7" s="13">
        <f ca="1">'TUSD BE'!$AK$7*'TUSD BE'!$AK$62</f>
        <v>0</v>
      </c>
      <c r="AL7" s="13">
        <f ca="1">SUM($AH$7:$AK$7)</f>
        <v>-4.163420224919933E-2</v>
      </c>
      <c r="AM7" s="13">
        <f ca="1">SUMIF($L$4:$AL$4,"SUBTOTAL",$L$7:$AL$7)</f>
        <v>-0.95623125987786128</v>
      </c>
      <c r="AO7" s="26">
        <f ca="1">+'TUSD BE'!$T$7+'TUSD BE'!$AB$7+'TUSD BE'!$AD$7+'TUSD BE'!$AL$7</f>
        <v>93.584374598377067</v>
      </c>
      <c r="AP7" s="26">
        <f ca="1">+'TUSD BE'!$T$7+'TUSD BE'!$AB$7+'TUSD BE'!$AD$7+'TUSD BE'!$AL$7</f>
        <v>93.584374598377067</v>
      </c>
    </row>
    <row r="8" spans="1:42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>
        <f>'TUSD BE'!$L$8*'TUSD BE'!$L$62</f>
        <v>0</v>
      </c>
      <c r="M8" s="13">
        <f>'TUSD BE'!$M$8*'TUSD BE'!$M$62</f>
        <v>-4.7667379179065564E-3</v>
      </c>
      <c r="N8" s="13">
        <f ca="1">'TUSD BE'!$N$8*'TUSD BE'!$N$62</f>
        <v>0</v>
      </c>
      <c r="O8" s="13">
        <f>'TUSD BE'!$O$8*'TUSD BE'!$O$62</f>
        <v>0</v>
      </c>
      <c r="P8" s="13">
        <f>'TUSD BE'!$P$8*'TUSD BE'!$P$62</f>
        <v>0</v>
      </c>
      <c r="Q8" s="13">
        <f>'TUSD BE'!$Q$8*'TUSD BE'!$Q$62</f>
        <v>0</v>
      </c>
      <c r="R8" s="13">
        <f>'TUSD BE'!$R$8*'TUSD BE'!$R$62</f>
        <v>0</v>
      </c>
      <c r="S8" s="13">
        <f>'TUSD BE'!$R$8*'TUSD BE'!$S$62</f>
        <v>0</v>
      </c>
      <c r="T8" s="13">
        <f ca="1">SUM($L$8:$S$8)</f>
        <v>-4.7667379179065564E-3</v>
      </c>
      <c r="U8" s="13">
        <f>'TUSD BE'!$U$8*'TUSD BE'!$U$62</f>
        <v>0</v>
      </c>
      <c r="V8" s="13">
        <f>'TUSD BE'!$V$8*'TUSD BE'!$V$62</f>
        <v>0</v>
      </c>
      <c r="W8" s="13">
        <f>'TUSD BE'!$W$8*'TUSD BE'!$W$62</f>
        <v>0</v>
      </c>
      <c r="X8" s="13">
        <f>'TUSD BE'!$X$8*'TUSD BE'!$X$62</f>
        <v>0</v>
      </c>
      <c r="Y8" s="13">
        <f>'TUSD BE'!$Y$8*'TUSD BE'!$Y$62</f>
        <v>0</v>
      </c>
      <c r="Z8" s="13">
        <f>'TUSD BE'!$Z$8*'TUSD BE'!$Z$62</f>
        <v>0</v>
      </c>
      <c r="AA8" s="13">
        <f>'TUSD BE'!$AA$8*'TUSD BE'!$AA$62</f>
        <v>0</v>
      </c>
      <c r="AB8" s="13">
        <f>SUM($U$8:$AA$8)</f>
        <v>0</v>
      </c>
      <c r="AC8" s="13">
        <f>'TUSD BE'!$AC$8*'TUSD BE'!$AC$62</f>
        <v>0</v>
      </c>
      <c r="AD8" s="13">
        <f>SUM($AC$8:$AC$8)</f>
        <v>0</v>
      </c>
      <c r="AE8" s="13">
        <f ca="1">$AO$8*$AO$59</f>
        <v>0</v>
      </c>
      <c r="AF8" s="13">
        <f ca="1">$AP$8*$AP$59</f>
        <v>0</v>
      </c>
      <c r="AG8" s="13">
        <f ca="1">SUM($AE$8:$AF$8)</f>
        <v>0</v>
      </c>
      <c r="AH8" s="13">
        <f>'TUSD BE'!$AH$8*'TUSD BE'!$AH$62</f>
        <v>-4.163420224919933E-2</v>
      </c>
      <c r="AI8" s="13">
        <f>'TUSD BE'!$AI$8*'TUSD BE'!$AI$62</f>
        <v>0</v>
      </c>
      <c r="AJ8" s="13">
        <f ca="1">'TUSD BE'!$AJ$8*'TUSD BE'!$AJ$62</f>
        <v>0</v>
      </c>
      <c r="AK8" s="13">
        <f ca="1">'TUSD BE'!$AK$8*'TUSD BE'!$AK$62</f>
        <v>0</v>
      </c>
      <c r="AL8" s="13">
        <f ca="1">SUM($AH$8:$AK$8)</f>
        <v>-4.163420224919933E-2</v>
      </c>
      <c r="AM8" s="13">
        <f ca="1">SUMIF($L$4:$AL$4,"SUBTOTAL",$L$8:$AL$8)</f>
        <v>-4.6400940167105886E-2</v>
      </c>
      <c r="AO8" s="26">
        <f ca="1">+'TUSD BE'!$T$8+'TUSD BE'!$AB$8+'TUSD BE'!$AD$8+'TUSD BE'!$AL$8</f>
        <v>2.8903983633110548</v>
      </c>
      <c r="AP8" s="26">
        <f ca="1">+'TUSD BE'!$T$8+'TUSD BE'!$AB$8+'TUSD BE'!$AD$8+'TUSD BE'!$AL$8</f>
        <v>2.8903983633110548</v>
      </c>
    </row>
    <row r="9" spans="1:42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>
        <f>'TUSD BE'!$L$9*'TUSD BE'!$L$62</f>
        <v>0</v>
      </c>
      <c r="M9" s="13">
        <f>'TUSD BE'!$M$9*'TUSD BE'!$M$62</f>
        <v>0</v>
      </c>
      <c r="N9" s="13">
        <f ca="1">'TUSD BE'!$N$9*'TUSD BE'!$N$62</f>
        <v>0</v>
      </c>
      <c r="O9" s="13">
        <f>'TUSD BE'!$O$9*'TUSD BE'!$O$62</f>
        <v>0</v>
      </c>
      <c r="P9" s="13">
        <f>'TUSD BE'!$P$9*'TUSD BE'!$P$62</f>
        <v>0</v>
      </c>
      <c r="Q9" s="13">
        <f>'TUSD BE'!$Q$9*'TUSD BE'!$Q$62</f>
        <v>0</v>
      </c>
      <c r="R9" s="13">
        <f>'TUSD BE'!$R$9*'TUSD BE'!$R$62</f>
        <v>0</v>
      </c>
      <c r="S9" s="13">
        <f>'TUSD BE'!$R$9*'TUSD BE'!$S$62</f>
        <v>0</v>
      </c>
      <c r="T9" s="13">
        <f ca="1">SUM($L$9:$S$9)</f>
        <v>0</v>
      </c>
      <c r="U9" s="13">
        <f>'TUSD BE'!$U$9*'TUSD BE'!$U$62</f>
        <v>0.66778569829921186</v>
      </c>
      <c r="V9" s="13">
        <f>'TUSD BE'!$V$9*'TUSD BE'!$V$62</f>
        <v>9.4223588730162955E-2</v>
      </c>
      <c r="W9" s="13">
        <f>'TUSD BE'!$W$9*'TUSD BE'!$W$62</f>
        <v>0</v>
      </c>
      <c r="X9" s="13">
        <f>'TUSD BE'!$X$9*'TUSD BE'!$X$62</f>
        <v>0</v>
      </c>
      <c r="Y9" s="13">
        <f>'TUSD BE'!$Y$9*'TUSD BE'!$Y$62</f>
        <v>0</v>
      </c>
      <c r="Z9" s="13">
        <f>'TUSD BE'!$Z$9*'TUSD BE'!$Z$62</f>
        <v>0</v>
      </c>
      <c r="AA9" s="13">
        <f>'TUSD BE'!$AA$9*'TUSD BE'!$AA$62</f>
        <v>0</v>
      </c>
      <c r="AB9" s="13">
        <f>SUM($U$9:$AA$9)</f>
        <v>0.76200928702937487</v>
      </c>
      <c r="AC9" s="13">
        <f>'TUSD BE'!$AC$9*'TUSD BE'!$AC$62</f>
        <v>-1.2387375492347374</v>
      </c>
      <c r="AD9" s="13">
        <f>SUM($AC$9:$AC$9)</f>
        <v>-1.2387375492347374</v>
      </c>
      <c r="AE9" s="13">
        <f ca="1">$AO$9*$AO$59</f>
        <v>0</v>
      </c>
      <c r="AF9" s="13">
        <f ca="1">$AP$9*$AP$59</f>
        <v>0</v>
      </c>
      <c r="AG9" s="13">
        <f ca="1">SUM($AE$9:$AF$9)</f>
        <v>0</v>
      </c>
      <c r="AH9" s="13">
        <f>'TUSD BE'!$AH$9*'TUSD BE'!$AH$62</f>
        <v>0</v>
      </c>
      <c r="AI9" s="13">
        <f>'TUSD BE'!$AI$9*'TUSD BE'!$AI$62</f>
        <v>0</v>
      </c>
      <c r="AJ9" s="13">
        <f ca="1">'TUSD BE'!$AJ$9*'TUSD BE'!$AJ$62</f>
        <v>0</v>
      </c>
      <c r="AK9" s="13">
        <f ca="1">'TUSD BE'!$AK$9*'TUSD BE'!$AK$62</f>
        <v>0</v>
      </c>
      <c r="AL9" s="13">
        <f ca="1">SUM($AH$9:$AK$9)</f>
        <v>0</v>
      </c>
      <c r="AM9" s="13">
        <f ca="1">SUMIF($L$4:$AL$4,"SUBTOTAL",$L$9:$AL$9)</f>
        <v>-0.47672826220536257</v>
      </c>
      <c r="AO9" s="26">
        <f ca="1">+'TUSD BE'!$T$9+'TUSD BE'!$AB$9+'TUSD BE'!$AD$9+'TUSD BE'!$AL$9</f>
        <v>47.584724846522903</v>
      </c>
      <c r="AP9" s="26">
        <f ca="1">+'TUSD BE'!$T$9+'TUSD BE'!$AB$9+'TUSD BE'!$AD$9+'TUSD BE'!$AL$9</f>
        <v>47.584724846522903</v>
      </c>
    </row>
    <row r="10" spans="1:42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>
        <f>'TUSD BE'!$L$10*'TUSD BE'!$L$62</f>
        <v>0</v>
      </c>
      <c r="M10" s="13">
        <f>'TUSD BE'!$M$10*'TUSD BE'!$M$62</f>
        <v>0</v>
      </c>
      <c r="N10" s="13">
        <f ca="1">'TUSD BE'!$N$10*'TUSD BE'!$N$62</f>
        <v>0</v>
      </c>
      <c r="O10" s="13">
        <f>'TUSD BE'!$O$10*'TUSD BE'!$O$62</f>
        <v>0</v>
      </c>
      <c r="P10" s="13">
        <f>'TUSD BE'!$P$10*'TUSD BE'!$P$62</f>
        <v>0</v>
      </c>
      <c r="Q10" s="13">
        <f>'TUSD BE'!$Q$10*'TUSD BE'!$Q$62</f>
        <v>0</v>
      </c>
      <c r="R10" s="13">
        <f>'TUSD BE'!$R$10*'TUSD BE'!$R$62</f>
        <v>0</v>
      </c>
      <c r="S10" s="13">
        <f>'TUSD BE'!$R$10*'TUSD BE'!$S$62</f>
        <v>0</v>
      </c>
      <c r="T10" s="13">
        <f ca="1">SUM($L$10:$S$10)</f>
        <v>0</v>
      </c>
      <c r="U10" s="13">
        <f>'TUSD BE'!$U$10*'TUSD BE'!$U$62</f>
        <v>0.61938384436419724</v>
      </c>
      <c r="V10" s="13">
        <f>'TUSD BE'!$V$10*'TUSD BE'!$V$62</f>
        <v>8.672803460121184E-2</v>
      </c>
      <c r="W10" s="13">
        <f>'TUSD BE'!$W$10*'TUSD BE'!$W$62</f>
        <v>0</v>
      </c>
      <c r="X10" s="13">
        <f>'TUSD BE'!$X$10*'TUSD BE'!$X$62</f>
        <v>0</v>
      </c>
      <c r="Y10" s="13">
        <f>'TUSD BE'!$Y$10*'TUSD BE'!$Y$62</f>
        <v>0</v>
      </c>
      <c r="Z10" s="13">
        <f>'TUSD BE'!$Z$10*'TUSD BE'!$Z$62</f>
        <v>0</v>
      </c>
      <c r="AA10" s="13">
        <f>'TUSD BE'!$AA$10*'TUSD BE'!$AA$62</f>
        <v>0</v>
      </c>
      <c r="AB10" s="13">
        <f>SUM($U$10:$AA$10)</f>
        <v>0.70611187896540906</v>
      </c>
      <c r="AC10" s="13">
        <f>'TUSD BE'!$AC$10*'TUSD BE'!$AC$62</f>
        <v>-0.34614388323821649</v>
      </c>
      <c r="AD10" s="13">
        <f>SUM($AC$10:$AC$10)</f>
        <v>-0.34614388323821649</v>
      </c>
      <c r="AE10" s="13">
        <f ca="1">$AO$10*$AO$59</f>
        <v>0</v>
      </c>
      <c r="AF10" s="13">
        <f ca="1">$AP$10*$AP$59</f>
        <v>0</v>
      </c>
      <c r="AG10" s="13">
        <f ca="1">SUM($AE$10:$AF$10)</f>
        <v>0</v>
      </c>
      <c r="AH10" s="13">
        <f>'TUSD BE'!$AH$10*'TUSD BE'!$AH$62</f>
        <v>0</v>
      </c>
      <c r="AI10" s="13">
        <f>'TUSD BE'!$AI$10*'TUSD BE'!$AI$62</f>
        <v>0</v>
      </c>
      <c r="AJ10" s="13">
        <f ca="1">'TUSD BE'!$AJ$10*'TUSD BE'!$AJ$62</f>
        <v>0</v>
      </c>
      <c r="AK10" s="13">
        <f ca="1">'TUSD BE'!$AK$10*'TUSD BE'!$AK$62</f>
        <v>0</v>
      </c>
      <c r="AL10" s="13">
        <f ca="1">SUM($AH$10:$AK$10)</f>
        <v>0</v>
      </c>
      <c r="AM10" s="13">
        <f ca="1">SUMIF($L$4:$AL$4,"SUBTOTAL",$L$10:$AL$10)</f>
        <v>0.35996799572719257</v>
      </c>
      <c r="AO10" s="26">
        <f ca="1">+'TUSD BE'!$T$10+'TUSD BE'!$AB$10+'TUSD BE'!$AD$10+'TUSD BE'!$AL$10</f>
        <v>18.012345533517156</v>
      </c>
      <c r="AP10" s="26">
        <f ca="1">+'TUSD BE'!$T$10+'TUSD BE'!$AB$10+'TUSD BE'!$AD$10+'TUSD BE'!$AL$10</f>
        <v>18.012345533517156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>
        <f>'TUSD BE'!$L$11*'TUSD BE'!$L$62</f>
        <v>-0.36985803786991345</v>
      </c>
      <c r="M11" s="13">
        <f>'TUSD BE'!$M$11*'TUSD BE'!$M$62</f>
        <v>-8.9226006111574607E-3</v>
      </c>
      <c r="N11" s="13">
        <f ca="1">'TUSD BE'!$N$11*'TUSD BE'!$N$62</f>
        <v>0</v>
      </c>
      <c r="O11" s="13">
        <f>'TUSD BE'!$O$11*'TUSD BE'!$O$62</f>
        <v>0</v>
      </c>
      <c r="P11" s="13">
        <f>'TUSD BE'!$P$11*'TUSD BE'!$P$62</f>
        <v>0</v>
      </c>
      <c r="Q11" s="13">
        <f>'TUSD BE'!$Q$11*'TUSD BE'!$Q$62</f>
        <v>-0.70757184865367584</v>
      </c>
      <c r="R11" s="13">
        <f>'TUSD BE'!$R$11*'TUSD BE'!$R$62</f>
        <v>-0.1145844510862013</v>
      </c>
      <c r="S11" s="13">
        <f>'TUSD BE'!$R$11*'TUSD BE'!$S$62</f>
        <v>0</v>
      </c>
      <c r="T11" s="13">
        <f ca="1">SUM($L$11:$S$11)</f>
        <v>-1.200936938220948</v>
      </c>
      <c r="U11" s="13">
        <f>'TUSD BE'!$U$11*'TUSD BE'!$U$62</f>
        <v>0</v>
      </c>
      <c r="V11" s="13">
        <f>'TUSD BE'!$V$11*'TUSD BE'!$V$62</f>
        <v>0</v>
      </c>
      <c r="W11" s="13">
        <f>'TUSD BE'!$W$11*'TUSD BE'!$W$62</f>
        <v>0</v>
      </c>
      <c r="X11" s="13">
        <f>'TUSD BE'!$X$11*'TUSD BE'!$X$62</f>
        <v>0</v>
      </c>
      <c r="Y11" s="13">
        <f>'TUSD BE'!$Y$11*'TUSD BE'!$Y$62</f>
        <v>0</v>
      </c>
      <c r="Z11" s="13">
        <f>'TUSD BE'!$Z$11*'TUSD BE'!$Z$62</f>
        <v>0</v>
      </c>
      <c r="AA11" s="13">
        <f>'TUSD BE'!$AA$11*'TUSD BE'!$AA$62</f>
        <v>0</v>
      </c>
      <c r="AB11" s="13">
        <f>SUM($U$11:$AA$11)</f>
        <v>0</v>
      </c>
      <c r="AC11" s="13">
        <f>'TUSD BE'!$AC$11*'TUSD BE'!$AC$62</f>
        <v>0</v>
      </c>
      <c r="AD11" s="13">
        <f>SUM($AC$11:$AC$11)</f>
        <v>0</v>
      </c>
      <c r="AE11" s="13">
        <f ca="1">$AO$11*$AO$59</f>
        <v>0</v>
      </c>
      <c r="AF11" s="13">
        <f ca="1">$AP$11*$AP$59</f>
        <v>0</v>
      </c>
      <c r="AG11" s="13">
        <f ca="1">SUM($AE$11:$AF$11)</f>
        <v>0</v>
      </c>
      <c r="AH11" s="13">
        <f>'TUSD BE'!$AH$11*'TUSD BE'!$AH$62</f>
        <v>-7.3500347746396036E-2</v>
      </c>
      <c r="AI11" s="13">
        <f>'TUSD BE'!$AI$11*'TUSD BE'!$AI$62</f>
        <v>0</v>
      </c>
      <c r="AJ11" s="13">
        <f ca="1">'TUSD BE'!$AJ$11*'TUSD BE'!$AJ$62</f>
        <v>0</v>
      </c>
      <c r="AK11" s="13">
        <f ca="1">'TUSD BE'!$AK$11*'TUSD BE'!$AK$62</f>
        <v>0</v>
      </c>
      <c r="AL11" s="13">
        <f ca="1">SUM($AH$11:$AK$11)</f>
        <v>-7.3500347746396036E-2</v>
      </c>
      <c r="AM11" s="13">
        <f ca="1">SUMIF($L$4:$AL$4,"SUBTOTAL",$L$11:$AL$11)</f>
        <v>-1.2744372859673441</v>
      </c>
      <c r="AO11" s="26">
        <f ca="1">+'TUSD BE'!$T$11+'TUSD BE'!$AB$11+'TUSD BE'!$AD$11+'TUSD BE'!$AL$11</f>
        <v>122.91786714172467</v>
      </c>
      <c r="AP11" s="26">
        <f ca="1">+'TUSD BE'!$T$11+'TUSD BE'!$AB$11+'TUSD BE'!$AD$11+'TUSD BE'!$AL$11</f>
        <v>122.91786714172467</v>
      </c>
    </row>
    <row r="12" spans="1:42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>
        <f>'TUSD BE'!$L$12*'TUSD BE'!$L$62</f>
        <v>0</v>
      </c>
      <c r="M12" s="13">
        <f>'TUSD BE'!$M$12*'TUSD BE'!$M$62</f>
        <v>-8.9226006111574607E-3</v>
      </c>
      <c r="N12" s="13">
        <f ca="1">'TUSD BE'!$N$12*'TUSD BE'!$N$62</f>
        <v>0</v>
      </c>
      <c r="O12" s="13">
        <f>'TUSD BE'!$O$12*'TUSD BE'!$O$62</f>
        <v>0</v>
      </c>
      <c r="P12" s="13">
        <f>'TUSD BE'!$P$12*'TUSD BE'!$P$62</f>
        <v>0</v>
      </c>
      <c r="Q12" s="13">
        <f>'TUSD BE'!$Q$12*'TUSD BE'!$Q$62</f>
        <v>0</v>
      </c>
      <c r="R12" s="13">
        <f>'TUSD BE'!$R$12*'TUSD BE'!$R$62</f>
        <v>0</v>
      </c>
      <c r="S12" s="13">
        <f>'TUSD BE'!$R$12*'TUSD BE'!$S$62</f>
        <v>0</v>
      </c>
      <c r="T12" s="13">
        <f ca="1">SUM($L$12:$S$12)</f>
        <v>-8.9226006111574607E-3</v>
      </c>
      <c r="U12" s="13">
        <f>'TUSD BE'!$U$12*'TUSD BE'!$U$62</f>
        <v>0</v>
      </c>
      <c r="V12" s="13">
        <f>'TUSD BE'!$V$12*'TUSD BE'!$V$62</f>
        <v>0</v>
      </c>
      <c r="W12" s="13">
        <f>'TUSD BE'!$W$12*'TUSD BE'!$W$62</f>
        <v>0</v>
      </c>
      <c r="X12" s="13">
        <f>'TUSD BE'!$X$12*'TUSD BE'!$X$62</f>
        <v>0</v>
      </c>
      <c r="Y12" s="13">
        <f>'TUSD BE'!$Y$12*'TUSD BE'!$Y$62</f>
        <v>0</v>
      </c>
      <c r="Z12" s="13">
        <f>'TUSD BE'!$Z$12*'TUSD BE'!$Z$62</f>
        <v>0</v>
      </c>
      <c r="AA12" s="13">
        <f>'TUSD BE'!$AA$12*'TUSD BE'!$AA$62</f>
        <v>0</v>
      </c>
      <c r="AB12" s="13">
        <f>SUM($U$12:$AA$12)</f>
        <v>0</v>
      </c>
      <c r="AC12" s="13">
        <f>'TUSD BE'!$AC$12*'TUSD BE'!$AC$62</f>
        <v>0</v>
      </c>
      <c r="AD12" s="13">
        <f>SUM($AC$12:$AC$12)</f>
        <v>0</v>
      </c>
      <c r="AE12" s="13">
        <f ca="1">$AO$12*$AO$59</f>
        <v>0</v>
      </c>
      <c r="AF12" s="13">
        <f ca="1">$AP$12*$AP$59</f>
        <v>0</v>
      </c>
      <c r="AG12" s="13">
        <f ca="1">SUM($AE$12:$AF$12)</f>
        <v>0</v>
      </c>
      <c r="AH12" s="13">
        <f>'TUSD BE'!$AH$12*'TUSD BE'!$AH$62</f>
        <v>-7.3500347746396036E-2</v>
      </c>
      <c r="AI12" s="13">
        <f>'TUSD BE'!$AI$12*'TUSD BE'!$AI$62</f>
        <v>0</v>
      </c>
      <c r="AJ12" s="13">
        <f ca="1">'TUSD BE'!$AJ$12*'TUSD BE'!$AJ$62</f>
        <v>0</v>
      </c>
      <c r="AK12" s="13">
        <f ca="1">'TUSD BE'!$AK$12*'TUSD BE'!$AK$62</f>
        <v>0</v>
      </c>
      <c r="AL12" s="13">
        <f ca="1">SUM($AH$12:$AK$12)</f>
        <v>-7.3500347746396036E-2</v>
      </c>
      <c r="AM12" s="13">
        <f ca="1">SUMIF($L$4:$AL$4,"SUBTOTAL",$L$12:$AL$12)</f>
        <v>-8.2422948357553497E-2</v>
      </c>
      <c r="AO12" s="26">
        <f ca="1">+'TUSD BE'!$T$12+'TUSD BE'!$AB$12+'TUSD BE'!$AD$12+'TUSD BE'!$AL$12</f>
        <v>5.1275505896377158</v>
      </c>
      <c r="AP12" s="26">
        <f ca="1">+'TUSD BE'!$T$12+'TUSD BE'!$AB$12+'TUSD BE'!$AD$12+'TUSD BE'!$AL$12</f>
        <v>5.1275505896377158</v>
      </c>
    </row>
    <row r="13" spans="1:42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>
        <f>'TUSD BE'!$L$13*'TUSD BE'!$L$62</f>
        <v>0</v>
      </c>
      <c r="M13" s="13">
        <f>'TUSD BE'!$M$13*'TUSD BE'!$M$62</f>
        <v>-2.1840651834558562E-4</v>
      </c>
      <c r="N13" s="13">
        <f ca="1">'TUSD BE'!$N$13*'TUSD BE'!$N$62</f>
        <v>0</v>
      </c>
      <c r="O13" s="13">
        <f>'TUSD BE'!$O$13*'TUSD BE'!$O$62</f>
        <v>0</v>
      </c>
      <c r="P13" s="13">
        <f>'TUSD BE'!$P$13*'TUSD BE'!$P$62</f>
        <v>0</v>
      </c>
      <c r="Q13" s="13">
        <f>'TUSD BE'!$Q$13*'TUSD BE'!$Q$62</f>
        <v>0</v>
      </c>
      <c r="R13" s="13">
        <f>'TUSD BE'!$R$13*'TUSD BE'!$R$62</f>
        <v>0</v>
      </c>
      <c r="S13" s="13">
        <f>'TUSD BE'!$R$13*'TUSD BE'!$S$62</f>
        <v>0</v>
      </c>
      <c r="T13" s="13">
        <f ca="1">SUM($L$13:$S$13)</f>
        <v>-2.1840651834558562E-4</v>
      </c>
      <c r="U13" s="13">
        <f>'TUSD BE'!$U$13*'TUSD BE'!$U$62</f>
        <v>0</v>
      </c>
      <c r="V13" s="13">
        <f>'TUSD BE'!$V$13*'TUSD BE'!$V$62</f>
        <v>0</v>
      </c>
      <c r="W13" s="13">
        <f>'TUSD BE'!$W$13*'TUSD BE'!$W$62</f>
        <v>0</v>
      </c>
      <c r="X13" s="13">
        <f>'TUSD BE'!$X$13*'TUSD BE'!$X$62</f>
        <v>0</v>
      </c>
      <c r="Y13" s="13">
        <f>'TUSD BE'!$Y$13*'TUSD BE'!$Y$62</f>
        <v>0</v>
      </c>
      <c r="Z13" s="13">
        <f>'TUSD BE'!$Z$13*'TUSD BE'!$Z$62</f>
        <v>0</v>
      </c>
      <c r="AA13" s="13">
        <f>'TUSD BE'!$AA$13*'TUSD BE'!$AA$62</f>
        <v>0</v>
      </c>
      <c r="AB13" s="13">
        <f>SUM($U$13:$AA$13)</f>
        <v>0</v>
      </c>
      <c r="AC13" s="13">
        <f>'TUSD BE'!$AC$13*'TUSD BE'!$AC$62</f>
        <v>-0.15659691457803179</v>
      </c>
      <c r="AD13" s="13">
        <f>SUM($AC$13:$AC$13)</f>
        <v>-0.15659691457803179</v>
      </c>
      <c r="AE13" s="13">
        <f ca="1">$AO$13*$AO$59</f>
        <v>0</v>
      </c>
      <c r="AF13" s="13">
        <f ca="1">$AP$13*$AP$59</f>
        <v>0</v>
      </c>
      <c r="AG13" s="13">
        <f ca="1">SUM($AE$13:$AF$13)</f>
        <v>0</v>
      </c>
      <c r="AH13" s="13">
        <f>'TUSD BE'!$AH$13*'TUSD BE'!$AH$62</f>
        <v>0</v>
      </c>
      <c r="AI13" s="13">
        <f>'TUSD BE'!$AI$13*'TUSD BE'!$AI$62</f>
        <v>0</v>
      </c>
      <c r="AJ13" s="13">
        <f ca="1">'TUSD BE'!$AJ$13*'TUSD BE'!$AJ$62</f>
        <v>0</v>
      </c>
      <c r="AK13" s="13">
        <f ca="1">'TUSD BE'!$AK$13*'TUSD BE'!$AK$62</f>
        <v>0</v>
      </c>
      <c r="AL13" s="13">
        <f ca="1">SUM($AH$13:$AK$13)</f>
        <v>0</v>
      </c>
      <c r="AM13" s="13">
        <f ca="1">SUMIF($L$4:$AL$4,"SUBTOTAL",$L$13:$AL$13)</f>
        <v>-0.15681532109637739</v>
      </c>
      <c r="AO13" s="26">
        <f ca="1">+'TUSD BE'!$T$13+'TUSD BE'!$AB$13+'TUSD BE'!$AD$13+'TUSD BE'!$AL$13</f>
        <v>5.1051312422650028</v>
      </c>
      <c r="AP13" s="26">
        <f ca="1">+'TUSD BE'!$T$13+'TUSD BE'!$AB$13+'TUSD BE'!$AD$13+'TUSD BE'!$AL$13</f>
        <v>5.1051312422650028</v>
      </c>
    </row>
    <row r="14" spans="1:42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>
        <f>'TUSD BE'!$L$14*'TUSD BE'!$L$62</f>
        <v>0</v>
      </c>
      <c r="M14" s="13">
        <f>'TUSD BE'!$M$14*'TUSD BE'!$M$62</f>
        <v>0</v>
      </c>
      <c r="N14" s="13">
        <f ca="1">'TUSD BE'!$N$14*'TUSD BE'!$N$62</f>
        <v>0</v>
      </c>
      <c r="O14" s="13">
        <f>'TUSD BE'!$O$14*'TUSD BE'!$O$62</f>
        <v>0</v>
      </c>
      <c r="P14" s="13">
        <f>'TUSD BE'!$P$14*'TUSD BE'!$P$62</f>
        <v>0</v>
      </c>
      <c r="Q14" s="13">
        <f>'TUSD BE'!$Q$14*'TUSD BE'!$Q$62</f>
        <v>0</v>
      </c>
      <c r="R14" s="13">
        <f>'TUSD BE'!$R$14*'TUSD BE'!$R$62</f>
        <v>0</v>
      </c>
      <c r="S14" s="13">
        <f>'TUSD BE'!$R$14*'TUSD BE'!$S$62</f>
        <v>0</v>
      </c>
      <c r="T14" s="13">
        <f ca="1">SUM($L$14:$S$14)</f>
        <v>0</v>
      </c>
      <c r="U14" s="13">
        <f>'TUSD BE'!$U$14*'TUSD BE'!$U$62</f>
        <v>0.61938384436419724</v>
      </c>
      <c r="V14" s="13">
        <f>'TUSD BE'!$V$14*'TUSD BE'!$V$62</f>
        <v>8.672803460121184E-2</v>
      </c>
      <c r="W14" s="13">
        <f>'TUSD BE'!$W$14*'TUSD BE'!$W$62</f>
        <v>0</v>
      </c>
      <c r="X14" s="13">
        <f>'TUSD BE'!$X$14*'TUSD BE'!$X$62</f>
        <v>0</v>
      </c>
      <c r="Y14" s="13">
        <f>'TUSD BE'!$Y$14*'TUSD BE'!$Y$62</f>
        <v>0</v>
      </c>
      <c r="Z14" s="13">
        <f>'TUSD BE'!$Z$14*'TUSD BE'!$Z$62</f>
        <v>0</v>
      </c>
      <c r="AA14" s="13">
        <f>'TUSD BE'!$AA$14*'TUSD BE'!$AA$62</f>
        <v>0</v>
      </c>
      <c r="AB14" s="13">
        <f>SUM($U$14:$AA$14)</f>
        <v>0.70611187896540906</v>
      </c>
      <c r="AC14" s="13">
        <f>'TUSD BE'!$AC$14*'TUSD BE'!$AC$62</f>
        <v>-0.34614388323821649</v>
      </c>
      <c r="AD14" s="13">
        <f>SUM($AC$14:$AC$14)</f>
        <v>-0.34614388323821649</v>
      </c>
      <c r="AE14" s="13">
        <f ca="1">$AO$14*$AO$59</f>
        <v>0</v>
      </c>
      <c r="AF14" s="13">
        <f ca="1">$AP$14*$AP$59</f>
        <v>0</v>
      </c>
      <c r="AG14" s="13">
        <f ca="1">SUM($AE$14:$AF$14)</f>
        <v>0</v>
      </c>
      <c r="AH14" s="13">
        <f>'TUSD BE'!$AH$14*'TUSD BE'!$AH$62</f>
        <v>0</v>
      </c>
      <c r="AI14" s="13">
        <f>'TUSD BE'!$AI$14*'TUSD BE'!$AI$62</f>
        <v>0</v>
      </c>
      <c r="AJ14" s="13">
        <f ca="1">'TUSD BE'!$AJ$14*'TUSD BE'!$AJ$62</f>
        <v>0</v>
      </c>
      <c r="AK14" s="13">
        <f ca="1">'TUSD BE'!$AK$14*'TUSD BE'!$AK$62</f>
        <v>0</v>
      </c>
      <c r="AL14" s="13">
        <f ca="1">SUM($AH$14:$AK$14)</f>
        <v>0</v>
      </c>
      <c r="AM14" s="13">
        <f ca="1">SUMIF($L$4:$AL$4,"SUBTOTAL",$L$14:$AL$14)</f>
        <v>0.35996799572719257</v>
      </c>
      <c r="AO14" s="26">
        <f ca="1">+'TUSD BE'!$T$14+'TUSD BE'!$AB$14+'TUSD BE'!$AD$14+'TUSD BE'!$AL$14</f>
        <v>18.012345533517156</v>
      </c>
      <c r="AP14" s="26">
        <f ca="1">+'TUSD BE'!$T$14+'TUSD BE'!$AB$14+'TUSD BE'!$AD$14+'TUSD BE'!$AL$14</f>
        <v>18.012345533517156</v>
      </c>
    </row>
    <row r="15" spans="1:42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>
        <f>'TUSD BE'!$L$15*'TUSD BE'!$L$62</f>
        <v>-0.36985803786991345</v>
      </c>
      <c r="M15" s="13">
        <f>'TUSD BE'!$M$15*'TUSD BE'!$M$62</f>
        <v>-8.9226006111574607E-3</v>
      </c>
      <c r="N15" s="13">
        <f ca="1">'TUSD BE'!$N$15*'TUSD BE'!$N$62</f>
        <v>0</v>
      </c>
      <c r="O15" s="13">
        <f>'TUSD BE'!$O$15*'TUSD BE'!$O$62</f>
        <v>0</v>
      </c>
      <c r="P15" s="13">
        <f>'TUSD BE'!$P$15*'TUSD BE'!$P$62</f>
        <v>0</v>
      </c>
      <c r="Q15" s="13">
        <f>'TUSD BE'!$Q$15*'TUSD BE'!$Q$62</f>
        <v>-0.70757184865367584</v>
      </c>
      <c r="R15" s="13">
        <f>'TUSD BE'!$R$15*'TUSD BE'!$R$62</f>
        <v>-0.1145844510862013</v>
      </c>
      <c r="S15" s="13">
        <f>'TUSD BE'!$R$15*'TUSD BE'!$S$62</f>
        <v>0</v>
      </c>
      <c r="T15" s="13">
        <f ca="1">SUM($L$15:$S$15)</f>
        <v>-1.200936938220948</v>
      </c>
      <c r="U15" s="13">
        <f>'TUSD BE'!$U$15*'TUSD BE'!$U$62</f>
        <v>16.060127583102176</v>
      </c>
      <c r="V15" s="13">
        <f>'TUSD BE'!$V$15*'TUSD BE'!$V$62</f>
        <v>2.2663958972872975</v>
      </c>
      <c r="W15" s="13">
        <f>'TUSD BE'!$W$15*'TUSD BE'!$W$62</f>
        <v>0</v>
      </c>
      <c r="X15" s="13">
        <f>'TUSD BE'!$X$15*'TUSD BE'!$X$62</f>
        <v>0</v>
      </c>
      <c r="Y15" s="13">
        <f>'TUSD BE'!$Y$15*'TUSD BE'!$Y$62</f>
        <v>0</v>
      </c>
      <c r="Z15" s="13">
        <f>'TUSD BE'!$Z$15*'TUSD BE'!$Z$62</f>
        <v>0</v>
      </c>
      <c r="AA15" s="13">
        <f>'TUSD BE'!$AA$15*'TUSD BE'!$AA$62</f>
        <v>0</v>
      </c>
      <c r="AB15" s="13">
        <f>SUM($U$15:$AA$15)</f>
        <v>18.326523480389472</v>
      </c>
      <c r="AC15" s="13">
        <f>'TUSD BE'!$AC$15*'TUSD BE'!$AC$62</f>
        <v>-29.791678348760151</v>
      </c>
      <c r="AD15" s="13">
        <f>SUM($AC$15:$AC$15)</f>
        <v>-29.791678348760151</v>
      </c>
      <c r="AE15" s="13">
        <f ca="1">$AO$15*$AO$59</f>
        <v>0</v>
      </c>
      <c r="AF15" s="13">
        <f ca="1">$AP$15*$AP$59</f>
        <v>0</v>
      </c>
      <c r="AG15" s="13">
        <f ca="1">SUM($AE$15:$AF$15)</f>
        <v>0</v>
      </c>
      <c r="AH15" s="13">
        <f>'TUSD BE'!$AH$15*'TUSD BE'!$AH$62</f>
        <v>-7.3500347746396036E-2</v>
      </c>
      <c r="AI15" s="13">
        <f>'TUSD BE'!$AI$15*'TUSD BE'!$AI$62</f>
        <v>0</v>
      </c>
      <c r="AJ15" s="13">
        <f ca="1">'TUSD BE'!$AJ$15*'TUSD BE'!$AJ$62</f>
        <v>0</v>
      </c>
      <c r="AK15" s="13">
        <f ca="1">'TUSD BE'!$AK$15*'TUSD BE'!$AK$62</f>
        <v>0</v>
      </c>
      <c r="AL15" s="13">
        <f ca="1">SUM($AH$15:$AK$15)</f>
        <v>-7.3500347746396036E-2</v>
      </c>
      <c r="AM15" s="13">
        <f ca="1">SUMIF($L$4:$AL$4,"SUBTOTAL",$L$15:$AL$15)</f>
        <v>-12.739592154338023</v>
      </c>
      <c r="AO15" s="26">
        <f ca="1">+'TUSD BE'!$T$15+'TUSD BE'!$AB$15+'TUSD BE'!$AD$15+'TUSD BE'!$AL$15</f>
        <v>1267.333723947542</v>
      </c>
      <c r="AP15" s="26">
        <f ca="1">+'TUSD BE'!$T$15+'TUSD BE'!$AB$15+'TUSD BE'!$AD$15+'TUSD BE'!$AL$15</f>
        <v>1267.333723947542</v>
      </c>
    </row>
    <row r="16" spans="1:42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>
        <f>'TUSD BE'!$L$16*'TUSD BE'!$L$62</f>
        <v>-0.36985803786991345</v>
      </c>
      <c r="M16" s="13">
        <f>'TUSD BE'!$M$16*'TUSD BE'!$M$62</f>
        <v>-8.9226006111574607E-3</v>
      </c>
      <c r="N16" s="13">
        <f ca="1">'TUSD BE'!$N$16*'TUSD BE'!$N$62</f>
        <v>0</v>
      </c>
      <c r="O16" s="13">
        <f>'TUSD BE'!$O$16*'TUSD BE'!$O$62</f>
        <v>0</v>
      </c>
      <c r="P16" s="13">
        <f>'TUSD BE'!$P$16*'TUSD BE'!$P$62</f>
        <v>0</v>
      </c>
      <c r="Q16" s="13">
        <f>'TUSD BE'!$Q$16*'TUSD BE'!$Q$62</f>
        <v>-0.70757184865367584</v>
      </c>
      <c r="R16" s="13">
        <f>'TUSD BE'!$R$16*'TUSD BE'!$R$62</f>
        <v>-0.1145844510862013</v>
      </c>
      <c r="S16" s="13">
        <f>'TUSD BE'!$R$16*'TUSD BE'!$S$62</f>
        <v>0</v>
      </c>
      <c r="T16" s="13">
        <f ca="1">SUM($L$16:$S$16)</f>
        <v>-1.200936938220948</v>
      </c>
      <c r="U16" s="13">
        <f>'TUSD BE'!$U$16*'TUSD BE'!$U$62</f>
        <v>0</v>
      </c>
      <c r="V16" s="13">
        <f>'TUSD BE'!$V$16*'TUSD BE'!$V$62</f>
        <v>0</v>
      </c>
      <c r="W16" s="13">
        <f>'TUSD BE'!$W$16*'TUSD BE'!$W$62</f>
        <v>0</v>
      </c>
      <c r="X16" s="13">
        <f>'TUSD BE'!$X$16*'TUSD BE'!$X$62</f>
        <v>0</v>
      </c>
      <c r="Y16" s="13">
        <f>'TUSD BE'!$Y$16*'TUSD BE'!$Y$62</f>
        <v>0</v>
      </c>
      <c r="Z16" s="13">
        <f>'TUSD BE'!$Z$16*'TUSD BE'!$Z$62</f>
        <v>0</v>
      </c>
      <c r="AA16" s="13">
        <f>'TUSD BE'!$AA$16*'TUSD BE'!$AA$62</f>
        <v>0</v>
      </c>
      <c r="AB16" s="13">
        <f>SUM($U$16:$AA$16)</f>
        <v>0</v>
      </c>
      <c r="AC16" s="13">
        <f>'TUSD BE'!$AC$16*'TUSD BE'!$AC$62</f>
        <v>0</v>
      </c>
      <c r="AD16" s="13">
        <f>SUM($AC$16:$AC$16)</f>
        <v>0</v>
      </c>
      <c r="AE16" s="13">
        <f ca="1">$AO$16*$AO$59</f>
        <v>0</v>
      </c>
      <c r="AF16" s="13">
        <f ca="1">$AP$16*$AP$59</f>
        <v>0</v>
      </c>
      <c r="AG16" s="13">
        <f ca="1">SUM($AE$16:$AF$16)</f>
        <v>0</v>
      </c>
      <c r="AH16" s="13">
        <f>'TUSD BE'!$AH$16*'TUSD BE'!$AH$62</f>
        <v>-7.3500347746396036E-2</v>
      </c>
      <c r="AI16" s="13">
        <f>'TUSD BE'!$AI$16*'TUSD BE'!$AI$62</f>
        <v>0</v>
      </c>
      <c r="AJ16" s="13">
        <f ca="1">'TUSD BE'!$AJ$16*'TUSD BE'!$AJ$62</f>
        <v>0</v>
      </c>
      <c r="AK16" s="13">
        <f ca="1">'TUSD BE'!$AK$16*'TUSD BE'!$AK$62</f>
        <v>0</v>
      </c>
      <c r="AL16" s="13">
        <f ca="1">SUM($AH$16:$AK$16)</f>
        <v>-7.3500347746396036E-2</v>
      </c>
      <c r="AM16" s="13">
        <f ca="1">SUMIF($L$4:$AL$4,"SUBTOTAL",$L$16:$AL$16)</f>
        <v>-1.2744372859673441</v>
      </c>
      <c r="AO16" s="26">
        <f ca="1">+'TUSD BE'!$T$16+'TUSD BE'!$AB$16+'TUSD BE'!$AD$16+'TUSD BE'!$AL$16</f>
        <v>122.91786714172467</v>
      </c>
      <c r="AP16" s="26">
        <f ca="1">+'TUSD BE'!$T$16+'TUSD BE'!$AB$16+'TUSD BE'!$AD$16+'TUSD BE'!$AL$16</f>
        <v>122.91786714172467</v>
      </c>
    </row>
    <row r="17" spans="1:42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>
        <f>'TUSD BE'!$L$17*'TUSD BE'!$L$62</f>
        <v>0</v>
      </c>
      <c r="M17" s="13">
        <f>'TUSD BE'!$M$17*'TUSD BE'!$M$62</f>
        <v>-8.9226006111574607E-3</v>
      </c>
      <c r="N17" s="13">
        <f ca="1">'TUSD BE'!$N$17*'TUSD BE'!$N$62</f>
        <v>0</v>
      </c>
      <c r="O17" s="13">
        <f>'TUSD BE'!$O$17*'TUSD BE'!$O$62</f>
        <v>0</v>
      </c>
      <c r="P17" s="13">
        <f>'TUSD BE'!$P$17*'TUSD BE'!$P$62</f>
        <v>0</v>
      </c>
      <c r="Q17" s="13">
        <f>'TUSD BE'!$Q$17*'TUSD BE'!$Q$62</f>
        <v>0</v>
      </c>
      <c r="R17" s="13">
        <f>'TUSD BE'!$R$17*'TUSD BE'!$R$62</f>
        <v>0</v>
      </c>
      <c r="S17" s="13">
        <f>'TUSD BE'!$R$17*'TUSD BE'!$S$62</f>
        <v>0</v>
      </c>
      <c r="T17" s="13">
        <f ca="1">SUM($L$17:$S$17)</f>
        <v>-8.9226006111574607E-3</v>
      </c>
      <c r="U17" s="13">
        <f>'TUSD BE'!$U$17*'TUSD BE'!$U$62</f>
        <v>16.060127583102176</v>
      </c>
      <c r="V17" s="13">
        <f>'TUSD BE'!$V$17*'TUSD BE'!$V$62</f>
        <v>2.2663958972872975</v>
      </c>
      <c r="W17" s="13">
        <f>'TUSD BE'!$W$17*'TUSD BE'!$W$62</f>
        <v>0</v>
      </c>
      <c r="X17" s="13">
        <f>'TUSD BE'!$X$17*'TUSD BE'!$X$62</f>
        <v>0</v>
      </c>
      <c r="Y17" s="13">
        <f>'TUSD BE'!$Y$17*'TUSD BE'!$Y$62</f>
        <v>0</v>
      </c>
      <c r="Z17" s="13">
        <f>'TUSD BE'!$Z$17*'TUSD BE'!$Z$62</f>
        <v>0</v>
      </c>
      <c r="AA17" s="13">
        <f>'TUSD BE'!$AA$17*'TUSD BE'!$AA$62</f>
        <v>0</v>
      </c>
      <c r="AB17" s="13">
        <f>SUM($U$17:$AA$17)</f>
        <v>18.326523480389472</v>
      </c>
      <c r="AC17" s="13">
        <f>'TUSD BE'!$AC$17*'TUSD BE'!$AC$62</f>
        <v>-29.791678348760151</v>
      </c>
      <c r="AD17" s="13">
        <f>SUM($AC$17:$AC$17)</f>
        <v>-29.791678348760151</v>
      </c>
      <c r="AE17" s="13">
        <f ca="1">$AO$17*$AO$59</f>
        <v>0</v>
      </c>
      <c r="AF17" s="13">
        <f ca="1">$AP$17*$AP$59</f>
        <v>0</v>
      </c>
      <c r="AG17" s="13">
        <f ca="1">SUM($AE$17:$AF$17)</f>
        <v>0</v>
      </c>
      <c r="AH17" s="13">
        <f>'TUSD BE'!$AH$17*'TUSD BE'!$AH$62</f>
        <v>-7.3500347746396036E-2</v>
      </c>
      <c r="AI17" s="13">
        <f>'TUSD BE'!$AI$17*'TUSD BE'!$AI$62</f>
        <v>0</v>
      </c>
      <c r="AJ17" s="13">
        <f ca="1">'TUSD BE'!$AJ$17*'TUSD BE'!$AJ$62</f>
        <v>0</v>
      </c>
      <c r="AK17" s="13">
        <f ca="1">'TUSD BE'!$AK$17*'TUSD BE'!$AK$62</f>
        <v>0</v>
      </c>
      <c r="AL17" s="13">
        <f ca="1">SUM($AH$17:$AK$17)</f>
        <v>-7.3500347746396036E-2</v>
      </c>
      <c r="AM17" s="13">
        <f ca="1">SUMIF($L$4:$AL$4,"SUBTOTAL",$L$17:$AL$17)</f>
        <v>-11.547577816728232</v>
      </c>
      <c r="AO17" s="26">
        <f ca="1">+'TUSD BE'!$T$17+'TUSD BE'!$AB$17+'TUSD BE'!$AD$17+'TUSD BE'!$AL$17</f>
        <v>1149.543407395455</v>
      </c>
      <c r="AP17" s="26">
        <f ca="1">+'TUSD BE'!$T$17+'TUSD BE'!$AB$17+'TUSD BE'!$AD$17+'TUSD BE'!$AL$17</f>
        <v>1149.543407395455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>
        <f>'TUSD BE'!$L$18*'TUSD BE'!$L$62</f>
        <v>0</v>
      </c>
      <c r="M18" s="13">
        <f>'TUSD BE'!$M$18*'TUSD BE'!$M$62</f>
        <v>-8.9226006111574607E-3</v>
      </c>
      <c r="N18" s="13">
        <f ca="1">'TUSD BE'!$N$18*'TUSD BE'!$N$62</f>
        <v>0</v>
      </c>
      <c r="O18" s="13">
        <f>'TUSD BE'!$O$18*'TUSD BE'!$O$62</f>
        <v>0</v>
      </c>
      <c r="P18" s="13">
        <f>'TUSD BE'!$P$18*'TUSD BE'!$P$62</f>
        <v>0</v>
      </c>
      <c r="Q18" s="13">
        <f>'TUSD BE'!$Q$18*'TUSD BE'!$Q$62</f>
        <v>0</v>
      </c>
      <c r="R18" s="13">
        <f>'TUSD BE'!$R$18*'TUSD BE'!$R$62</f>
        <v>0</v>
      </c>
      <c r="S18" s="13">
        <f>'TUSD BE'!$R$18*'TUSD BE'!$S$62</f>
        <v>0</v>
      </c>
      <c r="T18" s="13">
        <f ca="1">SUM($L$18:$S$18)</f>
        <v>-8.9226006111574607E-3</v>
      </c>
      <c r="U18" s="13">
        <f>'TUSD BE'!$U$18*'TUSD BE'!$U$62</f>
        <v>0</v>
      </c>
      <c r="V18" s="13">
        <f>'TUSD BE'!$V$18*'TUSD BE'!$V$62</f>
        <v>0</v>
      </c>
      <c r="W18" s="13">
        <f>'TUSD BE'!$W$18*'TUSD BE'!$W$62</f>
        <v>0</v>
      </c>
      <c r="X18" s="13">
        <f>'TUSD BE'!$X$18*'TUSD BE'!$X$62</f>
        <v>0</v>
      </c>
      <c r="Y18" s="13">
        <f>'TUSD BE'!$Y$18*'TUSD BE'!$Y$62</f>
        <v>0</v>
      </c>
      <c r="Z18" s="13">
        <f>'TUSD BE'!$Z$18*'TUSD BE'!$Z$62</f>
        <v>0</v>
      </c>
      <c r="AA18" s="13">
        <f>'TUSD BE'!$AA$18*'TUSD BE'!$AA$62</f>
        <v>0</v>
      </c>
      <c r="AB18" s="13">
        <f>SUM($U$18:$AA$18)</f>
        <v>0</v>
      </c>
      <c r="AC18" s="13">
        <f>'TUSD BE'!$AC$18*'TUSD BE'!$AC$62</f>
        <v>0</v>
      </c>
      <c r="AD18" s="13">
        <f>SUM($AC$18:$AC$18)</f>
        <v>0</v>
      </c>
      <c r="AE18" s="13">
        <f ca="1">$AO$18*$AO$59</f>
        <v>0</v>
      </c>
      <c r="AF18" s="13">
        <f ca="1">$AP$18*$AP$59</f>
        <v>0</v>
      </c>
      <c r="AG18" s="13">
        <f ca="1">SUM($AE$18:$AF$18)</f>
        <v>0</v>
      </c>
      <c r="AH18" s="13">
        <f>'TUSD BE'!$AH$18*'TUSD BE'!$AH$62</f>
        <v>-7.3500347746396036E-2</v>
      </c>
      <c r="AI18" s="13">
        <f>'TUSD BE'!$AI$18*'TUSD BE'!$AI$62</f>
        <v>0</v>
      </c>
      <c r="AJ18" s="13">
        <f ca="1">'TUSD BE'!$AJ$18*'TUSD BE'!$AJ$62</f>
        <v>0</v>
      </c>
      <c r="AK18" s="13">
        <f ca="1">'TUSD BE'!$AK$18*'TUSD BE'!$AK$62</f>
        <v>0</v>
      </c>
      <c r="AL18" s="13">
        <f ca="1">SUM($AH$18:$AK$18)</f>
        <v>-7.3500347746396036E-2</v>
      </c>
      <c r="AM18" s="13">
        <f ca="1">SUMIF($L$4:$AL$4,"SUBTOTAL",$L$18:$AL$18)</f>
        <v>-8.2422948357553497E-2</v>
      </c>
      <c r="AO18" s="26">
        <f ca="1">+'TUSD BE'!$T$18+'TUSD BE'!$AB$18+'TUSD BE'!$AD$18+'TUSD BE'!$AL$18</f>
        <v>5.1275505896377158</v>
      </c>
      <c r="AP18" s="26">
        <f ca="1">+'TUSD BE'!$T$18+'TUSD BE'!$AB$18+'TUSD BE'!$AD$18+'TUSD BE'!$AL$18</f>
        <v>5.1275505896377158</v>
      </c>
    </row>
    <row r="19" spans="1:42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>
        <f>'TUSD BE'!$L$19*'TUSD BE'!$L$62</f>
        <v>0</v>
      </c>
      <c r="M19" s="13">
        <f>'TUSD BE'!$M$19*'TUSD BE'!$M$62</f>
        <v>-2.2464670458403091E-4</v>
      </c>
      <c r="N19" s="13">
        <f ca="1">'TUSD BE'!$N$19*'TUSD BE'!$N$62</f>
        <v>0</v>
      </c>
      <c r="O19" s="13">
        <f>'TUSD BE'!$O$19*'TUSD BE'!$O$62</f>
        <v>0</v>
      </c>
      <c r="P19" s="13">
        <f>'TUSD BE'!$P$19*'TUSD BE'!$P$62</f>
        <v>0</v>
      </c>
      <c r="Q19" s="13">
        <f>'TUSD BE'!$Q$19*'TUSD BE'!$Q$62</f>
        <v>0</v>
      </c>
      <c r="R19" s="13">
        <f>'TUSD BE'!$R$19*'TUSD BE'!$R$62</f>
        <v>0</v>
      </c>
      <c r="S19" s="13">
        <f>'TUSD BE'!$R$19*'TUSD BE'!$S$62</f>
        <v>0</v>
      </c>
      <c r="T19" s="13">
        <f ca="1">SUM($L$19:$S$19)</f>
        <v>-2.2464670458403091E-4</v>
      </c>
      <c r="U19" s="13">
        <f>'TUSD BE'!$U$19*'TUSD BE'!$U$62</f>
        <v>0</v>
      </c>
      <c r="V19" s="13">
        <f>'TUSD BE'!$V$19*'TUSD BE'!$V$62</f>
        <v>0</v>
      </c>
      <c r="W19" s="13">
        <f>'TUSD BE'!$W$19*'TUSD BE'!$W$62</f>
        <v>0</v>
      </c>
      <c r="X19" s="13">
        <f>'TUSD BE'!$X$19*'TUSD BE'!$X$62</f>
        <v>0</v>
      </c>
      <c r="Y19" s="13">
        <f>'TUSD BE'!$Y$19*'TUSD BE'!$Y$62</f>
        <v>0</v>
      </c>
      <c r="Z19" s="13">
        <f>'TUSD BE'!$Z$19*'TUSD BE'!$Z$62</f>
        <v>0</v>
      </c>
      <c r="AA19" s="13">
        <f>'TUSD BE'!$AA$19*'TUSD BE'!$AA$62</f>
        <v>0</v>
      </c>
      <c r="AB19" s="13">
        <f>SUM($U$19:$AA$19)</f>
        <v>0</v>
      </c>
      <c r="AC19" s="13">
        <f>'TUSD BE'!$AC$19*'TUSD BE'!$AC$62</f>
        <v>-0.1615270972337155</v>
      </c>
      <c r="AD19" s="13">
        <f>SUM($AC$19:$AC$19)</f>
        <v>-0.1615270972337155</v>
      </c>
      <c r="AE19" s="13">
        <f ca="1">$AO$19*$AO$59</f>
        <v>0</v>
      </c>
      <c r="AF19" s="13">
        <f ca="1">$AP$19*$AP$59</f>
        <v>0</v>
      </c>
      <c r="AG19" s="13">
        <f ca="1">SUM($AE$19:$AF$19)</f>
        <v>0</v>
      </c>
      <c r="AH19" s="13">
        <f>'TUSD BE'!$AH$19*'TUSD BE'!$AH$62</f>
        <v>0</v>
      </c>
      <c r="AI19" s="13">
        <f>'TUSD BE'!$AI$19*'TUSD BE'!$AI$62</f>
        <v>0</v>
      </c>
      <c r="AJ19" s="13">
        <f ca="1">'TUSD BE'!$AJ$19*'TUSD BE'!$AJ$62</f>
        <v>0</v>
      </c>
      <c r="AK19" s="13">
        <f ca="1">'TUSD BE'!$AK$19*'TUSD BE'!$AK$62</f>
        <v>0</v>
      </c>
      <c r="AL19" s="13">
        <f ca="1">SUM($AH$19:$AK$19)</f>
        <v>0</v>
      </c>
      <c r="AM19" s="13">
        <f ca="1">SUMIF($L$4:$AL$4,"SUBTOTAL",$L$19:$AL$19)</f>
        <v>-0.16175174393829952</v>
      </c>
      <c r="AO19" s="26">
        <f ca="1">+'TUSD BE'!$T$19+'TUSD BE'!$AB$19+'TUSD BE'!$AD$19+'TUSD BE'!$AL$19</f>
        <v>5.2658262688651973</v>
      </c>
      <c r="AP19" s="26">
        <f ca="1">+'TUSD BE'!$T$19+'TUSD BE'!$AB$19+'TUSD BE'!$AD$19+'TUSD BE'!$AL$19</f>
        <v>5.2658262688651973</v>
      </c>
    </row>
    <row r="20" spans="1:42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>
        <f>'TUSD BE'!$L$20*'TUSD BE'!$L$62</f>
        <v>0</v>
      </c>
      <c r="M20" s="13">
        <f>'TUSD BE'!$M$20*'TUSD BE'!$M$62</f>
        <v>-2.2464670458403091E-4</v>
      </c>
      <c r="N20" s="13">
        <f ca="1">'TUSD BE'!$N$20*'TUSD BE'!$N$62</f>
        <v>0</v>
      </c>
      <c r="O20" s="13">
        <f>'TUSD BE'!$O$20*'TUSD BE'!$O$62</f>
        <v>0</v>
      </c>
      <c r="P20" s="13">
        <f>'TUSD BE'!$P$20*'TUSD BE'!$P$62</f>
        <v>0</v>
      </c>
      <c r="Q20" s="13">
        <f>'TUSD BE'!$Q$20*'TUSD BE'!$Q$62</f>
        <v>0</v>
      </c>
      <c r="R20" s="13">
        <f>'TUSD BE'!$R$20*'TUSD BE'!$R$62</f>
        <v>0</v>
      </c>
      <c r="S20" s="13">
        <f>'TUSD BE'!$R$20*'TUSD BE'!$S$62</f>
        <v>0</v>
      </c>
      <c r="T20" s="13">
        <f ca="1">SUM($L$20:$S$20)</f>
        <v>-2.2464670458403091E-4</v>
      </c>
      <c r="U20" s="13">
        <f>'TUSD BE'!$U$20*'TUSD BE'!$U$62</f>
        <v>0</v>
      </c>
      <c r="V20" s="13">
        <f>'TUSD BE'!$V$20*'TUSD BE'!$V$62</f>
        <v>0</v>
      </c>
      <c r="W20" s="13">
        <f>'TUSD BE'!$W$20*'TUSD BE'!$W$62</f>
        <v>0</v>
      </c>
      <c r="X20" s="13">
        <f>'TUSD BE'!$X$20*'TUSD BE'!$X$62</f>
        <v>0</v>
      </c>
      <c r="Y20" s="13">
        <f>'TUSD BE'!$Y$20*'TUSD BE'!$Y$62</f>
        <v>0</v>
      </c>
      <c r="Z20" s="13">
        <f>'TUSD BE'!$Z$20*'TUSD BE'!$Z$62</f>
        <v>0</v>
      </c>
      <c r="AA20" s="13">
        <f>'TUSD BE'!$AA$20*'TUSD BE'!$AA$62</f>
        <v>0</v>
      </c>
      <c r="AB20" s="13">
        <f>SUM($U$20:$AA$20)</f>
        <v>0</v>
      </c>
      <c r="AC20" s="13">
        <f>'TUSD BE'!$AC$20*'TUSD BE'!$AC$62</f>
        <v>-0.32863378290303008</v>
      </c>
      <c r="AD20" s="13">
        <f>SUM($AC$20:$AC$20)</f>
        <v>-0.32863378290303008</v>
      </c>
      <c r="AE20" s="13">
        <f ca="1">$AO$20*$AO$59</f>
        <v>0</v>
      </c>
      <c r="AF20" s="13">
        <f ca="1">$AP$20*$AP$59</f>
        <v>0</v>
      </c>
      <c r="AG20" s="13">
        <f ca="1">SUM($AE$20:$AF$20)</f>
        <v>0</v>
      </c>
      <c r="AH20" s="13">
        <f>'TUSD BE'!$AH$20*'TUSD BE'!$AH$62</f>
        <v>0</v>
      </c>
      <c r="AI20" s="13">
        <f>'TUSD BE'!$AI$20*'TUSD BE'!$AI$62</f>
        <v>0</v>
      </c>
      <c r="AJ20" s="13">
        <f ca="1">'TUSD BE'!$AJ$20*'TUSD BE'!$AJ$62</f>
        <v>0</v>
      </c>
      <c r="AK20" s="13">
        <f ca="1">'TUSD BE'!$AK$20*'TUSD BE'!$AK$62</f>
        <v>0</v>
      </c>
      <c r="AL20" s="13">
        <f ca="1">SUM($AH$20:$AK$20)</f>
        <v>0</v>
      </c>
      <c r="AM20" s="13">
        <f ca="1">SUMIF($L$4:$AL$4,"SUBTOTAL",$L$20:$AL$20)</f>
        <v>-0.32885842960761413</v>
      </c>
      <c r="AO20" s="26">
        <f ca="1">+'TUSD BE'!$T$20+'TUSD BE'!$AB$20+'TUSD BE'!$AD$20+'TUSD BE'!$AL$20</f>
        <v>10.702150792539015</v>
      </c>
      <c r="AP20" s="26">
        <f ca="1">+'TUSD BE'!$T$20+'TUSD BE'!$AB$20+'TUSD BE'!$AD$20+'TUSD BE'!$AL$20</f>
        <v>10.702150792539015</v>
      </c>
    </row>
    <row r="21" spans="1:42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>
        <f>'TUSD BE'!$L$21*'TUSD BE'!$L$62</f>
        <v>-0.44030718794037316</v>
      </c>
      <c r="M21" s="13">
        <f>'TUSD BE'!$M$21*'TUSD BE'!$M$62</f>
        <v>-1.5137203199188891E-2</v>
      </c>
      <c r="N21" s="13">
        <f ca="1">'TUSD BE'!$N$21*'TUSD BE'!$N$62</f>
        <v>0</v>
      </c>
      <c r="O21" s="13">
        <f>'TUSD BE'!$O$21*'TUSD BE'!$O$62</f>
        <v>0</v>
      </c>
      <c r="P21" s="13">
        <f>'TUSD BE'!$P$21*'TUSD BE'!$P$62</f>
        <v>0</v>
      </c>
      <c r="Q21" s="13">
        <f>'TUSD BE'!$Q$21*'TUSD BE'!$Q$62</f>
        <v>-0.84234743887342367</v>
      </c>
      <c r="R21" s="13">
        <f>'TUSD BE'!$R$21*'TUSD BE'!$R$62</f>
        <v>-0.1145844510862013</v>
      </c>
      <c r="S21" s="13">
        <f>'TUSD BE'!$R$21*'TUSD BE'!$S$62</f>
        <v>0</v>
      </c>
      <c r="T21" s="13">
        <f ca="1">SUM($L$21:$S$21)</f>
        <v>-1.4123762810991869</v>
      </c>
      <c r="U21" s="13">
        <f>'TUSD BE'!$U$21*'TUSD BE'!$U$62</f>
        <v>7.2769789101234608</v>
      </c>
      <c r="V21" s="13">
        <f>'TUSD BE'!$V$21*'TUSD BE'!$V$62</f>
        <v>1.0240214386125723</v>
      </c>
      <c r="W21" s="13">
        <f>'TUSD BE'!$W$21*'TUSD BE'!$W$62</f>
        <v>0</v>
      </c>
      <c r="X21" s="13">
        <f>'TUSD BE'!$X$21*'TUSD BE'!$X$62</f>
        <v>0</v>
      </c>
      <c r="Y21" s="13">
        <f>'TUSD BE'!$Y$21*'TUSD BE'!$Y$62</f>
        <v>0</v>
      </c>
      <c r="Z21" s="13">
        <f>'TUSD BE'!$Z$21*'TUSD BE'!$Z$62</f>
        <v>0</v>
      </c>
      <c r="AA21" s="13">
        <f>'TUSD BE'!$AA$21*'TUSD BE'!$AA$62</f>
        <v>0</v>
      </c>
      <c r="AB21" s="13">
        <f>SUM($U$21:$AA$21)</f>
        <v>8.3010003487360322</v>
      </c>
      <c r="AC21" s="13">
        <f>'TUSD BE'!$AC$21*'TUSD BE'!$AC$62</f>
        <v>-13.919541079306221</v>
      </c>
      <c r="AD21" s="13">
        <f>SUM($AC$21:$AC$21)</f>
        <v>-13.919541079306221</v>
      </c>
      <c r="AE21" s="13">
        <f ca="1">$AO$21*$AO$59</f>
        <v>0</v>
      </c>
      <c r="AF21" s="13">
        <f ca="1">$AP$21*$AP$59</f>
        <v>0</v>
      </c>
      <c r="AG21" s="13">
        <f ca="1">SUM($AE$21:$AF$21)</f>
        <v>0</v>
      </c>
      <c r="AH21" s="13">
        <f>'TUSD BE'!$AH$21*'TUSD BE'!$AH$62</f>
        <v>-0.19037187767002636</v>
      </c>
      <c r="AI21" s="13">
        <f>'TUSD BE'!$AI$21*'TUSD BE'!$AI$62</f>
        <v>0</v>
      </c>
      <c r="AJ21" s="13">
        <f ca="1">'TUSD BE'!$AJ$21*'TUSD BE'!$AJ$62</f>
        <v>0</v>
      </c>
      <c r="AK21" s="13">
        <f ca="1">'TUSD BE'!$AK$21*'TUSD BE'!$AK$62</f>
        <v>0</v>
      </c>
      <c r="AL21" s="13">
        <f ca="1">SUM($AH$21:$AK$21)</f>
        <v>-0.19037187767002636</v>
      </c>
      <c r="AM21" s="13">
        <f ca="1">SUMIF($L$4:$AL$4,"SUBTOTAL",$L$21:$AL$21)</f>
        <v>-7.2212888893394016</v>
      </c>
      <c r="AO21" s="26">
        <f ca="1">+'TUSD BE'!$T$21+'TUSD BE'!$AB$21+'TUSD BE'!$AD$21+'TUSD BE'!$AL$21</f>
        <v>682.58882682106821</v>
      </c>
      <c r="AP21" s="26">
        <f ca="1">+'TUSD BE'!$T$21+'TUSD BE'!$AB$21+'TUSD BE'!$AD$21+'TUSD BE'!$AL$21</f>
        <v>682.58882682106821</v>
      </c>
    </row>
    <row r="22" spans="1:42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>
        <f>'TUSD BE'!$L$22*'TUSD BE'!$L$62</f>
        <v>-0.44030718794037316</v>
      </c>
      <c r="M22" s="13">
        <f>'TUSD BE'!$M$22*'TUSD BE'!$M$62</f>
        <v>-1.5137203199188891E-2</v>
      </c>
      <c r="N22" s="13">
        <f ca="1">'TUSD BE'!$N$22*'TUSD BE'!$N$62</f>
        <v>0</v>
      </c>
      <c r="O22" s="13">
        <f>'TUSD BE'!$O$22*'TUSD BE'!$O$62</f>
        <v>0</v>
      </c>
      <c r="P22" s="13">
        <f>'TUSD BE'!$P$22*'TUSD BE'!$P$62</f>
        <v>0</v>
      </c>
      <c r="Q22" s="13">
        <f>'TUSD BE'!$Q$22*'TUSD BE'!$Q$62</f>
        <v>-0.84234743887342367</v>
      </c>
      <c r="R22" s="13">
        <f>'TUSD BE'!$R$22*'TUSD BE'!$R$62</f>
        <v>-0.1145844510862013</v>
      </c>
      <c r="S22" s="13">
        <f>'TUSD BE'!$R$22*'TUSD BE'!$S$62</f>
        <v>0</v>
      </c>
      <c r="T22" s="13">
        <f ca="1">SUM($L$22:$S$22)</f>
        <v>-1.4123762810991869</v>
      </c>
      <c r="U22" s="13">
        <f>'TUSD BE'!$U$22*'TUSD BE'!$U$62</f>
        <v>4.3661815320375679</v>
      </c>
      <c r="V22" s="13">
        <f>'TUSD BE'!$V$22*'TUSD BE'!$V$62</f>
        <v>0.61441722739119931</v>
      </c>
      <c r="W22" s="13">
        <f>'TUSD BE'!$W$22*'TUSD BE'!$W$62</f>
        <v>0</v>
      </c>
      <c r="X22" s="13">
        <f>'TUSD BE'!$X$22*'TUSD BE'!$X$62</f>
        <v>0</v>
      </c>
      <c r="Y22" s="13">
        <f>'TUSD BE'!$Y$22*'TUSD BE'!$Y$62</f>
        <v>0</v>
      </c>
      <c r="Z22" s="13">
        <f>'TUSD BE'!$Z$22*'TUSD BE'!$Z$62</f>
        <v>0</v>
      </c>
      <c r="AA22" s="13">
        <f>'TUSD BE'!$AA$22*'TUSD BE'!$AA$62</f>
        <v>0</v>
      </c>
      <c r="AB22" s="13">
        <f>SUM($U$22:$AA$22)</f>
        <v>4.9805987594287675</v>
      </c>
      <c r="AC22" s="13">
        <f>'TUSD BE'!$AC$22*'TUSD BE'!$AC$62</f>
        <v>-8.3517267680924032</v>
      </c>
      <c r="AD22" s="13">
        <f>SUM($AC$22:$AC$22)</f>
        <v>-8.3517267680924032</v>
      </c>
      <c r="AE22" s="13">
        <f ca="1">$AO$22*$AO$59</f>
        <v>0</v>
      </c>
      <c r="AF22" s="13">
        <f ca="1">$AP$22*$AP$59</f>
        <v>0</v>
      </c>
      <c r="AG22" s="13">
        <f ca="1">SUM($AE$22:$AF$22)</f>
        <v>0</v>
      </c>
      <c r="AH22" s="13">
        <f>'TUSD BE'!$AH$22*'TUSD BE'!$AH$62</f>
        <v>-0.19037187767002636</v>
      </c>
      <c r="AI22" s="13">
        <f>'TUSD BE'!$AI$22*'TUSD BE'!$AI$62</f>
        <v>0</v>
      </c>
      <c r="AJ22" s="13">
        <f ca="1">'TUSD BE'!$AJ$22*'TUSD BE'!$AJ$62</f>
        <v>0</v>
      </c>
      <c r="AK22" s="13">
        <f ca="1">'TUSD BE'!$AK$22*'TUSD BE'!$AK$62</f>
        <v>0</v>
      </c>
      <c r="AL22" s="13">
        <f ca="1">SUM($AH$22:$AK$22)</f>
        <v>-0.19037187767002636</v>
      </c>
      <c r="AM22" s="13">
        <f ca="1">SUMIF($L$4:$AL$4,"SUBTOTAL",$L$22:$AL$22)</f>
        <v>-4.9738761674328487</v>
      </c>
      <c r="AO22" s="26">
        <f ca="1">+'TUSD BE'!$T$22+'TUSD BE'!$AB$22+'TUSD BE'!$AD$22+'TUSD BE'!$AL$22</f>
        <v>469.70795116768807</v>
      </c>
      <c r="AP22" s="26">
        <f ca="1">+'TUSD BE'!$T$22+'TUSD BE'!$AB$22+'TUSD BE'!$AD$22+'TUSD BE'!$AL$22</f>
        <v>469.70795116768807</v>
      </c>
    </row>
    <row r="23" spans="1:42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>
        <f>'TUSD BE'!$L$23*'TUSD BE'!$L$62</f>
        <v>-0.44030718794037316</v>
      </c>
      <c r="M23" s="13">
        <f>'TUSD BE'!$M$23*'TUSD BE'!$M$62</f>
        <v>-1.5137203199188891E-2</v>
      </c>
      <c r="N23" s="13">
        <f ca="1">'TUSD BE'!$N$23*'TUSD BE'!$N$62</f>
        <v>0</v>
      </c>
      <c r="O23" s="13">
        <f>'TUSD BE'!$O$23*'TUSD BE'!$O$62</f>
        <v>0</v>
      </c>
      <c r="P23" s="13">
        <f>'TUSD BE'!$P$23*'TUSD BE'!$P$62</f>
        <v>0</v>
      </c>
      <c r="Q23" s="13">
        <f>'TUSD BE'!$Q$23*'TUSD BE'!$Q$62</f>
        <v>-0.84234743887342367</v>
      </c>
      <c r="R23" s="13">
        <f>'TUSD BE'!$R$23*'TUSD BE'!$R$62</f>
        <v>-0.1145844510862013</v>
      </c>
      <c r="S23" s="13">
        <f>'TUSD BE'!$R$23*'TUSD BE'!$S$62</f>
        <v>0</v>
      </c>
      <c r="T23" s="13">
        <f ca="1">SUM($L$23:$S$23)</f>
        <v>-1.4123762810991869</v>
      </c>
      <c r="U23" s="13">
        <f>'TUSD BE'!$U$23*'TUSD BE'!$U$62</f>
        <v>1.4553986890429462</v>
      </c>
      <c r="V23" s="13">
        <f>'TUSD BE'!$V$23*'TUSD BE'!$V$62</f>
        <v>0.2048130161698262</v>
      </c>
      <c r="W23" s="13">
        <f>'TUSD BE'!$W$23*'TUSD BE'!$W$62</f>
        <v>0</v>
      </c>
      <c r="X23" s="13">
        <f>'TUSD BE'!$X$23*'TUSD BE'!$X$62</f>
        <v>0</v>
      </c>
      <c r="Y23" s="13">
        <f>'TUSD BE'!$Y$23*'TUSD BE'!$Y$62</f>
        <v>0</v>
      </c>
      <c r="Z23" s="13">
        <f>'TUSD BE'!$Z$23*'TUSD BE'!$Z$62</f>
        <v>0</v>
      </c>
      <c r="AA23" s="13">
        <f>'TUSD BE'!$AA$23*'TUSD BE'!$AA$62</f>
        <v>0</v>
      </c>
      <c r="AB23" s="13">
        <f>SUM($U$23:$AA$23)</f>
        <v>1.6602117052127725</v>
      </c>
      <c r="AC23" s="13">
        <f>'TUSD BE'!$AC$23*'TUSD BE'!$AC$62</f>
        <v>-2.7839071556069102</v>
      </c>
      <c r="AD23" s="13">
        <f>SUM($AC$23:$AC$23)</f>
        <v>-2.7839071556069102</v>
      </c>
      <c r="AE23" s="13">
        <f ca="1">$AO$23*$AO$59</f>
        <v>0</v>
      </c>
      <c r="AF23" s="13">
        <f ca="1">$AP$23*$AP$59</f>
        <v>0</v>
      </c>
      <c r="AG23" s="13">
        <f ca="1">SUM($AE$23:$AF$23)</f>
        <v>0</v>
      </c>
      <c r="AH23" s="13">
        <f>'TUSD BE'!$AH$23*'TUSD BE'!$AH$62</f>
        <v>-0.19037187767002636</v>
      </c>
      <c r="AI23" s="13">
        <f>'TUSD BE'!$AI$23*'TUSD BE'!$AI$62</f>
        <v>0</v>
      </c>
      <c r="AJ23" s="13">
        <f ca="1">'TUSD BE'!$AJ$23*'TUSD BE'!$AJ$62</f>
        <v>0</v>
      </c>
      <c r="AK23" s="13">
        <f ca="1">'TUSD BE'!$AK$23*'TUSD BE'!$AK$62</f>
        <v>0</v>
      </c>
      <c r="AL23" s="13">
        <f ca="1">SUM($AH$23:$AK$23)</f>
        <v>-0.19037187767002636</v>
      </c>
      <c r="AM23" s="13">
        <f ca="1">SUMIF($L$4:$AL$4,"SUBTOTAL",$L$23:$AL$23)</f>
        <v>-2.7264436091633506</v>
      </c>
      <c r="AO23" s="26">
        <f ca="1">+'TUSD BE'!$T$23+'TUSD BE'!$AB$23+'TUSD BE'!$AD$23+'TUSD BE'!$AL$23</f>
        <v>256.82704203202292</v>
      </c>
      <c r="AP23" s="26">
        <f ca="1">+'TUSD BE'!$T$23+'TUSD BE'!$AB$23+'TUSD BE'!$AD$23+'TUSD BE'!$AL$23</f>
        <v>256.82704203202292</v>
      </c>
    </row>
    <row r="24" spans="1:42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>
        <f>'TUSD BE'!$L$24*'TUSD BE'!$L$62</f>
        <v>-0.44030718794037316</v>
      </c>
      <c r="M24" s="13">
        <f>'TUSD BE'!$M$24*'TUSD BE'!$M$62</f>
        <v>-1.5137203199188891E-2</v>
      </c>
      <c r="N24" s="13">
        <f ca="1">'TUSD BE'!$N$24*'TUSD BE'!$N$62</f>
        <v>0</v>
      </c>
      <c r="O24" s="13">
        <f>'TUSD BE'!$O$24*'TUSD BE'!$O$62</f>
        <v>0</v>
      </c>
      <c r="P24" s="13">
        <f>'TUSD BE'!$P$24*'TUSD BE'!$P$62</f>
        <v>0</v>
      </c>
      <c r="Q24" s="13">
        <f>'TUSD BE'!$Q$24*'TUSD BE'!$Q$62</f>
        <v>-0.84234743887342367</v>
      </c>
      <c r="R24" s="13">
        <f>'TUSD BE'!$R$24*'TUSD BE'!$R$62</f>
        <v>-0.1145844510862013</v>
      </c>
      <c r="S24" s="13">
        <f>'TUSD BE'!$R$24*'TUSD BE'!$S$62</f>
        <v>0</v>
      </c>
      <c r="T24" s="13">
        <f ca="1">SUM($L$24:$S$24)</f>
        <v>-1.4123762810991869</v>
      </c>
      <c r="U24" s="13">
        <f>'TUSD BE'!$U$24*'TUSD BE'!$U$62</f>
        <v>2.6951838341603649</v>
      </c>
      <c r="V24" s="13">
        <f>'TUSD BE'!$V$24*'TUSD BE'!$V$62</f>
        <v>0.37925103569481988</v>
      </c>
      <c r="W24" s="13">
        <f>'TUSD BE'!$W$24*'TUSD BE'!$W$62</f>
        <v>0</v>
      </c>
      <c r="X24" s="13">
        <f>'TUSD BE'!$X$24*'TUSD BE'!$X$62</f>
        <v>0</v>
      </c>
      <c r="Y24" s="13">
        <f>'TUSD BE'!$Y$24*'TUSD BE'!$Y$62</f>
        <v>0</v>
      </c>
      <c r="Z24" s="13">
        <f>'TUSD BE'!$Z$24*'TUSD BE'!$Z$62</f>
        <v>0</v>
      </c>
      <c r="AA24" s="13">
        <f>'TUSD BE'!$AA$24*'TUSD BE'!$AA$62</f>
        <v>0</v>
      </c>
      <c r="AB24" s="13">
        <f>SUM($U$24:$AA$24)</f>
        <v>3.0744348698551849</v>
      </c>
      <c r="AC24" s="13">
        <f>'TUSD BE'!$AC$24*'TUSD BE'!$AC$62</f>
        <v>-5.1553859776150208</v>
      </c>
      <c r="AD24" s="13">
        <f>SUM($AC$24:$AC$24)</f>
        <v>-5.1553859776150208</v>
      </c>
      <c r="AE24" s="13">
        <f ca="1">$AO$24*$AO$59</f>
        <v>0</v>
      </c>
      <c r="AF24" s="13">
        <f ca="1">$AP$24*$AP$59</f>
        <v>0</v>
      </c>
      <c r="AG24" s="13">
        <f ca="1">SUM($AE$24:$AF$24)</f>
        <v>0</v>
      </c>
      <c r="AH24" s="13">
        <f>'TUSD BE'!$AH$24*'TUSD BE'!$AH$62</f>
        <v>-0.19037187767002636</v>
      </c>
      <c r="AI24" s="13">
        <f>'TUSD BE'!$AI$24*'TUSD BE'!$AI$62</f>
        <v>0</v>
      </c>
      <c r="AJ24" s="13">
        <f ca="1">'TUSD BE'!$AJ$24*'TUSD BE'!$AJ$62</f>
        <v>0</v>
      </c>
      <c r="AK24" s="13">
        <f ca="1">'TUSD BE'!$AK$24*'TUSD BE'!$AK$62</f>
        <v>0</v>
      </c>
      <c r="AL24" s="13">
        <f ca="1">SUM($AH$24:$AK$24)</f>
        <v>-0.19037187767002636</v>
      </c>
      <c r="AM24" s="13">
        <f ca="1">SUMIF($L$4:$AL$4,"SUBTOTAL",$L$24:$AL$24)</f>
        <v>-3.6836992665290493</v>
      </c>
      <c r="AO24" s="26">
        <f ca="1">+'TUSD BE'!$T$24+'TUSD BE'!$AB$24+'TUSD BE'!$AD$24+'TUSD BE'!$AL$24</f>
        <v>347.4983928142023</v>
      </c>
      <c r="AP24" s="26">
        <f ca="1">+'TUSD BE'!$T$24+'TUSD BE'!$AB$24+'TUSD BE'!$AD$24+'TUSD BE'!$AL$24</f>
        <v>347.4983928142023</v>
      </c>
    </row>
    <row r="25" spans="1:42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>
        <f>'TUSD BE'!$L$25*'TUSD BE'!$L$62</f>
        <v>0</v>
      </c>
      <c r="M25" s="13">
        <f>'TUSD BE'!$M$25*'TUSD BE'!$M$62</f>
        <v>-1.5137203199188891E-2</v>
      </c>
      <c r="N25" s="13">
        <f ca="1">'TUSD BE'!$N$25*'TUSD BE'!$N$62</f>
        <v>0</v>
      </c>
      <c r="O25" s="13">
        <f>'TUSD BE'!$O$25*'TUSD BE'!$O$62</f>
        <v>0</v>
      </c>
      <c r="P25" s="13">
        <f>'TUSD BE'!$P$25*'TUSD BE'!$P$62</f>
        <v>0</v>
      </c>
      <c r="Q25" s="13">
        <f>'TUSD BE'!$Q$25*'TUSD BE'!$Q$62</f>
        <v>0</v>
      </c>
      <c r="R25" s="13">
        <f>'TUSD BE'!$R$25*'TUSD BE'!$R$62</f>
        <v>0</v>
      </c>
      <c r="S25" s="13">
        <f>'TUSD BE'!$R$25*'TUSD BE'!$S$62</f>
        <v>0</v>
      </c>
      <c r="T25" s="13">
        <f ca="1">SUM($L$25:$S$25)</f>
        <v>-1.5137203199188891E-2</v>
      </c>
      <c r="U25" s="13">
        <f>'TUSD BE'!$U$25*'TUSD BE'!$U$62</f>
        <v>2.6951838341603649</v>
      </c>
      <c r="V25" s="13">
        <f>'TUSD BE'!$V$25*'TUSD BE'!$V$62</f>
        <v>0.37925103569481988</v>
      </c>
      <c r="W25" s="13">
        <f>'TUSD BE'!$W$25*'TUSD BE'!$W$62</f>
        <v>0</v>
      </c>
      <c r="X25" s="13">
        <f>'TUSD BE'!$X$25*'TUSD BE'!$X$62</f>
        <v>0</v>
      </c>
      <c r="Y25" s="13">
        <f>'TUSD BE'!$Y$25*'TUSD BE'!$Y$62</f>
        <v>0</v>
      </c>
      <c r="Z25" s="13">
        <f>'TUSD BE'!$Z$25*'TUSD BE'!$Z$62</f>
        <v>0</v>
      </c>
      <c r="AA25" s="13">
        <f>'TUSD BE'!$AA$25*'TUSD BE'!$AA$62</f>
        <v>0</v>
      </c>
      <c r="AB25" s="13">
        <f>SUM($U$25:$AA$25)</f>
        <v>3.0744348698551849</v>
      </c>
      <c r="AC25" s="13">
        <f>'TUSD BE'!$AC$25*'TUSD BE'!$AC$62</f>
        <v>-5.1553859776150208</v>
      </c>
      <c r="AD25" s="13">
        <f>SUM($AC$25:$AC$25)</f>
        <v>-5.1553859776150208</v>
      </c>
      <c r="AE25" s="13">
        <f ca="1">$AO$25*$AO$59</f>
        <v>0</v>
      </c>
      <c r="AF25" s="13">
        <f ca="1">$AP$25*$AP$59</f>
        <v>0</v>
      </c>
      <c r="AG25" s="13">
        <f ca="1">SUM($AE$25:$AF$25)</f>
        <v>0</v>
      </c>
      <c r="AH25" s="13">
        <f>'TUSD BE'!$AH$25*'TUSD BE'!$AH$62</f>
        <v>-0.19037187767002636</v>
      </c>
      <c r="AI25" s="13">
        <f>'TUSD BE'!$AI$25*'TUSD BE'!$AI$62</f>
        <v>0</v>
      </c>
      <c r="AJ25" s="13">
        <f ca="1">'TUSD BE'!$AJ$25*'TUSD BE'!$AJ$62</f>
        <v>0</v>
      </c>
      <c r="AK25" s="13">
        <f ca="1">'TUSD BE'!$AK$25*'TUSD BE'!$AK$62</f>
        <v>0</v>
      </c>
      <c r="AL25" s="13">
        <f ca="1">SUM($AH$25:$AK$25)</f>
        <v>-0.19037187767002636</v>
      </c>
      <c r="AM25" s="13">
        <f ca="1">SUMIF($L$4:$AL$4,"SUBTOTAL",$L$25:$AL$25)</f>
        <v>-2.286460188629051</v>
      </c>
      <c r="AO25" s="26">
        <f ca="1">+'TUSD BE'!$T$25+'TUSD BE'!$AB$25+'TUSD BE'!$AD$25+'TUSD BE'!$AL$25</f>
        <v>210.00164694064551</v>
      </c>
      <c r="AP25" s="26">
        <f ca="1">+'TUSD BE'!$T$25+'TUSD BE'!$AB$25+'TUSD BE'!$AD$25+'TUSD BE'!$AL$25</f>
        <v>210.00164694064551</v>
      </c>
    </row>
    <row r="26" spans="1:42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>
        <f>'TUSD BE'!$L$26*'TUSD BE'!$L$62</f>
        <v>0</v>
      </c>
      <c r="M26" s="13">
        <f>'TUSD BE'!$M$26*'TUSD BE'!$M$62</f>
        <v>-1.5137203199188891E-2</v>
      </c>
      <c r="N26" s="13">
        <f ca="1">'TUSD BE'!$N$26*'TUSD BE'!$N$62</f>
        <v>0</v>
      </c>
      <c r="O26" s="13">
        <f>'TUSD BE'!$O$26*'TUSD BE'!$O$62</f>
        <v>0</v>
      </c>
      <c r="P26" s="13">
        <f>'TUSD BE'!$P$26*'TUSD BE'!$P$62</f>
        <v>0</v>
      </c>
      <c r="Q26" s="13">
        <f>'TUSD BE'!$Q$26*'TUSD BE'!$Q$62</f>
        <v>0</v>
      </c>
      <c r="R26" s="13">
        <f>'TUSD BE'!$R$26*'TUSD BE'!$R$62</f>
        <v>0</v>
      </c>
      <c r="S26" s="13">
        <f>'TUSD BE'!$R$26*'TUSD BE'!$S$62</f>
        <v>0</v>
      </c>
      <c r="T26" s="13">
        <f ca="1">SUM($L$26:$S$26)</f>
        <v>-1.5137203199188891E-2</v>
      </c>
      <c r="U26" s="13">
        <f>'TUSD BE'!$U$26*'TUSD BE'!$U$62</f>
        <v>2.6951838341603649</v>
      </c>
      <c r="V26" s="13">
        <f>'TUSD BE'!$V$26*'TUSD BE'!$V$62</f>
        <v>0.37925103569481988</v>
      </c>
      <c r="W26" s="13">
        <f>'TUSD BE'!$W$26*'TUSD BE'!$W$62</f>
        <v>0</v>
      </c>
      <c r="X26" s="13">
        <f>'TUSD BE'!$X$26*'TUSD BE'!$X$62</f>
        <v>0</v>
      </c>
      <c r="Y26" s="13">
        <f>'TUSD BE'!$Y$26*'TUSD BE'!$Y$62</f>
        <v>0</v>
      </c>
      <c r="Z26" s="13">
        <f>'TUSD BE'!$Z$26*'TUSD BE'!$Z$62</f>
        <v>0</v>
      </c>
      <c r="AA26" s="13">
        <f>'TUSD BE'!$AA$26*'TUSD BE'!$AA$62</f>
        <v>0</v>
      </c>
      <c r="AB26" s="13">
        <f>SUM($U$26:$AA$26)</f>
        <v>3.0744348698551849</v>
      </c>
      <c r="AC26" s="13">
        <f>'TUSD BE'!$AC$26*'TUSD BE'!$AC$62</f>
        <v>-5.1553859776150208</v>
      </c>
      <c r="AD26" s="13">
        <f>SUM($AC$26:$AC$26)</f>
        <v>-5.1553859776150208</v>
      </c>
      <c r="AE26" s="13">
        <f ca="1">$AO$26*$AO$59</f>
        <v>0</v>
      </c>
      <c r="AF26" s="13">
        <f ca="1">$AP$26*$AP$59</f>
        <v>0</v>
      </c>
      <c r="AG26" s="13">
        <f ca="1">SUM($AE$26:$AF$26)</f>
        <v>0</v>
      </c>
      <c r="AH26" s="13">
        <f>'TUSD BE'!$AH$26*'TUSD BE'!$AH$62</f>
        <v>-0.19037187767002636</v>
      </c>
      <c r="AI26" s="13">
        <f>'TUSD BE'!$AI$26*'TUSD BE'!$AI$62</f>
        <v>0</v>
      </c>
      <c r="AJ26" s="13">
        <f ca="1">'TUSD BE'!$AJ$26*'TUSD BE'!$AJ$62</f>
        <v>0</v>
      </c>
      <c r="AK26" s="13">
        <f ca="1">'TUSD BE'!$AK$26*'TUSD BE'!$AK$62</f>
        <v>0</v>
      </c>
      <c r="AL26" s="13">
        <f ca="1">SUM($AH$26:$AK$26)</f>
        <v>-0.19037187767002636</v>
      </c>
      <c r="AM26" s="13">
        <f ca="1">SUMIF($L$4:$AL$4,"SUBTOTAL",$L$26:$AL$26)</f>
        <v>-2.286460188629051</v>
      </c>
      <c r="AO26" s="26">
        <f ca="1">+'TUSD BE'!$T$26+'TUSD BE'!$AB$26+'TUSD BE'!$AD$26+'TUSD BE'!$AL$26</f>
        <v>210.00164694064551</v>
      </c>
      <c r="AP26" s="26">
        <f ca="1">+'TUSD BE'!$T$26+'TUSD BE'!$AB$26+'TUSD BE'!$AD$26+'TUSD BE'!$AL$26</f>
        <v>210.00164694064551</v>
      </c>
    </row>
    <row r="27" spans="1:42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>
        <f>'TUSD BE'!$L$27*'TUSD BE'!$L$62</f>
        <v>0</v>
      </c>
      <c r="M27" s="13">
        <f>'TUSD BE'!$M$27*'TUSD BE'!$M$62</f>
        <v>-1.5137203199188891E-2</v>
      </c>
      <c r="N27" s="13">
        <f ca="1">'TUSD BE'!$N$27*'TUSD BE'!$N$62</f>
        <v>0</v>
      </c>
      <c r="O27" s="13">
        <f>'TUSD BE'!$O$27*'TUSD BE'!$O$62</f>
        <v>0</v>
      </c>
      <c r="P27" s="13">
        <f>'TUSD BE'!$P$27*'TUSD BE'!$P$62</f>
        <v>0</v>
      </c>
      <c r="Q27" s="13">
        <f>'TUSD BE'!$Q$27*'TUSD BE'!$Q$62</f>
        <v>0</v>
      </c>
      <c r="R27" s="13">
        <f>'TUSD BE'!$R$27*'TUSD BE'!$R$62</f>
        <v>0</v>
      </c>
      <c r="S27" s="13">
        <f>'TUSD BE'!$R$27*'TUSD BE'!$S$62</f>
        <v>0</v>
      </c>
      <c r="T27" s="13">
        <f ca="1">SUM($L$27:$S$27)</f>
        <v>-1.5137203199188891E-2</v>
      </c>
      <c r="U27" s="13">
        <f>'TUSD BE'!$U$27*'TUSD BE'!$U$62</f>
        <v>2.6951838341603649</v>
      </c>
      <c r="V27" s="13">
        <f>'TUSD BE'!$V$27*'TUSD BE'!$V$62</f>
        <v>0.37925103569481988</v>
      </c>
      <c r="W27" s="13">
        <f>'TUSD BE'!$W$27*'TUSD BE'!$W$62</f>
        <v>0</v>
      </c>
      <c r="X27" s="13">
        <f>'TUSD BE'!$X$27*'TUSD BE'!$X$62</f>
        <v>0</v>
      </c>
      <c r="Y27" s="13">
        <f>'TUSD BE'!$Y$27*'TUSD BE'!$Y$62</f>
        <v>0</v>
      </c>
      <c r="Z27" s="13">
        <f>'TUSD BE'!$Z$27*'TUSD BE'!$Z$62</f>
        <v>0</v>
      </c>
      <c r="AA27" s="13">
        <f>'TUSD BE'!$AA$27*'TUSD BE'!$AA$62</f>
        <v>0</v>
      </c>
      <c r="AB27" s="13">
        <f>SUM($U$27:$AA$27)</f>
        <v>3.0744348698551849</v>
      </c>
      <c r="AC27" s="13">
        <f>'TUSD BE'!$AC$27*'TUSD BE'!$AC$62</f>
        <v>-5.1553859776150208</v>
      </c>
      <c r="AD27" s="13">
        <f>SUM($AC$27:$AC$27)</f>
        <v>-5.1553859776150208</v>
      </c>
      <c r="AE27" s="13">
        <f ca="1">$AO$27*$AO$59</f>
        <v>0</v>
      </c>
      <c r="AF27" s="13">
        <f ca="1">$AP$27*$AP$59</f>
        <v>0</v>
      </c>
      <c r="AG27" s="13">
        <f ca="1">SUM($AE$27:$AF$27)</f>
        <v>0</v>
      </c>
      <c r="AH27" s="13">
        <f>'TUSD BE'!$AH$27*'TUSD BE'!$AH$62</f>
        <v>-0.19037187767002636</v>
      </c>
      <c r="AI27" s="13">
        <f>'TUSD BE'!$AI$27*'TUSD BE'!$AI$62</f>
        <v>0</v>
      </c>
      <c r="AJ27" s="13">
        <f ca="1">'TUSD BE'!$AJ$27*'TUSD BE'!$AJ$62</f>
        <v>0</v>
      </c>
      <c r="AK27" s="13">
        <f ca="1">'TUSD BE'!$AK$27*'TUSD BE'!$AK$62</f>
        <v>0</v>
      </c>
      <c r="AL27" s="13">
        <f ca="1">SUM($AH$27:$AK$27)</f>
        <v>-0.19037187767002636</v>
      </c>
      <c r="AM27" s="13">
        <f ca="1">SUMIF($L$4:$AL$4,"SUBTOTAL",$L$27:$AL$27)</f>
        <v>-2.286460188629051</v>
      </c>
      <c r="AO27" s="26">
        <f ca="1">+'TUSD BE'!$T$27+'TUSD BE'!$AB$27+'TUSD BE'!$AD$27+'TUSD BE'!$AL$27</f>
        <v>210.00164694064551</v>
      </c>
      <c r="AP27" s="26">
        <f ca="1">+'TUSD BE'!$T$27+'TUSD BE'!$AB$27+'TUSD BE'!$AD$27+'TUSD BE'!$AL$27</f>
        <v>210.00164694064551</v>
      </c>
    </row>
    <row r="28" spans="1:42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>
        <f>'TUSD BE'!$L$28*'TUSD BE'!$L$62</f>
        <v>0</v>
      </c>
      <c r="M28" s="13">
        <f>'TUSD BE'!$M$28*'TUSD BE'!$M$62</f>
        <v>-1.5137203199188891E-2</v>
      </c>
      <c r="N28" s="13">
        <f ca="1">'TUSD BE'!$N$28*'TUSD BE'!$N$62</f>
        <v>0</v>
      </c>
      <c r="O28" s="13">
        <f>'TUSD BE'!$O$28*'TUSD BE'!$O$62</f>
        <v>0</v>
      </c>
      <c r="P28" s="13">
        <f>'TUSD BE'!$P$28*'TUSD BE'!$P$62</f>
        <v>0</v>
      </c>
      <c r="Q28" s="13">
        <f>'TUSD BE'!$Q$28*'TUSD BE'!$Q$62</f>
        <v>0</v>
      </c>
      <c r="R28" s="13">
        <f>'TUSD BE'!$R$28*'TUSD BE'!$R$62</f>
        <v>0</v>
      </c>
      <c r="S28" s="13">
        <f>'TUSD BE'!$R$28*'TUSD BE'!$S$62</f>
        <v>0</v>
      </c>
      <c r="T28" s="13">
        <f ca="1">SUM($L$28:$S$28)</f>
        <v>-1.5137203199188891E-2</v>
      </c>
      <c r="U28" s="13">
        <f>'TUSD BE'!$U$28*'TUSD BE'!$U$62</f>
        <v>2.6951838341603649</v>
      </c>
      <c r="V28" s="13">
        <f>'TUSD BE'!$V$28*'TUSD BE'!$V$62</f>
        <v>0.37925103569481988</v>
      </c>
      <c r="W28" s="13">
        <f>'TUSD BE'!$W$28*'TUSD BE'!$W$62</f>
        <v>0</v>
      </c>
      <c r="X28" s="13">
        <f>'TUSD BE'!$X$28*'TUSD BE'!$X$62</f>
        <v>0</v>
      </c>
      <c r="Y28" s="13">
        <f>'TUSD BE'!$Y$28*'TUSD BE'!$Y$62</f>
        <v>0</v>
      </c>
      <c r="Z28" s="13">
        <f>'TUSD BE'!$Z$28*'TUSD BE'!$Z$62</f>
        <v>0</v>
      </c>
      <c r="AA28" s="13">
        <f>'TUSD BE'!$AA$28*'TUSD BE'!$AA$62</f>
        <v>0</v>
      </c>
      <c r="AB28" s="13">
        <f>SUM($U$28:$AA$28)</f>
        <v>3.0744348698551849</v>
      </c>
      <c r="AC28" s="13">
        <f>'TUSD BE'!$AC$28*'TUSD BE'!$AC$62</f>
        <v>-5.1553859776150208</v>
      </c>
      <c r="AD28" s="13">
        <f>SUM($AC$28:$AC$28)</f>
        <v>-5.1553859776150208</v>
      </c>
      <c r="AE28" s="13">
        <f ca="1">$AO$28*$AO$59</f>
        <v>0</v>
      </c>
      <c r="AF28" s="13">
        <f ca="1">$AP$28*$AP$59</f>
        <v>0</v>
      </c>
      <c r="AG28" s="13">
        <f ca="1">SUM($AE$28:$AF$28)</f>
        <v>0</v>
      </c>
      <c r="AH28" s="13">
        <f>'TUSD BE'!$AH$28*'TUSD BE'!$AH$62</f>
        <v>-0.19037187767002636</v>
      </c>
      <c r="AI28" s="13">
        <f>'TUSD BE'!$AI$28*'TUSD BE'!$AI$62</f>
        <v>0</v>
      </c>
      <c r="AJ28" s="13">
        <f ca="1">'TUSD BE'!$AJ$28*'TUSD BE'!$AJ$62</f>
        <v>0</v>
      </c>
      <c r="AK28" s="13">
        <f ca="1">'TUSD BE'!$AK$28*'TUSD BE'!$AK$62</f>
        <v>0</v>
      </c>
      <c r="AL28" s="13">
        <f ca="1">SUM($AH$28:$AK$28)</f>
        <v>-0.19037187767002636</v>
      </c>
      <c r="AM28" s="13">
        <f ca="1">SUMIF($L$4:$AL$4,"SUBTOTAL",$L$28:$AL$28)</f>
        <v>-2.286460188629051</v>
      </c>
      <c r="AO28" s="26">
        <f ca="1">+'TUSD BE'!$T$28+'TUSD BE'!$AB$28+'TUSD BE'!$AD$28+'TUSD BE'!$AL$28</f>
        <v>210.00164694064551</v>
      </c>
      <c r="AP28" s="26">
        <f ca="1">+'TUSD BE'!$T$28+'TUSD BE'!$AB$28+'TUSD BE'!$AD$28+'TUSD BE'!$AL$28</f>
        <v>210.00164694064551</v>
      </c>
    </row>
    <row r="29" spans="1:42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>
        <f>'TUSD BE'!$L$29*'TUSD BE'!$L$62</f>
        <v>-0.44030718794037316</v>
      </c>
      <c r="M29" s="13">
        <f>'TUSD BE'!$M$29*'TUSD BE'!$M$62</f>
        <v>-1.5137203199188891E-2</v>
      </c>
      <c r="N29" s="13">
        <f ca="1">'TUSD BE'!$N$29*'TUSD BE'!$N$62</f>
        <v>0</v>
      </c>
      <c r="O29" s="13">
        <f>'TUSD BE'!$O$29*'TUSD BE'!$O$62</f>
        <v>0</v>
      </c>
      <c r="P29" s="13">
        <f>'TUSD BE'!$P$29*'TUSD BE'!$P$62</f>
        <v>0</v>
      </c>
      <c r="Q29" s="13">
        <f>'TUSD BE'!$Q$29*'TUSD BE'!$Q$62</f>
        <v>-0.84234743887342367</v>
      </c>
      <c r="R29" s="13">
        <f>'TUSD BE'!$R$29*'TUSD BE'!$R$62</f>
        <v>-0.1145844510862013</v>
      </c>
      <c r="S29" s="13">
        <f>'TUSD BE'!$R$29*'TUSD BE'!$S$62</f>
        <v>0</v>
      </c>
      <c r="T29" s="13">
        <f ca="1">SUM($L$29:$S$29)</f>
        <v>-1.4123762810991869</v>
      </c>
      <c r="U29" s="13">
        <f>'TUSD BE'!$U$29*'TUSD BE'!$U$62</f>
        <v>2.6951838341603649</v>
      </c>
      <c r="V29" s="13">
        <f>'TUSD BE'!$V$29*'TUSD BE'!$V$62</f>
        <v>0.37925103569481988</v>
      </c>
      <c r="W29" s="13">
        <f>'TUSD BE'!$W$29*'TUSD BE'!$W$62</f>
        <v>0</v>
      </c>
      <c r="X29" s="13">
        <f>'TUSD BE'!$X$29*'TUSD BE'!$X$62</f>
        <v>0</v>
      </c>
      <c r="Y29" s="13">
        <f>'TUSD BE'!$Y$29*'TUSD BE'!$Y$62</f>
        <v>0</v>
      </c>
      <c r="Z29" s="13">
        <f>'TUSD BE'!$Z$29*'TUSD BE'!$Z$62</f>
        <v>0</v>
      </c>
      <c r="AA29" s="13">
        <f>'TUSD BE'!$AA$29*'TUSD BE'!$AA$62</f>
        <v>0</v>
      </c>
      <c r="AB29" s="13">
        <f>SUM($U$29:$AA$29)</f>
        <v>3.0744348698551849</v>
      </c>
      <c r="AC29" s="13">
        <f>'TUSD BE'!$AC$29*'TUSD BE'!$AC$62</f>
        <v>-5.1553859776150208</v>
      </c>
      <c r="AD29" s="13">
        <f>SUM($AC$29:$AC$29)</f>
        <v>-5.1553859776150208</v>
      </c>
      <c r="AE29" s="13">
        <f ca="1">$AO$29*$AO$59</f>
        <v>0</v>
      </c>
      <c r="AF29" s="13">
        <f ca="1">$AP$29*$AP$59</f>
        <v>0</v>
      </c>
      <c r="AG29" s="13">
        <f ca="1">SUM($AE$29:$AF$29)</f>
        <v>0</v>
      </c>
      <c r="AH29" s="13">
        <f>'TUSD BE'!$AH$29*'TUSD BE'!$AH$62</f>
        <v>-0.19037187767002636</v>
      </c>
      <c r="AI29" s="13">
        <f>'TUSD BE'!$AI$29*'TUSD BE'!$AI$62</f>
        <v>0</v>
      </c>
      <c r="AJ29" s="13">
        <f ca="1">'TUSD BE'!$AJ$29*'TUSD BE'!$AJ$62</f>
        <v>0</v>
      </c>
      <c r="AK29" s="13">
        <f ca="1">'TUSD BE'!$AK$29*'TUSD BE'!$AK$62</f>
        <v>0</v>
      </c>
      <c r="AL29" s="13">
        <f ca="1">SUM($AH$29:$AK$29)</f>
        <v>-0.19037187767002636</v>
      </c>
      <c r="AM29" s="13">
        <f ca="1">SUMIF($L$4:$AL$4,"SUBTOTAL",$L$29:$AL$29)</f>
        <v>-3.6836992665290493</v>
      </c>
      <c r="AO29" s="26">
        <f ca="1">+'TUSD BE'!$T$29+'TUSD BE'!$AB$29+'TUSD BE'!$AD$29+'TUSD BE'!$AL$29</f>
        <v>347.4983928142023</v>
      </c>
      <c r="AP29" s="26">
        <f ca="1">+'TUSD BE'!$T$29+'TUSD BE'!$AB$29+'TUSD BE'!$AD$29+'TUSD BE'!$AL$29</f>
        <v>347.4983928142023</v>
      </c>
    </row>
    <row r="30" spans="1:42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>
        <f>'TUSD BE'!$L$30*'TUSD BE'!$L$62</f>
        <v>0</v>
      </c>
      <c r="M30" s="13">
        <f>'TUSD BE'!$M$30*'TUSD BE'!$M$62</f>
        <v>-1.5137203199188891E-2</v>
      </c>
      <c r="N30" s="13">
        <f ca="1">'TUSD BE'!$N$30*'TUSD BE'!$N$62</f>
        <v>0</v>
      </c>
      <c r="O30" s="13">
        <f>'TUSD BE'!$O$30*'TUSD BE'!$O$62</f>
        <v>0</v>
      </c>
      <c r="P30" s="13">
        <f>'TUSD BE'!$P$30*'TUSD BE'!$P$62</f>
        <v>0</v>
      </c>
      <c r="Q30" s="13">
        <f>'TUSD BE'!$Q$30*'TUSD BE'!$Q$62</f>
        <v>0</v>
      </c>
      <c r="R30" s="13">
        <f>'TUSD BE'!$R$30*'TUSD BE'!$R$62</f>
        <v>0</v>
      </c>
      <c r="S30" s="13">
        <f>'TUSD BE'!$R$30*'TUSD BE'!$S$62</f>
        <v>0</v>
      </c>
      <c r="T30" s="13">
        <f ca="1">SUM($L$30:$S$30)</f>
        <v>-1.5137203199188891E-2</v>
      </c>
      <c r="U30" s="13">
        <f>'TUSD BE'!$U$30*'TUSD BE'!$U$62</f>
        <v>2.6951838341603649</v>
      </c>
      <c r="V30" s="13">
        <f>'TUSD BE'!$V$30*'TUSD BE'!$V$62</f>
        <v>0.37925103569481988</v>
      </c>
      <c r="W30" s="13">
        <f>'TUSD BE'!$W$30*'TUSD BE'!$W$62</f>
        <v>0</v>
      </c>
      <c r="X30" s="13">
        <f>'TUSD BE'!$X$30*'TUSD BE'!$X$62</f>
        <v>0</v>
      </c>
      <c r="Y30" s="13">
        <f>'TUSD BE'!$Y$30*'TUSD BE'!$Y$62</f>
        <v>0</v>
      </c>
      <c r="Z30" s="13">
        <f>'TUSD BE'!$Z$30*'TUSD BE'!$Z$62</f>
        <v>0</v>
      </c>
      <c r="AA30" s="13">
        <f>'TUSD BE'!$AA$30*'TUSD BE'!$AA$62</f>
        <v>0</v>
      </c>
      <c r="AB30" s="13">
        <f>SUM($U$30:$AA$30)</f>
        <v>3.0744348698551849</v>
      </c>
      <c r="AC30" s="13">
        <f>'TUSD BE'!$AC$30*'TUSD BE'!$AC$62</f>
        <v>-5.1553859776150208</v>
      </c>
      <c r="AD30" s="13">
        <f>SUM($AC$30:$AC$30)</f>
        <v>-5.1553859776150208</v>
      </c>
      <c r="AE30" s="13">
        <f ca="1">$AO$30*$AO$59</f>
        <v>0</v>
      </c>
      <c r="AF30" s="13">
        <f ca="1">$AP$30*$AP$59</f>
        <v>0</v>
      </c>
      <c r="AG30" s="13">
        <f ca="1">SUM($AE$30:$AF$30)</f>
        <v>0</v>
      </c>
      <c r="AH30" s="13">
        <f>'TUSD BE'!$AH$30*'TUSD BE'!$AH$62</f>
        <v>-0.19037187767002636</v>
      </c>
      <c r="AI30" s="13">
        <f>'TUSD BE'!$AI$30*'TUSD BE'!$AI$62</f>
        <v>0</v>
      </c>
      <c r="AJ30" s="13">
        <f ca="1">'TUSD BE'!$AJ$30*'TUSD BE'!$AJ$62</f>
        <v>0</v>
      </c>
      <c r="AK30" s="13">
        <f ca="1">'TUSD BE'!$AK$30*'TUSD BE'!$AK$62</f>
        <v>0</v>
      </c>
      <c r="AL30" s="13">
        <f ca="1">SUM($AH$30:$AK$30)</f>
        <v>-0.19037187767002636</v>
      </c>
      <c r="AM30" s="13">
        <f ca="1">SUMIF($L$4:$AL$4,"SUBTOTAL",$L$30:$AL$30)</f>
        <v>-2.286460188629051</v>
      </c>
      <c r="AO30" s="26">
        <f ca="1">+'TUSD BE'!$T$30+'TUSD BE'!$AB$30+'TUSD BE'!$AD$30+'TUSD BE'!$AL$30</f>
        <v>210.00164694064551</v>
      </c>
      <c r="AP30" s="26">
        <f ca="1">+'TUSD BE'!$T$30+'TUSD BE'!$AB$30+'TUSD BE'!$AD$30+'TUSD BE'!$AL$30</f>
        <v>210.00164694064551</v>
      </c>
    </row>
    <row r="31" spans="1:42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>
        <f>'TUSD BE'!$L$31*'TUSD BE'!$L$62</f>
        <v>0</v>
      </c>
      <c r="M31" s="13">
        <f>'TUSD BE'!$M$31*'TUSD BE'!$M$62</f>
        <v>-1.5137203199188891E-2</v>
      </c>
      <c r="N31" s="13">
        <f ca="1">'TUSD BE'!$N$31*'TUSD BE'!$N$62</f>
        <v>0</v>
      </c>
      <c r="O31" s="13">
        <f>'TUSD BE'!$O$31*'TUSD BE'!$O$62</f>
        <v>0</v>
      </c>
      <c r="P31" s="13">
        <f>'TUSD BE'!$P$31*'TUSD BE'!$P$62</f>
        <v>0</v>
      </c>
      <c r="Q31" s="13">
        <f>'TUSD BE'!$Q$31*'TUSD BE'!$Q$62</f>
        <v>0</v>
      </c>
      <c r="R31" s="13">
        <f>'TUSD BE'!$R$31*'TUSD BE'!$R$62</f>
        <v>0</v>
      </c>
      <c r="S31" s="13">
        <f>'TUSD BE'!$R$31*'TUSD BE'!$S$62</f>
        <v>0</v>
      </c>
      <c r="T31" s="13">
        <f ca="1">SUM($L$31:$S$31)</f>
        <v>-1.5137203199188891E-2</v>
      </c>
      <c r="U31" s="13">
        <f>'TUSD BE'!$U$31*'TUSD BE'!$U$62</f>
        <v>2.6951838341603649</v>
      </c>
      <c r="V31" s="13">
        <f>'TUSD BE'!$V$31*'TUSD BE'!$V$62</f>
        <v>0.37925103569481988</v>
      </c>
      <c r="W31" s="13">
        <f>'TUSD BE'!$W$31*'TUSD BE'!$W$62</f>
        <v>0</v>
      </c>
      <c r="X31" s="13">
        <f>'TUSD BE'!$X$31*'TUSD BE'!$X$62</f>
        <v>0</v>
      </c>
      <c r="Y31" s="13">
        <f>'TUSD BE'!$Y$31*'TUSD BE'!$Y$62</f>
        <v>0</v>
      </c>
      <c r="Z31" s="13">
        <f>'TUSD BE'!$Z$31*'TUSD BE'!$Z$62</f>
        <v>0</v>
      </c>
      <c r="AA31" s="13">
        <f>'TUSD BE'!$AA$31*'TUSD BE'!$AA$62</f>
        <v>0</v>
      </c>
      <c r="AB31" s="13">
        <f>SUM($U$31:$AA$31)</f>
        <v>3.0744348698551849</v>
      </c>
      <c r="AC31" s="13">
        <f>'TUSD BE'!$AC$31*'TUSD BE'!$AC$62</f>
        <v>-5.1553859776150208</v>
      </c>
      <c r="AD31" s="13">
        <f>SUM($AC$31:$AC$31)</f>
        <v>-5.1553859776150208</v>
      </c>
      <c r="AE31" s="13">
        <f ca="1">$AO$31*$AO$59</f>
        <v>0</v>
      </c>
      <c r="AF31" s="13">
        <f ca="1">$AP$31*$AP$59</f>
        <v>0</v>
      </c>
      <c r="AG31" s="13">
        <f ca="1">SUM($AE$31:$AF$31)</f>
        <v>0</v>
      </c>
      <c r="AH31" s="13">
        <f>'TUSD BE'!$AH$31*'TUSD BE'!$AH$62</f>
        <v>-0.19037187767002636</v>
      </c>
      <c r="AI31" s="13">
        <f>'TUSD BE'!$AI$31*'TUSD BE'!$AI$62</f>
        <v>0</v>
      </c>
      <c r="AJ31" s="13">
        <f ca="1">'TUSD BE'!$AJ$31*'TUSD BE'!$AJ$62</f>
        <v>0</v>
      </c>
      <c r="AK31" s="13">
        <f ca="1">'TUSD BE'!$AK$31*'TUSD BE'!$AK$62</f>
        <v>0</v>
      </c>
      <c r="AL31" s="13">
        <f ca="1">SUM($AH$31:$AK$31)</f>
        <v>-0.19037187767002636</v>
      </c>
      <c r="AM31" s="13">
        <f ca="1">SUMIF($L$4:$AL$4,"SUBTOTAL",$L$31:$AL$31)</f>
        <v>-2.286460188629051</v>
      </c>
      <c r="AO31" s="26">
        <f ca="1">+'TUSD BE'!$T$31+'TUSD BE'!$AB$31+'TUSD BE'!$AD$31+'TUSD BE'!$AL$31</f>
        <v>210.00164694064551</v>
      </c>
      <c r="AP31" s="26">
        <f ca="1">+'TUSD BE'!$T$31+'TUSD BE'!$AB$31+'TUSD BE'!$AD$31+'TUSD BE'!$AL$31</f>
        <v>210.00164694064551</v>
      </c>
    </row>
    <row r="32" spans="1:42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>
        <f>'TUSD BE'!$L$32*'TUSD BE'!$L$62</f>
        <v>0</v>
      </c>
      <c r="M32" s="13">
        <f>'TUSD BE'!$M$32*'TUSD BE'!$M$62</f>
        <v>-1.5137203199188891E-2</v>
      </c>
      <c r="N32" s="13">
        <f ca="1">'TUSD BE'!$N$32*'TUSD BE'!$N$62</f>
        <v>0</v>
      </c>
      <c r="O32" s="13">
        <f>'TUSD BE'!$O$32*'TUSD BE'!$O$62</f>
        <v>0</v>
      </c>
      <c r="P32" s="13">
        <f>'TUSD BE'!$P$32*'TUSD BE'!$P$62</f>
        <v>0</v>
      </c>
      <c r="Q32" s="13">
        <f>'TUSD BE'!$Q$32*'TUSD BE'!$Q$62</f>
        <v>0</v>
      </c>
      <c r="R32" s="13">
        <f>'TUSD BE'!$R$32*'TUSD BE'!$R$62</f>
        <v>0</v>
      </c>
      <c r="S32" s="13">
        <f>'TUSD BE'!$R$32*'TUSD BE'!$S$62</f>
        <v>0</v>
      </c>
      <c r="T32" s="13">
        <f ca="1">SUM($L$32:$S$32)</f>
        <v>-1.5137203199188891E-2</v>
      </c>
      <c r="U32" s="13">
        <f>'TUSD BE'!$U$32*'TUSD BE'!$U$62</f>
        <v>2.6951838341603649</v>
      </c>
      <c r="V32" s="13">
        <f>'TUSD BE'!$V$32*'TUSD BE'!$V$62</f>
        <v>0.37925103569481988</v>
      </c>
      <c r="W32" s="13">
        <f>'TUSD BE'!$W$32*'TUSD BE'!$W$62</f>
        <v>0</v>
      </c>
      <c r="X32" s="13">
        <f>'TUSD BE'!$X$32*'TUSD BE'!$X$62</f>
        <v>0</v>
      </c>
      <c r="Y32" s="13">
        <f>'TUSD BE'!$Y$32*'TUSD BE'!$Y$62</f>
        <v>0</v>
      </c>
      <c r="Z32" s="13">
        <f>'TUSD BE'!$Z$32*'TUSD BE'!$Z$62</f>
        <v>0</v>
      </c>
      <c r="AA32" s="13">
        <f>'TUSD BE'!$AA$32*'TUSD BE'!$AA$62</f>
        <v>0</v>
      </c>
      <c r="AB32" s="13">
        <f>SUM($U$32:$AA$32)</f>
        <v>3.0744348698551849</v>
      </c>
      <c r="AC32" s="13">
        <f>'TUSD BE'!$AC$32*'TUSD BE'!$AC$62</f>
        <v>-5.1553859776150208</v>
      </c>
      <c r="AD32" s="13">
        <f>SUM($AC$32:$AC$32)</f>
        <v>-5.1553859776150208</v>
      </c>
      <c r="AE32" s="13">
        <f ca="1">$AO$32*$AO$59</f>
        <v>0</v>
      </c>
      <c r="AF32" s="13">
        <f ca="1">$AP$32*$AP$59</f>
        <v>0</v>
      </c>
      <c r="AG32" s="13">
        <f ca="1">SUM($AE$32:$AF$32)</f>
        <v>0</v>
      </c>
      <c r="AH32" s="13">
        <f>'TUSD BE'!$AH$32*'TUSD BE'!$AH$62</f>
        <v>-0.19037187767002636</v>
      </c>
      <c r="AI32" s="13">
        <f>'TUSD BE'!$AI$32*'TUSD BE'!$AI$62</f>
        <v>0</v>
      </c>
      <c r="AJ32" s="13">
        <f ca="1">'TUSD BE'!$AJ$32*'TUSD BE'!$AJ$62</f>
        <v>0</v>
      </c>
      <c r="AK32" s="13">
        <f ca="1">'TUSD BE'!$AK$32*'TUSD BE'!$AK$62</f>
        <v>0</v>
      </c>
      <c r="AL32" s="13">
        <f ca="1">SUM($AH$32:$AK$32)</f>
        <v>-0.19037187767002636</v>
      </c>
      <c r="AM32" s="13">
        <f ca="1">SUMIF($L$4:$AL$4,"SUBTOTAL",$L$32:$AL$32)</f>
        <v>-2.286460188629051</v>
      </c>
      <c r="AO32" s="26">
        <f ca="1">+'TUSD BE'!$T$32+'TUSD BE'!$AB$32+'TUSD BE'!$AD$32+'TUSD BE'!$AL$32</f>
        <v>210.00164694064551</v>
      </c>
      <c r="AP32" s="26">
        <f ca="1">+'TUSD BE'!$T$32+'TUSD BE'!$AB$32+'TUSD BE'!$AD$32+'TUSD BE'!$AL$32</f>
        <v>210.00164694064551</v>
      </c>
    </row>
    <row r="33" spans="1:42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>
        <f>'TUSD BE'!$L$33*'TUSD BE'!$L$62</f>
        <v>0</v>
      </c>
      <c r="M33" s="13">
        <f>'TUSD BE'!$M$33*'TUSD BE'!$M$62</f>
        <v>-1.5137203199188891E-2</v>
      </c>
      <c r="N33" s="13">
        <f ca="1">'TUSD BE'!$N$33*'TUSD BE'!$N$62</f>
        <v>0</v>
      </c>
      <c r="O33" s="13">
        <f>'TUSD BE'!$O$33*'TUSD BE'!$O$62</f>
        <v>0</v>
      </c>
      <c r="P33" s="13">
        <f>'TUSD BE'!$P$33*'TUSD BE'!$P$62</f>
        <v>0</v>
      </c>
      <c r="Q33" s="13">
        <f>'TUSD BE'!$Q$33*'TUSD BE'!$Q$62</f>
        <v>0</v>
      </c>
      <c r="R33" s="13">
        <f>'TUSD BE'!$R$33*'TUSD BE'!$R$62</f>
        <v>0</v>
      </c>
      <c r="S33" s="13">
        <f>'TUSD BE'!$R$33*'TUSD BE'!$S$62</f>
        <v>0</v>
      </c>
      <c r="T33" s="13">
        <f ca="1">SUM($L$33:$S$33)</f>
        <v>-1.5137203199188891E-2</v>
      </c>
      <c r="U33" s="13">
        <f>'TUSD BE'!$U$33*'TUSD BE'!$U$62</f>
        <v>2.6951838341603649</v>
      </c>
      <c r="V33" s="13">
        <f>'TUSD BE'!$V$33*'TUSD BE'!$V$62</f>
        <v>0.37925103569481988</v>
      </c>
      <c r="W33" s="13">
        <f>'TUSD BE'!$W$33*'TUSD BE'!$W$62</f>
        <v>0</v>
      </c>
      <c r="X33" s="13">
        <f>'TUSD BE'!$X$33*'TUSD BE'!$X$62</f>
        <v>0</v>
      </c>
      <c r="Y33" s="13">
        <f>'TUSD BE'!$Y$33*'TUSD BE'!$Y$62</f>
        <v>0</v>
      </c>
      <c r="Z33" s="13">
        <f>'TUSD BE'!$Z$33*'TUSD BE'!$Z$62</f>
        <v>0</v>
      </c>
      <c r="AA33" s="13">
        <f>'TUSD BE'!$AA$33*'TUSD BE'!$AA$62</f>
        <v>0</v>
      </c>
      <c r="AB33" s="13">
        <f>SUM($U$33:$AA$33)</f>
        <v>3.0744348698551849</v>
      </c>
      <c r="AC33" s="13">
        <f>'TUSD BE'!$AC$33*'TUSD BE'!$AC$62</f>
        <v>-5.1553859776150208</v>
      </c>
      <c r="AD33" s="13">
        <f>SUM($AC$33:$AC$33)</f>
        <v>-5.1553859776150208</v>
      </c>
      <c r="AE33" s="13">
        <f ca="1">$AO$33*$AO$59</f>
        <v>0</v>
      </c>
      <c r="AF33" s="13">
        <f ca="1">$AP$33*$AP$59</f>
        <v>0</v>
      </c>
      <c r="AG33" s="13">
        <f ca="1">SUM($AE$33:$AF$33)</f>
        <v>0</v>
      </c>
      <c r="AH33" s="13">
        <f>'TUSD BE'!$AH$33*'TUSD BE'!$AH$62</f>
        <v>-0.19037187767002636</v>
      </c>
      <c r="AI33" s="13">
        <f>'TUSD BE'!$AI$33*'TUSD BE'!$AI$62</f>
        <v>0</v>
      </c>
      <c r="AJ33" s="13">
        <f ca="1">'TUSD BE'!$AJ$33*'TUSD BE'!$AJ$62</f>
        <v>0</v>
      </c>
      <c r="AK33" s="13">
        <f ca="1">'TUSD BE'!$AK$33*'TUSD BE'!$AK$62</f>
        <v>0</v>
      </c>
      <c r="AL33" s="13">
        <f ca="1">SUM($AH$33:$AK$33)</f>
        <v>-0.19037187767002636</v>
      </c>
      <c r="AM33" s="13">
        <f ca="1">SUMIF($L$4:$AL$4,"SUBTOTAL",$L$33:$AL$33)</f>
        <v>-2.286460188629051</v>
      </c>
      <c r="AO33" s="26">
        <f ca="1">+'TUSD BE'!$T$33+'TUSD BE'!$AB$33+'TUSD BE'!$AD$33+'TUSD BE'!$AL$33</f>
        <v>210.00164694064551</v>
      </c>
      <c r="AP33" s="26">
        <f ca="1">+'TUSD BE'!$T$33+'TUSD BE'!$AB$33+'TUSD BE'!$AD$33+'TUSD BE'!$AL$33</f>
        <v>210.00164694064551</v>
      </c>
    </row>
    <row r="34" spans="1:42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>
        <f>'TUSD BE'!$L$34*'TUSD BE'!$L$62</f>
        <v>-0.44030718794037316</v>
      </c>
      <c r="M34" s="13">
        <f>'TUSD BE'!$M$34*'TUSD BE'!$M$62</f>
        <v>-1.5137203199188891E-2</v>
      </c>
      <c r="N34" s="13">
        <f ca="1">'TUSD BE'!$N$34*'TUSD BE'!$N$62</f>
        <v>0</v>
      </c>
      <c r="O34" s="13">
        <f>'TUSD BE'!$O$34*'TUSD BE'!$O$62</f>
        <v>0</v>
      </c>
      <c r="P34" s="13">
        <f>'TUSD BE'!$P$34*'TUSD BE'!$P$62</f>
        <v>0</v>
      </c>
      <c r="Q34" s="13">
        <f>'TUSD BE'!$Q$34*'TUSD BE'!$Q$62</f>
        <v>-0.84234743887342367</v>
      </c>
      <c r="R34" s="13">
        <f>'TUSD BE'!$R$34*'TUSD BE'!$R$62</f>
        <v>-0.1145844510862013</v>
      </c>
      <c r="S34" s="13">
        <f>'TUSD BE'!$R$34*'TUSD BE'!$S$62</f>
        <v>0</v>
      </c>
      <c r="T34" s="13">
        <f ca="1">SUM($L$34:$S$34)</f>
        <v>-1.4123762810991869</v>
      </c>
      <c r="U34" s="13">
        <f>'TUSD BE'!$U$34*'TUSD BE'!$U$62</f>
        <v>7.9507821362091873</v>
      </c>
      <c r="V34" s="13">
        <f>'TUSD BE'!$V$34*'TUSD BE'!$V$62</f>
        <v>1.1188451080954169</v>
      </c>
      <c r="W34" s="13">
        <f>'TUSD BE'!$W$34*'TUSD BE'!$W$62</f>
        <v>0</v>
      </c>
      <c r="X34" s="13">
        <f>'TUSD BE'!$X$34*'TUSD BE'!$X$62</f>
        <v>0</v>
      </c>
      <c r="Y34" s="13">
        <f>'TUSD BE'!$Y$34*'TUSD BE'!$Y$62</f>
        <v>0</v>
      </c>
      <c r="Z34" s="13">
        <f>'TUSD BE'!$Z$34*'TUSD BE'!$Z$62</f>
        <v>0</v>
      </c>
      <c r="AA34" s="13">
        <f>'TUSD BE'!$AA$34*'TUSD BE'!$AA$62</f>
        <v>0</v>
      </c>
      <c r="AB34" s="13">
        <f>SUM($U$34:$AA$34)</f>
        <v>9.0696272443046038</v>
      </c>
      <c r="AC34" s="13">
        <f>'TUSD BE'!$AC$34*'TUSD BE'!$AC$62</f>
        <v>-15.208388899027895</v>
      </c>
      <c r="AD34" s="13">
        <f>SUM($AC$34:$AC$34)</f>
        <v>-15.208388899027895</v>
      </c>
      <c r="AE34" s="13">
        <f ca="1">$AO$34*$AO$59</f>
        <v>0</v>
      </c>
      <c r="AF34" s="13">
        <f ca="1">$AP$34*$AP$59</f>
        <v>0</v>
      </c>
      <c r="AG34" s="13">
        <f ca="1">SUM($AE$34:$AF$34)</f>
        <v>0</v>
      </c>
      <c r="AH34" s="13">
        <f>'TUSD BE'!$AH$34*'TUSD BE'!$AH$62</f>
        <v>-0.19037187767002636</v>
      </c>
      <c r="AI34" s="13">
        <f>'TUSD BE'!$AI$34*'TUSD BE'!$AI$62</f>
        <v>0</v>
      </c>
      <c r="AJ34" s="13">
        <f ca="1">'TUSD BE'!$AJ$34*'TUSD BE'!$AJ$62</f>
        <v>0</v>
      </c>
      <c r="AK34" s="13">
        <f ca="1">'TUSD BE'!$AK$34*'TUSD BE'!$AK$62</f>
        <v>0</v>
      </c>
      <c r="AL34" s="13">
        <f ca="1">SUM($AH$34:$AK$34)</f>
        <v>-0.19037187767002636</v>
      </c>
      <c r="AM34" s="13">
        <f ca="1">SUMIF($L$4:$AL$4,"SUBTOTAL",$L$34:$AL$34)</f>
        <v>-7.7415098134925042</v>
      </c>
      <c r="AO34" s="26">
        <f ca="1">+'TUSD BE'!$T$34+'TUSD BE'!$AB$34+'TUSD BE'!$AD$34+'TUSD BE'!$AL$34</f>
        <v>731.86701698135892</v>
      </c>
      <c r="AP34" s="26">
        <f ca="1">+'TUSD BE'!$T$34+'TUSD BE'!$AB$34+'TUSD BE'!$AD$34+'TUSD BE'!$AL$34</f>
        <v>731.86701698135892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>
        <f>'TUSD BE'!$L$35*'TUSD BE'!$L$62</f>
        <v>-0.44030718794037316</v>
      </c>
      <c r="M35" s="13">
        <f>'TUSD BE'!$M$35*'TUSD BE'!$M$62</f>
        <v>-1.5137203199188891E-2</v>
      </c>
      <c r="N35" s="13">
        <f ca="1">'TUSD BE'!$N$35*'TUSD BE'!$N$62</f>
        <v>0</v>
      </c>
      <c r="O35" s="13">
        <f>'TUSD BE'!$O$35*'TUSD BE'!$O$62</f>
        <v>0</v>
      </c>
      <c r="P35" s="13">
        <f>'TUSD BE'!$P$35*'TUSD BE'!$P$62</f>
        <v>0</v>
      </c>
      <c r="Q35" s="13">
        <f>'TUSD BE'!$Q$35*'TUSD BE'!$Q$62</f>
        <v>-0.84234743887342367</v>
      </c>
      <c r="R35" s="13">
        <f>'TUSD BE'!$R$35*'TUSD BE'!$R$62</f>
        <v>-0.1145844510862013</v>
      </c>
      <c r="S35" s="13">
        <f>'TUSD BE'!$R$35*'TUSD BE'!$S$62</f>
        <v>0</v>
      </c>
      <c r="T35" s="13">
        <f ca="1">SUM($L$35:$S$35)</f>
        <v>-1.4123762810991869</v>
      </c>
      <c r="U35" s="13">
        <f>'TUSD BE'!$U$35*'TUSD BE'!$U$62</f>
        <v>4.7704605606707489</v>
      </c>
      <c r="V35" s="13">
        <f>'TUSD BE'!$V$35*'TUSD BE'!$V$62</f>
        <v>0.67130488274542222</v>
      </c>
      <c r="W35" s="13">
        <f>'TUSD BE'!$W$35*'TUSD BE'!$W$62</f>
        <v>0</v>
      </c>
      <c r="X35" s="13">
        <f>'TUSD BE'!$X$35*'TUSD BE'!$X$62</f>
        <v>0</v>
      </c>
      <c r="Y35" s="13">
        <f>'TUSD BE'!$Y$35*'TUSD BE'!$Y$62</f>
        <v>0</v>
      </c>
      <c r="Z35" s="13">
        <f>'TUSD BE'!$Z$35*'TUSD BE'!$Z$62</f>
        <v>0</v>
      </c>
      <c r="AA35" s="13">
        <f>'TUSD BE'!$AA$35*'TUSD BE'!$AA$62</f>
        <v>0</v>
      </c>
      <c r="AB35" s="13">
        <f>SUM($U$35:$AA$35)</f>
        <v>5.4417654434161715</v>
      </c>
      <c r="AC35" s="13">
        <f>'TUSD BE'!$AC$35*'TUSD BE'!$AC$62</f>
        <v>-9.1250312189080685</v>
      </c>
      <c r="AD35" s="13">
        <f>SUM($AC$35:$AC$35)</f>
        <v>-9.1250312189080685</v>
      </c>
      <c r="AE35" s="13">
        <f ca="1">$AO$35*$AO$59</f>
        <v>0</v>
      </c>
      <c r="AF35" s="13">
        <f ca="1">$AP$35*$AP$59</f>
        <v>0</v>
      </c>
      <c r="AG35" s="13">
        <f ca="1">SUM($AE$35:$AF$35)</f>
        <v>0</v>
      </c>
      <c r="AH35" s="13">
        <f>'TUSD BE'!$AH$35*'TUSD BE'!$AH$62</f>
        <v>-0.19037187767002636</v>
      </c>
      <c r="AI35" s="13">
        <f>'TUSD BE'!$AI$35*'TUSD BE'!$AI$62</f>
        <v>0</v>
      </c>
      <c r="AJ35" s="13">
        <f ca="1">'TUSD BE'!$AJ$35*'TUSD BE'!$AJ$62</f>
        <v>0</v>
      </c>
      <c r="AK35" s="13">
        <f ca="1">'TUSD BE'!$AK$35*'TUSD BE'!$AK$62</f>
        <v>0</v>
      </c>
      <c r="AL35" s="13">
        <f ca="1">SUM($AH$35:$AK$35)</f>
        <v>-0.19037187767002636</v>
      </c>
      <c r="AM35" s="13">
        <f ca="1">SUMIF($L$4:$AL$4,"SUBTOTAL",$L$35:$AL$35)</f>
        <v>-5.2860139342611099</v>
      </c>
      <c r="AO35" s="26">
        <f ca="1">+'TUSD BE'!$T$35+'TUSD BE'!$AB$35+'TUSD BE'!$AD$35+'TUSD BE'!$AL$35</f>
        <v>499.27463690547552</v>
      </c>
      <c r="AP35" s="26">
        <f ca="1">+'TUSD BE'!$T$35+'TUSD BE'!$AB$35+'TUSD BE'!$AD$35+'TUSD BE'!$AL$35</f>
        <v>499.27463690547552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>
        <f>'TUSD BE'!$L$36*'TUSD BE'!$L$62</f>
        <v>-0.44030718794037316</v>
      </c>
      <c r="M36" s="13">
        <f>'TUSD BE'!$M$36*'TUSD BE'!$M$62</f>
        <v>-1.5137203199188891E-2</v>
      </c>
      <c r="N36" s="13">
        <f ca="1">'TUSD BE'!$N$36*'TUSD BE'!$N$62</f>
        <v>0</v>
      </c>
      <c r="O36" s="13">
        <f>'TUSD BE'!$O$36*'TUSD BE'!$O$62</f>
        <v>0</v>
      </c>
      <c r="P36" s="13">
        <f>'TUSD BE'!$P$36*'TUSD BE'!$P$62</f>
        <v>0</v>
      </c>
      <c r="Q36" s="13">
        <f>'TUSD BE'!$Q$36*'TUSD BE'!$Q$62</f>
        <v>-0.84234743887342367</v>
      </c>
      <c r="R36" s="13">
        <f>'TUSD BE'!$R$36*'TUSD BE'!$R$62</f>
        <v>-0.1145844510862013</v>
      </c>
      <c r="S36" s="13">
        <f>'TUSD BE'!$R$36*'TUSD BE'!$S$62</f>
        <v>0</v>
      </c>
      <c r="T36" s="13">
        <f ca="1">SUM($L$36:$S$36)</f>
        <v>-1.4123762810991869</v>
      </c>
      <c r="U36" s="13">
        <f>'TUSD BE'!$U$36*'TUSD BE'!$U$62</f>
        <v>1.590153520223583</v>
      </c>
      <c r="V36" s="13">
        <f>'TUSD BE'!$V$36*'TUSD BE'!$V$62</f>
        <v>0.22376465739542753</v>
      </c>
      <c r="W36" s="13">
        <f>'TUSD BE'!$W$36*'TUSD BE'!$W$62</f>
        <v>0</v>
      </c>
      <c r="X36" s="13">
        <f>'TUSD BE'!$X$36*'TUSD BE'!$X$62</f>
        <v>0</v>
      </c>
      <c r="Y36" s="13">
        <f>'TUSD BE'!$Y$36*'TUSD BE'!$Y$62</f>
        <v>0</v>
      </c>
      <c r="Z36" s="13">
        <f>'TUSD BE'!$Z$36*'TUSD BE'!$Z$62</f>
        <v>0</v>
      </c>
      <c r="AA36" s="13">
        <f>'TUSD BE'!$AA$36*'TUSD BE'!$AA$62</f>
        <v>0</v>
      </c>
      <c r="AB36" s="13">
        <f>SUM($U$36:$AA$36)</f>
        <v>1.8139181776190105</v>
      </c>
      <c r="AC36" s="13">
        <f>'TUSD BE'!$AC$36*'TUSD BE'!$AC$62</f>
        <v>-3.0416788400599137</v>
      </c>
      <c r="AD36" s="13">
        <f>SUM($AC$36:$AC$36)</f>
        <v>-3.0416788400599137</v>
      </c>
      <c r="AE36" s="13">
        <f ca="1">$AO$36*$AO$59</f>
        <v>0</v>
      </c>
      <c r="AF36" s="13">
        <f ca="1">$AP$36*$AP$59</f>
        <v>0</v>
      </c>
      <c r="AG36" s="13">
        <f ca="1">SUM($AE$36:$AF$36)</f>
        <v>0</v>
      </c>
      <c r="AH36" s="13">
        <f>'TUSD BE'!$AH$36*'TUSD BE'!$AH$62</f>
        <v>-0.19037187767002636</v>
      </c>
      <c r="AI36" s="13">
        <f>'TUSD BE'!$AI$36*'TUSD BE'!$AI$62</f>
        <v>0</v>
      </c>
      <c r="AJ36" s="13">
        <f ca="1">'TUSD BE'!$AJ$36*'TUSD BE'!$AJ$62</f>
        <v>0</v>
      </c>
      <c r="AK36" s="13">
        <f ca="1">'TUSD BE'!$AK$36*'TUSD BE'!$AK$62</f>
        <v>0</v>
      </c>
      <c r="AL36" s="13">
        <f ca="1">SUM($AH$36:$AK$36)</f>
        <v>-0.19037187767002636</v>
      </c>
      <c r="AM36" s="13">
        <f ca="1">SUMIF($L$4:$AL$4,"SUBTOTAL",$L$36:$AL$36)</f>
        <v>-2.8305088212101164</v>
      </c>
      <c r="AO36" s="26">
        <f ca="1">+'TUSD BE'!$T$36+'TUSD BE'!$AB$36+'TUSD BE'!$AD$36+'TUSD BE'!$AL$36</f>
        <v>266.68256826987067</v>
      </c>
      <c r="AP36" s="26">
        <f ca="1">+'TUSD BE'!$T$36+'TUSD BE'!$AB$36+'TUSD BE'!$AD$36+'TUSD BE'!$AL$36</f>
        <v>266.68256826987067</v>
      </c>
    </row>
    <row r="37" spans="1:42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>
        <f>'TUSD BE'!$L$37*'TUSD BE'!$L$62</f>
        <v>-0.44030718794037316</v>
      </c>
      <c r="M37" s="13">
        <f>'TUSD BE'!$M$37*'TUSD BE'!$M$62</f>
        <v>-1.5137203199188891E-2</v>
      </c>
      <c r="N37" s="13">
        <f ca="1">'TUSD BE'!$N$37*'TUSD BE'!$N$62</f>
        <v>0</v>
      </c>
      <c r="O37" s="13">
        <f>'TUSD BE'!$O$37*'TUSD BE'!$O$62</f>
        <v>0</v>
      </c>
      <c r="P37" s="13">
        <f>'TUSD BE'!$P$37*'TUSD BE'!$P$62</f>
        <v>0</v>
      </c>
      <c r="Q37" s="13">
        <f>'TUSD BE'!$Q$37*'TUSD BE'!$Q$62</f>
        <v>-0.84234743887342367</v>
      </c>
      <c r="R37" s="13">
        <f>'TUSD BE'!$R$37*'TUSD BE'!$R$62</f>
        <v>-0.1145844510862013</v>
      </c>
      <c r="S37" s="13">
        <f>'TUSD BE'!$R$37*'TUSD BE'!$S$62</f>
        <v>0</v>
      </c>
      <c r="T37" s="13">
        <f ca="1">SUM($L$37:$S$37)</f>
        <v>-1.4123762810991869</v>
      </c>
      <c r="U37" s="13">
        <f>'TUSD BE'!$U$37*'TUSD BE'!$U$62</f>
        <v>2.6951838341603649</v>
      </c>
      <c r="V37" s="13">
        <f>'TUSD BE'!$V$37*'TUSD BE'!$V$62</f>
        <v>0.37925103569481988</v>
      </c>
      <c r="W37" s="13">
        <f>'TUSD BE'!$W$37*'TUSD BE'!$W$62</f>
        <v>0</v>
      </c>
      <c r="X37" s="13">
        <f>'TUSD BE'!$X$37*'TUSD BE'!$X$62</f>
        <v>0</v>
      </c>
      <c r="Y37" s="13">
        <f>'TUSD BE'!$Y$37*'TUSD BE'!$Y$62</f>
        <v>0</v>
      </c>
      <c r="Z37" s="13">
        <f>'TUSD BE'!$Z$37*'TUSD BE'!$Z$62</f>
        <v>0</v>
      </c>
      <c r="AA37" s="13">
        <f>'TUSD BE'!$AA$37*'TUSD BE'!$AA$62</f>
        <v>0</v>
      </c>
      <c r="AB37" s="13">
        <f>SUM($U$37:$AA$37)</f>
        <v>3.0744348698551849</v>
      </c>
      <c r="AC37" s="13">
        <f>'TUSD BE'!$AC$37*'TUSD BE'!$AC$62</f>
        <v>-5.1553859776150208</v>
      </c>
      <c r="AD37" s="13">
        <f>SUM($AC$37:$AC$37)</f>
        <v>-5.1553859776150208</v>
      </c>
      <c r="AE37" s="13">
        <f ca="1">$AO$37*$AO$59</f>
        <v>0</v>
      </c>
      <c r="AF37" s="13">
        <f ca="1">$AP$37*$AP$59</f>
        <v>0</v>
      </c>
      <c r="AG37" s="13">
        <f ca="1">SUM($AE$37:$AF$37)</f>
        <v>0</v>
      </c>
      <c r="AH37" s="13">
        <f>'TUSD BE'!$AH$37*'TUSD BE'!$AH$62</f>
        <v>-0.19037187767002636</v>
      </c>
      <c r="AI37" s="13">
        <f>'TUSD BE'!$AI$37*'TUSD BE'!$AI$62</f>
        <v>0</v>
      </c>
      <c r="AJ37" s="13">
        <f ca="1">'TUSD BE'!$AJ$37*'TUSD BE'!$AJ$62</f>
        <v>0</v>
      </c>
      <c r="AK37" s="13">
        <f ca="1">'TUSD BE'!$AK$37*'TUSD BE'!$AK$62</f>
        <v>0</v>
      </c>
      <c r="AL37" s="13">
        <f ca="1">SUM($AH$37:$AK$37)</f>
        <v>-0.19037187767002636</v>
      </c>
      <c r="AM37" s="13">
        <f ca="1">SUMIF($L$4:$AL$4,"SUBTOTAL",$L$37:$AL$37)</f>
        <v>-3.6836992665290493</v>
      </c>
      <c r="AO37" s="26">
        <f ca="1">+'TUSD BE'!$T$37+'TUSD BE'!$AB$37+'TUSD BE'!$AD$37+'TUSD BE'!$AL$37</f>
        <v>347.4983928142023</v>
      </c>
      <c r="AP37" s="26">
        <f ca="1">+'TUSD BE'!$T$37+'TUSD BE'!$AB$37+'TUSD BE'!$AD$37+'TUSD BE'!$AL$37</f>
        <v>347.4983928142023</v>
      </c>
    </row>
    <row r="38" spans="1:42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>
        <f>'TUSD BE'!$L$38*'TUSD BE'!$L$62</f>
        <v>-0.44030718794037316</v>
      </c>
      <c r="M38" s="13">
        <f>'TUSD BE'!$M$38*'TUSD BE'!$M$62</f>
        <v>-1.5137203199188891E-2</v>
      </c>
      <c r="N38" s="13">
        <f ca="1">'TUSD BE'!$N$38*'TUSD BE'!$N$62</f>
        <v>0</v>
      </c>
      <c r="O38" s="13">
        <f>'TUSD BE'!$O$38*'TUSD BE'!$O$62</f>
        <v>0</v>
      </c>
      <c r="P38" s="13">
        <f>'TUSD BE'!$P$38*'TUSD BE'!$P$62</f>
        <v>0</v>
      </c>
      <c r="Q38" s="13">
        <f>'TUSD BE'!$Q$38*'TUSD BE'!$Q$62</f>
        <v>-0.84234743887342367</v>
      </c>
      <c r="R38" s="13">
        <f>'TUSD BE'!$R$38*'TUSD BE'!$R$62</f>
        <v>-0.1145844510862013</v>
      </c>
      <c r="S38" s="13">
        <f>'TUSD BE'!$R$38*'TUSD BE'!$S$62</f>
        <v>0</v>
      </c>
      <c r="T38" s="13">
        <f ca="1">SUM($L$38:$S$38)</f>
        <v>-1.4123762810991869</v>
      </c>
      <c r="U38" s="13">
        <f>'TUSD BE'!$U$38*'TUSD BE'!$U$62</f>
        <v>7.9507821362091873</v>
      </c>
      <c r="V38" s="13">
        <f>'TUSD BE'!$V$38*'TUSD BE'!$V$62</f>
        <v>1.1188451080954169</v>
      </c>
      <c r="W38" s="13">
        <f>'TUSD BE'!$W$38*'TUSD BE'!$W$62</f>
        <v>0</v>
      </c>
      <c r="X38" s="13">
        <f>'TUSD BE'!$X$38*'TUSD BE'!$X$62</f>
        <v>0</v>
      </c>
      <c r="Y38" s="13">
        <f>'TUSD BE'!$Y$38*'TUSD BE'!$Y$62</f>
        <v>0</v>
      </c>
      <c r="Z38" s="13">
        <f>'TUSD BE'!$Z$38*'TUSD BE'!$Z$62</f>
        <v>0</v>
      </c>
      <c r="AA38" s="13">
        <f>'TUSD BE'!$AA$38*'TUSD BE'!$AA$62</f>
        <v>0</v>
      </c>
      <c r="AB38" s="13">
        <f>SUM($U$38:$AA$38)</f>
        <v>9.0696272443046038</v>
      </c>
      <c r="AC38" s="13">
        <f>'TUSD BE'!$AC$38*'TUSD BE'!$AC$62</f>
        <v>-15.208388899027895</v>
      </c>
      <c r="AD38" s="13">
        <f>SUM($AC$38:$AC$38)</f>
        <v>-15.208388899027895</v>
      </c>
      <c r="AE38" s="13">
        <f ca="1">$AO$38*$AO$59</f>
        <v>0</v>
      </c>
      <c r="AF38" s="13">
        <f ca="1">$AP$38*$AP$59</f>
        <v>0</v>
      </c>
      <c r="AG38" s="13">
        <f ca="1">SUM($AE$38:$AF$38)</f>
        <v>0</v>
      </c>
      <c r="AH38" s="13">
        <f>'TUSD BE'!$AH$38*'TUSD BE'!$AH$62</f>
        <v>-0.19037187767002636</v>
      </c>
      <c r="AI38" s="13">
        <f>'TUSD BE'!$AI$38*'TUSD BE'!$AI$62</f>
        <v>0</v>
      </c>
      <c r="AJ38" s="13">
        <f ca="1">'TUSD BE'!$AJ$38*'TUSD BE'!$AJ$62</f>
        <v>0</v>
      </c>
      <c r="AK38" s="13">
        <f ca="1">'TUSD BE'!$AK$38*'TUSD BE'!$AK$62</f>
        <v>0</v>
      </c>
      <c r="AL38" s="13">
        <f ca="1">SUM($AH$38:$AK$38)</f>
        <v>-0.19037187767002636</v>
      </c>
      <c r="AM38" s="13">
        <f ca="1">SUMIF($L$4:$AL$4,"SUBTOTAL",$L$38:$AL$38)</f>
        <v>-7.7415098134925042</v>
      </c>
      <c r="AO38" s="26">
        <f ca="1">+'TUSD BE'!$T$38+'TUSD BE'!$AB$38+'TUSD BE'!$AD$38+'TUSD BE'!$AL$38</f>
        <v>731.86701698135892</v>
      </c>
      <c r="AP38" s="26">
        <f ca="1">+'TUSD BE'!$T$38+'TUSD BE'!$AB$38+'TUSD BE'!$AD$38+'TUSD BE'!$AL$38</f>
        <v>731.86701698135892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>
        <f>'TUSD BE'!$L$39*'TUSD BE'!$L$62</f>
        <v>-0.44030718794037316</v>
      </c>
      <c r="M39" s="13">
        <f>'TUSD BE'!$M$39*'TUSD BE'!$M$62</f>
        <v>-1.5137203199188891E-2</v>
      </c>
      <c r="N39" s="13">
        <f ca="1">'TUSD BE'!$N$39*'TUSD BE'!$N$62</f>
        <v>0</v>
      </c>
      <c r="O39" s="13">
        <f>'TUSD BE'!$O$39*'TUSD BE'!$O$62</f>
        <v>0</v>
      </c>
      <c r="P39" s="13">
        <f>'TUSD BE'!$P$39*'TUSD BE'!$P$62</f>
        <v>0</v>
      </c>
      <c r="Q39" s="13">
        <f>'TUSD BE'!$Q$39*'TUSD BE'!$Q$62</f>
        <v>-0.84234743887342367</v>
      </c>
      <c r="R39" s="13">
        <f>'TUSD BE'!$R$39*'TUSD BE'!$R$62</f>
        <v>-0.1145844510862013</v>
      </c>
      <c r="S39" s="13">
        <f>'TUSD BE'!$R$39*'TUSD BE'!$S$62</f>
        <v>0</v>
      </c>
      <c r="T39" s="13">
        <f ca="1">SUM($L$39:$S$39)</f>
        <v>-1.4123762810991869</v>
      </c>
      <c r="U39" s="13">
        <f>'TUSD BE'!$U$39*'TUSD BE'!$U$62</f>
        <v>4.7704605606707489</v>
      </c>
      <c r="V39" s="13">
        <f>'TUSD BE'!$V$39*'TUSD BE'!$V$62</f>
        <v>0.67130488274542222</v>
      </c>
      <c r="W39" s="13">
        <f>'TUSD BE'!$W$39*'TUSD BE'!$W$62</f>
        <v>0</v>
      </c>
      <c r="X39" s="13">
        <f>'TUSD BE'!$X$39*'TUSD BE'!$X$62</f>
        <v>0</v>
      </c>
      <c r="Y39" s="13">
        <f>'TUSD BE'!$Y$39*'TUSD BE'!$Y$62</f>
        <v>0</v>
      </c>
      <c r="Z39" s="13">
        <f>'TUSD BE'!$Z$39*'TUSD BE'!$Z$62</f>
        <v>0</v>
      </c>
      <c r="AA39" s="13">
        <f>'TUSD BE'!$AA$39*'TUSD BE'!$AA$62</f>
        <v>0</v>
      </c>
      <c r="AB39" s="13">
        <f>SUM($U$39:$AA$39)</f>
        <v>5.4417654434161715</v>
      </c>
      <c r="AC39" s="13">
        <f>'TUSD BE'!$AC$39*'TUSD BE'!$AC$62</f>
        <v>-9.1250312189080685</v>
      </c>
      <c r="AD39" s="13">
        <f>SUM($AC$39:$AC$39)</f>
        <v>-9.1250312189080685</v>
      </c>
      <c r="AE39" s="13">
        <f ca="1">$AO$39*$AO$59</f>
        <v>0</v>
      </c>
      <c r="AF39" s="13">
        <f ca="1">$AP$39*$AP$59</f>
        <v>0</v>
      </c>
      <c r="AG39" s="13">
        <f ca="1">SUM($AE$39:$AF$39)</f>
        <v>0</v>
      </c>
      <c r="AH39" s="13">
        <f>'TUSD BE'!$AH$39*'TUSD BE'!$AH$62</f>
        <v>-0.19037187767002636</v>
      </c>
      <c r="AI39" s="13">
        <f>'TUSD BE'!$AI$39*'TUSD BE'!$AI$62</f>
        <v>0</v>
      </c>
      <c r="AJ39" s="13">
        <f ca="1">'TUSD BE'!$AJ$39*'TUSD BE'!$AJ$62</f>
        <v>0</v>
      </c>
      <c r="AK39" s="13">
        <f ca="1">'TUSD BE'!$AK$39*'TUSD BE'!$AK$62</f>
        <v>0</v>
      </c>
      <c r="AL39" s="13">
        <f ca="1">SUM($AH$39:$AK$39)</f>
        <v>-0.19037187767002636</v>
      </c>
      <c r="AM39" s="13">
        <f ca="1">SUMIF($L$4:$AL$4,"SUBTOTAL",$L$39:$AL$39)</f>
        <v>-5.2860139342611099</v>
      </c>
      <c r="AO39" s="26">
        <f ca="1">+'TUSD BE'!$T$39+'TUSD BE'!$AB$39+'TUSD BE'!$AD$39+'TUSD BE'!$AL$39</f>
        <v>499.27463690547552</v>
      </c>
      <c r="AP39" s="26">
        <f ca="1">+'TUSD BE'!$T$39+'TUSD BE'!$AB$39+'TUSD BE'!$AD$39+'TUSD BE'!$AL$39</f>
        <v>499.27463690547552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>
        <f>'TUSD BE'!$L$40*'TUSD BE'!$L$62</f>
        <v>-0.44030718794037316</v>
      </c>
      <c r="M40" s="13">
        <f>'TUSD BE'!$M$40*'TUSD BE'!$M$62</f>
        <v>-1.5137203199188891E-2</v>
      </c>
      <c r="N40" s="13">
        <f ca="1">'TUSD BE'!$N$40*'TUSD BE'!$N$62</f>
        <v>0</v>
      </c>
      <c r="O40" s="13">
        <f>'TUSD BE'!$O$40*'TUSD BE'!$O$62</f>
        <v>0</v>
      </c>
      <c r="P40" s="13">
        <f>'TUSD BE'!$P$40*'TUSD BE'!$P$62</f>
        <v>0</v>
      </c>
      <c r="Q40" s="13">
        <f>'TUSD BE'!$Q$40*'TUSD BE'!$Q$62</f>
        <v>-0.84234743887342367</v>
      </c>
      <c r="R40" s="13">
        <f>'TUSD BE'!$R$40*'TUSD BE'!$R$62</f>
        <v>-0.1145844510862013</v>
      </c>
      <c r="S40" s="13">
        <f>'TUSD BE'!$R$40*'TUSD BE'!$S$62</f>
        <v>0</v>
      </c>
      <c r="T40" s="13">
        <f ca="1">SUM($L$40:$S$40)</f>
        <v>-1.4123762810991869</v>
      </c>
      <c r="U40" s="13">
        <f>'TUSD BE'!$U$40*'TUSD BE'!$U$62</f>
        <v>1.590153520223583</v>
      </c>
      <c r="V40" s="13">
        <f>'TUSD BE'!$V$40*'TUSD BE'!$V$62</f>
        <v>0.22376465739542753</v>
      </c>
      <c r="W40" s="13">
        <f>'TUSD BE'!$W$40*'TUSD BE'!$W$62</f>
        <v>0</v>
      </c>
      <c r="X40" s="13">
        <f>'TUSD BE'!$X$40*'TUSD BE'!$X$62</f>
        <v>0</v>
      </c>
      <c r="Y40" s="13">
        <f>'TUSD BE'!$Y$40*'TUSD BE'!$Y$62</f>
        <v>0</v>
      </c>
      <c r="Z40" s="13">
        <f>'TUSD BE'!$Z$40*'TUSD BE'!$Z$62</f>
        <v>0</v>
      </c>
      <c r="AA40" s="13">
        <f>'TUSD BE'!$AA$40*'TUSD BE'!$AA$62</f>
        <v>0</v>
      </c>
      <c r="AB40" s="13">
        <f>SUM($U$40:$AA$40)</f>
        <v>1.8139181776190105</v>
      </c>
      <c r="AC40" s="13">
        <f>'TUSD BE'!$AC$40*'TUSD BE'!$AC$62</f>
        <v>-3.0416788400599137</v>
      </c>
      <c r="AD40" s="13">
        <f>SUM($AC$40:$AC$40)</f>
        <v>-3.0416788400599137</v>
      </c>
      <c r="AE40" s="13">
        <f ca="1">$AO$40*$AO$59</f>
        <v>0</v>
      </c>
      <c r="AF40" s="13">
        <f ca="1">$AP$40*$AP$59</f>
        <v>0</v>
      </c>
      <c r="AG40" s="13">
        <f ca="1">SUM($AE$40:$AF$40)</f>
        <v>0</v>
      </c>
      <c r="AH40" s="13">
        <f>'TUSD BE'!$AH$40*'TUSD BE'!$AH$62</f>
        <v>-0.19037187767002636</v>
      </c>
      <c r="AI40" s="13">
        <f>'TUSD BE'!$AI$40*'TUSD BE'!$AI$62</f>
        <v>0</v>
      </c>
      <c r="AJ40" s="13">
        <f ca="1">'TUSD BE'!$AJ$40*'TUSD BE'!$AJ$62</f>
        <v>0</v>
      </c>
      <c r="AK40" s="13">
        <f ca="1">'TUSD BE'!$AK$40*'TUSD BE'!$AK$62</f>
        <v>0</v>
      </c>
      <c r="AL40" s="13">
        <f ca="1">SUM($AH$40:$AK$40)</f>
        <v>-0.19037187767002636</v>
      </c>
      <c r="AM40" s="13">
        <f ca="1">SUMIF($L$4:$AL$4,"SUBTOTAL",$L$40:$AL$40)</f>
        <v>-2.8305088212101164</v>
      </c>
      <c r="AO40" s="26">
        <f ca="1">+'TUSD BE'!$T$40+'TUSD BE'!$AB$40+'TUSD BE'!$AD$40+'TUSD BE'!$AL$40</f>
        <v>266.68256826987067</v>
      </c>
      <c r="AP40" s="26">
        <f ca="1">+'TUSD BE'!$T$40+'TUSD BE'!$AB$40+'TUSD BE'!$AD$40+'TUSD BE'!$AL$40</f>
        <v>266.68256826987067</v>
      </c>
    </row>
    <row r="41" spans="1:42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>
        <f>'TUSD BE'!$L$41*'TUSD BE'!$L$62</f>
        <v>-0.44030718794037316</v>
      </c>
      <c r="M41" s="13">
        <f>'TUSD BE'!$M$41*'TUSD BE'!$M$62</f>
        <v>-1.5137203199188891E-2</v>
      </c>
      <c r="N41" s="13">
        <f ca="1">'TUSD BE'!$N$41*'TUSD BE'!$N$62</f>
        <v>0</v>
      </c>
      <c r="O41" s="13">
        <f>'TUSD BE'!$O$41*'TUSD BE'!$O$62</f>
        <v>0</v>
      </c>
      <c r="P41" s="13">
        <f>'TUSD BE'!$P$41*'TUSD BE'!$P$62</f>
        <v>0</v>
      </c>
      <c r="Q41" s="13">
        <f>'TUSD BE'!$Q$41*'TUSD BE'!$Q$62</f>
        <v>-0.84234743887342367</v>
      </c>
      <c r="R41" s="13">
        <f>'TUSD BE'!$R$41*'TUSD BE'!$R$62</f>
        <v>-0.1145844510862013</v>
      </c>
      <c r="S41" s="13">
        <f>'TUSD BE'!$R$41*'TUSD BE'!$S$62</f>
        <v>0</v>
      </c>
      <c r="T41" s="13">
        <f ca="1">SUM($L$41:$S$41)</f>
        <v>-1.4123762810991869</v>
      </c>
      <c r="U41" s="13">
        <f>'TUSD BE'!$U$41*'TUSD BE'!$U$62</f>
        <v>2.6951838341603649</v>
      </c>
      <c r="V41" s="13">
        <f>'TUSD BE'!$V$41*'TUSD BE'!$V$62</f>
        <v>0.37925103569481988</v>
      </c>
      <c r="W41" s="13">
        <f>'TUSD BE'!$W$41*'TUSD BE'!$W$62</f>
        <v>0</v>
      </c>
      <c r="X41" s="13">
        <f>'TUSD BE'!$X$41*'TUSD BE'!$X$62</f>
        <v>0</v>
      </c>
      <c r="Y41" s="13">
        <f>'TUSD BE'!$Y$41*'TUSD BE'!$Y$62</f>
        <v>0</v>
      </c>
      <c r="Z41" s="13">
        <f>'TUSD BE'!$Z$41*'TUSD BE'!$Z$62</f>
        <v>0</v>
      </c>
      <c r="AA41" s="13">
        <f>'TUSD BE'!$AA$41*'TUSD BE'!$AA$62</f>
        <v>0</v>
      </c>
      <c r="AB41" s="13">
        <f>SUM($U$41:$AA$41)</f>
        <v>3.0744348698551849</v>
      </c>
      <c r="AC41" s="13">
        <f>'TUSD BE'!$AC$41*'TUSD BE'!$AC$62</f>
        <v>-5.1553859776150208</v>
      </c>
      <c r="AD41" s="13">
        <f>SUM($AC$41:$AC$41)</f>
        <v>-5.1553859776150208</v>
      </c>
      <c r="AE41" s="13">
        <f ca="1">$AO$41*$AO$59</f>
        <v>0</v>
      </c>
      <c r="AF41" s="13">
        <f ca="1">$AP$41*$AP$59</f>
        <v>0</v>
      </c>
      <c r="AG41" s="13">
        <f ca="1">SUM($AE$41:$AF$41)</f>
        <v>0</v>
      </c>
      <c r="AH41" s="13">
        <f>'TUSD BE'!$AH$41*'TUSD BE'!$AH$62</f>
        <v>-0.19037187767002636</v>
      </c>
      <c r="AI41" s="13">
        <f>'TUSD BE'!$AI$41*'TUSD BE'!$AI$62</f>
        <v>0</v>
      </c>
      <c r="AJ41" s="13">
        <f ca="1">'TUSD BE'!$AJ$41*'TUSD BE'!$AJ$62</f>
        <v>0</v>
      </c>
      <c r="AK41" s="13">
        <f ca="1">'TUSD BE'!$AK$41*'TUSD BE'!$AK$62</f>
        <v>0</v>
      </c>
      <c r="AL41" s="13">
        <f ca="1">SUM($AH$41:$AK$41)</f>
        <v>-0.19037187767002636</v>
      </c>
      <c r="AM41" s="13">
        <f ca="1">SUMIF($L$4:$AL$4,"SUBTOTAL",$L$41:$AL$41)</f>
        <v>-3.6836992665290493</v>
      </c>
      <c r="AO41" s="26">
        <f ca="1">+'TUSD BE'!$T$41+'TUSD BE'!$AB$41+'TUSD BE'!$AD$41+'TUSD BE'!$AL$41</f>
        <v>347.4983928142023</v>
      </c>
      <c r="AP41" s="26">
        <f ca="1">+'TUSD BE'!$T$41+'TUSD BE'!$AB$41+'TUSD BE'!$AD$41+'TUSD BE'!$AL$41</f>
        <v>347.4983928142023</v>
      </c>
    </row>
    <row r="42" spans="1:42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>
        <f>'TUSD BE'!$L$42*'TUSD BE'!$L$62</f>
        <v>-0.44030718794037316</v>
      </c>
      <c r="M42" s="13">
        <f>'TUSD BE'!$M$42*'TUSD BE'!$M$62</f>
        <v>-1.5137203199188891E-2</v>
      </c>
      <c r="N42" s="13">
        <f ca="1">'TUSD BE'!$N$42*'TUSD BE'!$N$62</f>
        <v>0</v>
      </c>
      <c r="O42" s="13">
        <f>'TUSD BE'!$O$42*'TUSD BE'!$O$62</f>
        <v>0</v>
      </c>
      <c r="P42" s="13">
        <f>'TUSD BE'!$P$42*'TUSD BE'!$P$62</f>
        <v>0</v>
      </c>
      <c r="Q42" s="13">
        <f>'TUSD BE'!$Q$42*'TUSD BE'!$Q$62</f>
        <v>-0.84234743887342367</v>
      </c>
      <c r="R42" s="13">
        <f>'TUSD BE'!$R$42*'TUSD BE'!$R$62</f>
        <v>-0.1145844510862013</v>
      </c>
      <c r="S42" s="13">
        <f>'TUSD BE'!$R$42*'TUSD BE'!$S$62</f>
        <v>0</v>
      </c>
      <c r="T42" s="13">
        <f ca="1">SUM($L$42:$S$42)</f>
        <v>-1.4123762810991869</v>
      </c>
      <c r="U42" s="13">
        <f>'TUSD BE'!$U$42*'TUSD BE'!$U$62</f>
        <v>7.9507821362091873</v>
      </c>
      <c r="V42" s="13">
        <f>'TUSD BE'!$V$42*'TUSD BE'!$V$62</f>
        <v>1.1188451080954169</v>
      </c>
      <c r="W42" s="13">
        <f>'TUSD BE'!$W$42*'TUSD BE'!$W$62</f>
        <v>0</v>
      </c>
      <c r="X42" s="13">
        <f>'TUSD BE'!$X$42*'TUSD BE'!$X$62</f>
        <v>0</v>
      </c>
      <c r="Y42" s="13">
        <f>'TUSD BE'!$Y$42*'TUSD BE'!$Y$62</f>
        <v>0</v>
      </c>
      <c r="Z42" s="13">
        <f>'TUSD BE'!$Z$42*'TUSD BE'!$Z$62</f>
        <v>0</v>
      </c>
      <c r="AA42" s="13">
        <f>'TUSD BE'!$AA$42*'TUSD BE'!$AA$62</f>
        <v>0</v>
      </c>
      <c r="AB42" s="13">
        <f>SUM($U$42:$AA$42)</f>
        <v>9.0696272443046038</v>
      </c>
      <c r="AC42" s="13">
        <f>'TUSD BE'!$AC$42*'TUSD BE'!$AC$62</f>
        <v>-15.208388899027895</v>
      </c>
      <c r="AD42" s="13">
        <f>SUM($AC$42:$AC$42)</f>
        <v>-15.208388899027895</v>
      </c>
      <c r="AE42" s="13">
        <f ca="1">$AO$42*$AO$59</f>
        <v>0</v>
      </c>
      <c r="AF42" s="13">
        <f ca="1">$AP$42*$AP$59</f>
        <v>0</v>
      </c>
      <c r="AG42" s="13">
        <f ca="1">SUM($AE$42:$AF$42)</f>
        <v>0</v>
      </c>
      <c r="AH42" s="13">
        <f>'TUSD BE'!$AH$42*'TUSD BE'!$AH$62</f>
        <v>-0.19037187767002636</v>
      </c>
      <c r="AI42" s="13">
        <f>'TUSD BE'!$AI$42*'TUSD BE'!$AI$62</f>
        <v>0</v>
      </c>
      <c r="AJ42" s="13">
        <f ca="1">'TUSD BE'!$AJ$42*'TUSD BE'!$AJ$62</f>
        <v>0</v>
      </c>
      <c r="AK42" s="13">
        <f ca="1">'TUSD BE'!$AK$42*'TUSD BE'!$AK$62</f>
        <v>0</v>
      </c>
      <c r="AL42" s="13">
        <f ca="1">SUM($AH$42:$AK$42)</f>
        <v>-0.19037187767002636</v>
      </c>
      <c r="AM42" s="13">
        <f ca="1">SUMIF($L$4:$AL$4,"SUBTOTAL",$L$42:$AL$42)</f>
        <v>-7.7415098134925042</v>
      </c>
      <c r="AO42" s="26">
        <f ca="1">+'TUSD BE'!$T$42+'TUSD BE'!$AB$42+'TUSD BE'!$AD$42+'TUSD BE'!$AL$42</f>
        <v>731.86701698135892</v>
      </c>
      <c r="AP42" s="26">
        <f ca="1">+'TUSD BE'!$T$42+'TUSD BE'!$AB$42+'TUSD BE'!$AD$42+'TUSD BE'!$AL$42</f>
        <v>731.86701698135892</v>
      </c>
    </row>
    <row r="43" spans="1:42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>
        <f>'TUSD BE'!$L$43*'TUSD BE'!$L$62</f>
        <v>-0.44030718794037316</v>
      </c>
      <c r="M43" s="13">
        <f>'TUSD BE'!$M$43*'TUSD BE'!$M$62</f>
        <v>-1.5137203199188891E-2</v>
      </c>
      <c r="N43" s="13">
        <f ca="1">'TUSD BE'!$N$43*'TUSD BE'!$N$62</f>
        <v>0</v>
      </c>
      <c r="O43" s="13">
        <f>'TUSD BE'!$O$43*'TUSD BE'!$O$62</f>
        <v>0</v>
      </c>
      <c r="P43" s="13">
        <f>'TUSD BE'!$P$43*'TUSD BE'!$P$62</f>
        <v>0</v>
      </c>
      <c r="Q43" s="13">
        <f>'TUSD BE'!$Q$43*'TUSD BE'!$Q$62</f>
        <v>-0.84234743887342367</v>
      </c>
      <c r="R43" s="13">
        <f>'TUSD BE'!$R$43*'TUSD BE'!$R$62</f>
        <v>-0.1145844510862013</v>
      </c>
      <c r="S43" s="13">
        <f>'TUSD BE'!$R$43*'TUSD BE'!$S$62</f>
        <v>0</v>
      </c>
      <c r="T43" s="13">
        <f ca="1">SUM($L$43:$S$43)</f>
        <v>-1.4123762810991869</v>
      </c>
      <c r="U43" s="13">
        <f>'TUSD BE'!$U$43*'TUSD BE'!$U$62</f>
        <v>4.7704605606707489</v>
      </c>
      <c r="V43" s="13">
        <f>'TUSD BE'!$V$43*'TUSD BE'!$V$62</f>
        <v>0.67130488274542222</v>
      </c>
      <c r="W43" s="13">
        <f>'TUSD BE'!$W$43*'TUSD BE'!$W$62</f>
        <v>0</v>
      </c>
      <c r="X43" s="13">
        <f>'TUSD BE'!$X$43*'TUSD BE'!$X$62</f>
        <v>0</v>
      </c>
      <c r="Y43" s="13">
        <f>'TUSD BE'!$Y$43*'TUSD BE'!$Y$62</f>
        <v>0</v>
      </c>
      <c r="Z43" s="13">
        <f>'TUSD BE'!$Z$43*'TUSD BE'!$Z$62</f>
        <v>0</v>
      </c>
      <c r="AA43" s="13">
        <f>'TUSD BE'!$AA$43*'TUSD BE'!$AA$62</f>
        <v>0</v>
      </c>
      <c r="AB43" s="13">
        <f>SUM($U$43:$AA$43)</f>
        <v>5.4417654434161715</v>
      </c>
      <c r="AC43" s="13">
        <f>'TUSD BE'!$AC$43*'TUSD BE'!$AC$62</f>
        <v>-9.1250312189080685</v>
      </c>
      <c r="AD43" s="13">
        <f>SUM($AC$43:$AC$43)</f>
        <v>-9.1250312189080685</v>
      </c>
      <c r="AE43" s="13">
        <f ca="1">$AO$43*$AO$59</f>
        <v>0</v>
      </c>
      <c r="AF43" s="13">
        <f ca="1">$AP$43*$AP$59</f>
        <v>0</v>
      </c>
      <c r="AG43" s="13">
        <f ca="1">SUM($AE$43:$AF$43)</f>
        <v>0</v>
      </c>
      <c r="AH43" s="13">
        <f>'TUSD BE'!$AH$43*'TUSD BE'!$AH$62</f>
        <v>-0.19037187767002636</v>
      </c>
      <c r="AI43" s="13">
        <f>'TUSD BE'!$AI$43*'TUSD BE'!$AI$62</f>
        <v>0</v>
      </c>
      <c r="AJ43" s="13">
        <f ca="1">'TUSD BE'!$AJ$43*'TUSD BE'!$AJ$62</f>
        <v>0</v>
      </c>
      <c r="AK43" s="13">
        <f ca="1">'TUSD BE'!$AK$43*'TUSD BE'!$AK$62</f>
        <v>0</v>
      </c>
      <c r="AL43" s="13">
        <f ca="1">SUM($AH$43:$AK$43)</f>
        <v>-0.19037187767002636</v>
      </c>
      <c r="AM43" s="13">
        <f ca="1">SUMIF($L$4:$AL$4,"SUBTOTAL",$L$43:$AL$43)</f>
        <v>-5.2860139342611099</v>
      </c>
      <c r="AO43" s="26">
        <f ca="1">+'TUSD BE'!$T$43+'TUSD BE'!$AB$43+'TUSD BE'!$AD$43+'TUSD BE'!$AL$43</f>
        <v>499.27463690547552</v>
      </c>
      <c r="AP43" s="26">
        <f ca="1">+'TUSD BE'!$T$43+'TUSD BE'!$AB$43+'TUSD BE'!$AD$43+'TUSD BE'!$AL$43</f>
        <v>499.27463690547552</v>
      </c>
    </row>
    <row r="44" spans="1:42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>
        <f>'TUSD BE'!$L$44*'TUSD BE'!$L$62</f>
        <v>-0.44030718794037316</v>
      </c>
      <c r="M44" s="13">
        <f>'TUSD BE'!$M$44*'TUSD BE'!$M$62</f>
        <v>-1.5137203199188891E-2</v>
      </c>
      <c r="N44" s="13">
        <f ca="1">'TUSD BE'!$N$44*'TUSD BE'!$N$62</f>
        <v>0</v>
      </c>
      <c r="O44" s="13">
        <f>'TUSD BE'!$O$44*'TUSD BE'!$O$62</f>
        <v>0</v>
      </c>
      <c r="P44" s="13">
        <f>'TUSD BE'!$P$44*'TUSD BE'!$P$62</f>
        <v>0</v>
      </c>
      <c r="Q44" s="13">
        <f>'TUSD BE'!$Q$44*'TUSD BE'!$Q$62</f>
        <v>-0.84234743887342367</v>
      </c>
      <c r="R44" s="13">
        <f>'TUSD BE'!$R$44*'TUSD BE'!$R$62</f>
        <v>-0.1145844510862013</v>
      </c>
      <c r="S44" s="13">
        <f>'TUSD BE'!$R$44*'TUSD BE'!$S$62</f>
        <v>0</v>
      </c>
      <c r="T44" s="13">
        <f ca="1">SUM($L$44:$S$44)</f>
        <v>-1.4123762810991869</v>
      </c>
      <c r="U44" s="13">
        <f>'TUSD BE'!$U$44*'TUSD BE'!$U$62</f>
        <v>1.590153520223583</v>
      </c>
      <c r="V44" s="13">
        <f>'TUSD BE'!$V$44*'TUSD BE'!$V$62</f>
        <v>0.22376465739542753</v>
      </c>
      <c r="W44" s="13">
        <f>'TUSD BE'!$W$44*'TUSD BE'!$W$62</f>
        <v>0</v>
      </c>
      <c r="X44" s="13">
        <f>'TUSD BE'!$X$44*'TUSD BE'!$X$62</f>
        <v>0</v>
      </c>
      <c r="Y44" s="13">
        <f>'TUSD BE'!$Y$44*'TUSD BE'!$Y$62</f>
        <v>0</v>
      </c>
      <c r="Z44" s="13">
        <f>'TUSD BE'!$Z$44*'TUSD BE'!$Z$62</f>
        <v>0</v>
      </c>
      <c r="AA44" s="13">
        <f>'TUSD BE'!$AA$44*'TUSD BE'!$AA$62</f>
        <v>0</v>
      </c>
      <c r="AB44" s="13">
        <f>SUM($U$44:$AA$44)</f>
        <v>1.8139181776190105</v>
      </c>
      <c r="AC44" s="13">
        <f>'TUSD BE'!$AC$44*'TUSD BE'!$AC$62</f>
        <v>-3.0416788400599137</v>
      </c>
      <c r="AD44" s="13">
        <f>SUM($AC$44:$AC$44)</f>
        <v>-3.0416788400599137</v>
      </c>
      <c r="AE44" s="13">
        <f ca="1">$AO$44*$AO$59</f>
        <v>0</v>
      </c>
      <c r="AF44" s="13">
        <f ca="1">$AP$44*$AP$59</f>
        <v>0</v>
      </c>
      <c r="AG44" s="13">
        <f ca="1">SUM($AE$44:$AF$44)</f>
        <v>0</v>
      </c>
      <c r="AH44" s="13">
        <f>'TUSD BE'!$AH$44*'TUSD BE'!$AH$62</f>
        <v>-0.19037187767002636</v>
      </c>
      <c r="AI44" s="13">
        <f>'TUSD BE'!$AI$44*'TUSD BE'!$AI$62</f>
        <v>0</v>
      </c>
      <c r="AJ44" s="13">
        <f ca="1">'TUSD BE'!$AJ$44*'TUSD BE'!$AJ$62</f>
        <v>0</v>
      </c>
      <c r="AK44" s="13">
        <f ca="1">'TUSD BE'!$AK$44*'TUSD BE'!$AK$62</f>
        <v>0</v>
      </c>
      <c r="AL44" s="13">
        <f ca="1">SUM($AH$44:$AK$44)</f>
        <v>-0.19037187767002636</v>
      </c>
      <c r="AM44" s="13">
        <f ca="1">SUMIF($L$4:$AL$4,"SUBTOTAL",$L$44:$AL$44)</f>
        <v>-2.8305088212101164</v>
      </c>
      <c r="AO44" s="26">
        <f ca="1">+'TUSD BE'!$T$44+'TUSD BE'!$AB$44+'TUSD BE'!$AD$44+'TUSD BE'!$AL$44</f>
        <v>266.68256826987067</v>
      </c>
      <c r="AP44" s="26">
        <f ca="1">+'TUSD BE'!$T$44+'TUSD BE'!$AB$44+'TUSD BE'!$AD$44+'TUSD BE'!$AL$44</f>
        <v>266.68256826987067</v>
      </c>
    </row>
    <row r="45" spans="1:42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>
        <f>'TUSD BE'!$L$45*'TUSD BE'!$L$62</f>
        <v>-0.44030718794037316</v>
      </c>
      <c r="M45" s="13">
        <f>'TUSD BE'!$M$45*'TUSD BE'!$M$62</f>
        <v>-1.5137203199188891E-2</v>
      </c>
      <c r="N45" s="13">
        <f ca="1">'TUSD BE'!$N$45*'TUSD BE'!$N$62</f>
        <v>0</v>
      </c>
      <c r="O45" s="13">
        <f>'TUSD BE'!$O$45*'TUSD BE'!$O$62</f>
        <v>0</v>
      </c>
      <c r="P45" s="13">
        <f>'TUSD BE'!$P$45*'TUSD BE'!$P$62</f>
        <v>0</v>
      </c>
      <c r="Q45" s="13">
        <f>'TUSD BE'!$Q$45*'TUSD BE'!$Q$62</f>
        <v>-0.84234743887342367</v>
      </c>
      <c r="R45" s="13">
        <f>'TUSD BE'!$R$45*'TUSD BE'!$R$62</f>
        <v>-0.1145844510862013</v>
      </c>
      <c r="S45" s="13">
        <f>'TUSD BE'!$R$45*'TUSD BE'!$S$62</f>
        <v>0</v>
      </c>
      <c r="T45" s="13">
        <f ca="1">SUM($L$45:$S$45)</f>
        <v>-1.4123762810991869</v>
      </c>
      <c r="U45" s="13">
        <f>'TUSD BE'!$U$45*'TUSD BE'!$U$62</f>
        <v>2.6951838341603649</v>
      </c>
      <c r="V45" s="13">
        <f>'TUSD BE'!$V$45*'TUSD BE'!$V$62</f>
        <v>0.37925103569481988</v>
      </c>
      <c r="W45" s="13">
        <f>'TUSD BE'!$W$45*'TUSD BE'!$W$62</f>
        <v>0</v>
      </c>
      <c r="X45" s="13">
        <f>'TUSD BE'!$X$45*'TUSD BE'!$X$62</f>
        <v>0</v>
      </c>
      <c r="Y45" s="13">
        <f>'TUSD BE'!$Y$45*'TUSD BE'!$Y$62</f>
        <v>0</v>
      </c>
      <c r="Z45" s="13">
        <f>'TUSD BE'!$Z$45*'TUSD BE'!$Z$62</f>
        <v>0</v>
      </c>
      <c r="AA45" s="13">
        <f>'TUSD BE'!$AA$45*'TUSD BE'!$AA$62</f>
        <v>0</v>
      </c>
      <c r="AB45" s="13">
        <f>SUM($U$45:$AA$45)</f>
        <v>3.0744348698551849</v>
      </c>
      <c r="AC45" s="13">
        <f>'TUSD BE'!$AC$45*'TUSD BE'!$AC$62</f>
        <v>-5.1553859776150208</v>
      </c>
      <c r="AD45" s="13">
        <f>SUM($AC$45:$AC$45)</f>
        <v>-5.1553859776150208</v>
      </c>
      <c r="AE45" s="13">
        <f ca="1">$AO$45*$AO$59</f>
        <v>0</v>
      </c>
      <c r="AF45" s="13">
        <f ca="1">$AP$45*$AP$59</f>
        <v>0</v>
      </c>
      <c r="AG45" s="13">
        <f ca="1">SUM($AE$45:$AF$45)</f>
        <v>0</v>
      </c>
      <c r="AH45" s="13">
        <f>'TUSD BE'!$AH$45*'TUSD BE'!$AH$62</f>
        <v>-0.19037187767002636</v>
      </c>
      <c r="AI45" s="13">
        <f>'TUSD BE'!$AI$45*'TUSD BE'!$AI$62</f>
        <v>0</v>
      </c>
      <c r="AJ45" s="13">
        <f ca="1">'TUSD BE'!$AJ$45*'TUSD BE'!$AJ$62</f>
        <v>0</v>
      </c>
      <c r="AK45" s="13">
        <f ca="1">'TUSD BE'!$AK$45*'TUSD BE'!$AK$62</f>
        <v>0</v>
      </c>
      <c r="AL45" s="13">
        <f ca="1">SUM($AH$45:$AK$45)</f>
        <v>-0.19037187767002636</v>
      </c>
      <c r="AM45" s="13">
        <f ca="1">SUMIF($L$4:$AL$4,"SUBTOTAL",$L$45:$AL$45)</f>
        <v>-3.6836992665290493</v>
      </c>
      <c r="AO45" s="26">
        <f ca="1">+'TUSD BE'!$T$45+'TUSD BE'!$AB$45+'TUSD BE'!$AD$45+'TUSD BE'!$AL$45</f>
        <v>347.4983928142023</v>
      </c>
      <c r="AP45" s="26">
        <f ca="1">+'TUSD BE'!$T$45+'TUSD BE'!$AB$45+'TUSD BE'!$AD$45+'TUSD BE'!$AL$45</f>
        <v>347.4983928142023</v>
      </c>
    </row>
    <row r="46" spans="1:42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>
        <f>'TUSD BE'!$L$46*'TUSD BE'!$L$62</f>
        <v>-0.44030718794037316</v>
      </c>
      <c r="M46" s="13">
        <f>'TUSD BE'!$M$46*'TUSD BE'!$M$62</f>
        <v>-1.5137203199188891E-2</v>
      </c>
      <c r="N46" s="13">
        <f ca="1">'TUSD BE'!$N$46*'TUSD BE'!$N$62</f>
        <v>0</v>
      </c>
      <c r="O46" s="13">
        <f>'TUSD BE'!$O$46*'TUSD BE'!$O$62</f>
        <v>0</v>
      </c>
      <c r="P46" s="13">
        <f>'TUSD BE'!$P$46*'TUSD BE'!$P$62</f>
        <v>0</v>
      </c>
      <c r="Q46" s="13">
        <f>'TUSD BE'!$Q$46*'TUSD BE'!$Q$62</f>
        <v>-0.84234743887342367</v>
      </c>
      <c r="R46" s="13">
        <f>'TUSD BE'!$R$46*'TUSD BE'!$R$62</f>
        <v>-0.1145844510862013</v>
      </c>
      <c r="S46" s="13">
        <f>'TUSD BE'!$R$46*'TUSD BE'!$S$62</f>
        <v>0</v>
      </c>
      <c r="T46" s="13">
        <f ca="1">SUM($L$46:$S$46)</f>
        <v>-1.4123762810991869</v>
      </c>
      <c r="U46" s="13">
        <f>'TUSD BE'!$U$46*'TUSD BE'!$U$62</f>
        <v>2.6951838341603649</v>
      </c>
      <c r="V46" s="13">
        <f>'TUSD BE'!$V$46*'TUSD BE'!$V$62</f>
        <v>0.37925103569481988</v>
      </c>
      <c r="W46" s="13">
        <f>'TUSD BE'!$W$46*'TUSD BE'!$W$62</f>
        <v>0</v>
      </c>
      <c r="X46" s="13">
        <f>'TUSD BE'!$X$46*'TUSD BE'!$X$62</f>
        <v>0</v>
      </c>
      <c r="Y46" s="13">
        <f>'TUSD BE'!$Y$46*'TUSD BE'!$Y$62</f>
        <v>0</v>
      </c>
      <c r="Z46" s="13">
        <f>'TUSD BE'!$Z$46*'TUSD BE'!$Z$62</f>
        <v>0</v>
      </c>
      <c r="AA46" s="13">
        <f>'TUSD BE'!$AA$46*'TUSD BE'!$AA$62</f>
        <v>0</v>
      </c>
      <c r="AB46" s="13">
        <f>SUM($U$46:$AA$46)</f>
        <v>3.0744348698551849</v>
      </c>
      <c r="AC46" s="13">
        <f>'TUSD BE'!$AC$46*'TUSD BE'!$AC$62</f>
        <v>-5.1553859776150208</v>
      </c>
      <c r="AD46" s="13">
        <f>SUM($AC$46:$AC$46)</f>
        <v>-5.1553859776150208</v>
      </c>
      <c r="AE46" s="13">
        <f ca="1">$AO$46*$AO$59</f>
        <v>0</v>
      </c>
      <c r="AF46" s="13">
        <f ca="1">$AP$46*$AP$59</f>
        <v>0</v>
      </c>
      <c r="AG46" s="13">
        <f ca="1">SUM($AE$46:$AF$46)</f>
        <v>0</v>
      </c>
      <c r="AH46" s="13">
        <f>'TUSD BE'!$AH$46*'TUSD BE'!$AH$62</f>
        <v>-0.19037187767002636</v>
      </c>
      <c r="AI46" s="13">
        <f>'TUSD BE'!$AI$46*'TUSD BE'!$AI$62</f>
        <v>0</v>
      </c>
      <c r="AJ46" s="13">
        <f ca="1">'TUSD BE'!$AJ$46*'TUSD BE'!$AJ$62</f>
        <v>0</v>
      </c>
      <c r="AK46" s="13">
        <f ca="1">'TUSD BE'!$AK$46*'TUSD BE'!$AK$62</f>
        <v>0</v>
      </c>
      <c r="AL46" s="13">
        <f ca="1">SUM($AH$46:$AK$46)</f>
        <v>-0.19037187767002636</v>
      </c>
      <c r="AM46" s="13">
        <f ca="1">SUMIF($L$4:$AL$4,"SUBTOTAL",$L$46:$AL$46)</f>
        <v>-3.6836992665290493</v>
      </c>
      <c r="AO46" s="26">
        <f ca="1">+'TUSD BE'!$T$46+'TUSD BE'!$AB$46+'TUSD BE'!$AD$46+'TUSD BE'!$AL$46</f>
        <v>347.4983928142023</v>
      </c>
      <c r="AP46" s="26">
        <f ca="1">+'TUSD BE'!$T$46+'TUSD BE'!$AB$46+'TUSD BE'!$AD$46+'TUSD BE'!$AL$46</f>
        <v>347.4983928142023</v>
      </c>
    </row>
    <row r="47" spans="1:42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>
        <f>'TUSD BE'!$L$47*'TUSD BE'!$L$62</f>
        <v>-0.44030718794037316</v>
      </c>
      <c r="M47" s="13">
        <f>'TUSD BE'!$M$47*'TUSD BE'!$M$62</f>
        <v>-1.5137203199188891E-2</v>
      </c>
      <c r="N47" s="13">
        <f ca="1">'TUSD BE'!$N$47*'TUSD BE'!$N$62</f>
        <v>0</v>
      </c>
      <c r="O47" s="13">
        <f>'TUSD BE'!$O$47*'TUSD BE'!$O$62</f>
        <v>0</v>
      </c>
      <c r="P47" s="13">
        <f>'TUSD BE'!$P$47*'TUSD BE'!$P$62</f>
        <v>0</v>
      </c>
      <c r="Q47" s="13">
        <f>'TUSD BE'!$Q$47*'TUSD BE'!$Q$62</f>
        <v>-0.84234743887342367</v>
      </c>
      <c r="R47" s="13">
        <f>'TUSD BE'!$R$47*'TUSD BE'!$R$62</f>
        <v>-0.1145844510862013</v>
      </c>
      <c r="S47" s="13">
        <f>'TUSD BE'!$R$47*'TUSD BE'!$S$62</f>
        <v>0</v>
      </c>
      <c r="T47" s="13">
        <f ca="1">SUM($L$47:$S$47)</f>
        <v>-1.4123762810991869</v>
      </c>
      <c r="U47" s="13">
        <f>'TUSD BE'!$U$47*'TUSD BE'!$U$62</f>
        <v>2.6951838341603649</v>
      </c>
      <c r="V47" s="13">
        <f>'TUSD BE'!$V$47*'TUSD BE'!$V$62</f>
        <v>0.37925103569481988</v>
      </c>
      <c r="W47" s="13">
        <f>'TUSD BE'!$W$47*'TUSD BE'!$W$62</f>
        <v>0</v>
      </c>
      <c r="X47" s="13">
        <f>'TUSD BE'!$X$47*'TUSD BE'!$X$62</f>
        <v>0</v>
      </c>
      <c r="Y47" s="13">
        <f>'TUSD BE'!$Y$47*'TUSD BE'!$Y$62</f>
        <v>0</v>
      </c>
      <c r="Z47" s="13">
        <f>'TUSD BE'!$Z$47*'TUSD BE'!$Z$62</f>
        <v>0</v>
      </c>
      <c r="AA47" s="13">
        <f>'TUSD BE'!$AA$47*'TUSD BE'!$AA$62</f>
        <v>0</v>
      </c>
      <c r="AB47" s="13">
        <f>SUM($U$47:$AA$47)</f>
        <v>3.0744348698551849</v>
      </c>
      <c r="AC47" s="13">
        <f>'TUSD BE'!$AC$47*'TUSD BE'!$AC$62</f>
        <v>-5.1553859776150208</v>
      </c>
      <c r="AD47" s="13">
        <f>SUM($AC$47:$AC$47)</f>
        <v>-5.1553859776150208</v>
      </c>
      <c r="AE47" s="13">
        <f ca="1">$AO$47*$AO$59</f>
        <v>0</v>
      </c>
      <c r="AF47" s="13">
        <f ca="1">$AP$47*$AP$59</f>
        <v>0</v>
      </c>
      <c r="AG47" s="13">
        <f ca="1">SUM($AE$47:$AF$47)</f>
        <v>0</v>
      </c>
      <c r="AH47" s="13">
        <f>'TUSD BE'!$AH$47*'TUSD BE'!$AH$62</f>
        <v>-0.19037187767002636</v>
      </c>
      <c r="AI47" s="13">
        <f>'TUSD BE'!$AI$47*'TUSD BE'!$AI$62</f>
        <v>0</v>
      </c>
      <c r="AJ47" s="13">
        <f ca="1">'TUSD BE'!$AJ$47*'TUSD BE'!$AJ$62</f>
        <v>0</v>
      </c>
      <c r="AK47" s="13">
        <f ca="1">'TUSD BE'!$AK$47*'TUSD BE'!$AK$62</f>
        <v>0</v>
      </c>
      <c r="AL47" s="13">
        <f ca="1">SUM($AH$47:$AK$47)</f>
        <v>-0.19037187767002636</v>
      </c>
      <c r="AM47" s="13">
        <f ca="1">SUMIF($L$4:$AL$4,"SUBTOTAL",$L$47:$AL$47)</f>
        <v>-3.6836992665290493</v>
      </c>
      <c r="AO47" s="26">
        <f ca="1">+'TUSD BE'!$T$47+'TUSD BE'!$AB$47+'TUSD BE'!$AD$47+'TUSD BE'!$AL$47</f>
        <v>347.4983928142023</v>
      </c>
      <c r="AP47" s="26">
        <f ca="1">+'TUSD BE'!$T$47+'TUSD BE'!$AB$47+'TUSD BE'!$AD$47+'TUSD BE'!$AL$47</f>
        <v>347.4983928142023</v>
      </c>
    </row>
    <row r="48" spans="1:42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>
        <f>'TUSD BE'!$L$48*'TUSD BE'!$L$62</f>
        <v>-0.44030718794037316</v>
      </c>
      <c r="M48" s="13">
        <f>'TUSD BE'!$M$48*'TUSD BE'!$M$62</f>
        <v>-1.5137203199188891E-2</v>
      </c>
      <c r="N48" s="13">
        <f ca="1">'TUSD BE'!$N$48*'TUSD BE'!$N$62</f>
        <v>0</v>
      </c>
      <c r="O48" s="13">
        <f>'TUSD BE'!$O$48*'TUSD BE'!$O$62</f>
        <v>0</v>
      </c>
      <c r="P48" s="13">
        <f>'TUSD BE'!$P$48*'TUSD BE'!$P$62</f>
        <v>0</v>
      </c>
      <c r="Q48" s="13">
        <f>'TUSD BE'!$Q$48*'TUSD BE'!$Q$62</f>
        <v>-0.84234743887342367</v>
      </c>
      <c r="R48" s="13">
        <f>'TUSD BE'!$R$48*'TUSD BE'!$R$62</f>
        <v>-0.1145844510862013</v>
      </c>
      <c r="S48" s="13">
        <f>'TUSD BE'!$R$48*'TUSD BE'!$S$62</f>
        <v>0</v>
      </c>
      <c r="T48" s="13">
        <f ca="1">SUM($L$48:$S$48)</f>
        <v>-1.4123762810991869</v>
      </c>
      <c r="U48" s="13">
        <f>'TUSD BE'!$U$48*'TUSD BE'!$U$62</f>
        <v>2.6951838341603649</v>
      </c>
      <c r="V48" s="13">
        <f>'TUSD BE'!$V$48*'TUSD BE'!$V$62</f>
        <v>0.37925103569481988</v>
      </c>
      <c r="W48" s="13">
        <f>'TUSD BE'!$W$48*'TUSD BE'!$W$62</f>
        <v>0</v>
      </c>
      <c r="X48" s="13">
        <f>'TUSD BE'!$X$48*'TUSD BE'!$X$62</f>
        <v>0</v>
      </c>
      <c r="Y48" s="13">
        <f>'TUSD BE'!$Y$48*'TUSD BE'!$Y$62</f>
        <v>0</v>
      </c>
      <c r="Z48" s="13">
        <f>'TUSD BE'!$Z$48*'TUSD BE'!$Z$62</f>
        <v>0</v>
      </c>
      <c r="AA48" s="13">
        <f>'TUSD BE'!$AA$48*'TUSD BE'!$AA$62</f>
        <v>0</v>
      </c>
      <c r="AB48" s="13">
        <f>SUM($U$48:$AA$48)</f>
        <v>3.0744348698551849</v>
      </c>
      <c r="AC48" s="13">
        <f>'TUSD BE'!$AC$48*'TUSD BE'!$AC$62</f>
        <v>-5.1553859776150208</v>
      </c>
      <c r="AD48" s="13">
        <f>SUM($AC$48:$AC$48)</f>
        <v>-5.1553859776150208</v>
      </c>
      <c r="AE48" s="13">
        <f ca="1">$AO$48*$AO$59</f>
        <v>0</v>
      </c>
      <c r="AF48" s="13">
        <f ca="1">$AP$48*$AP$59</f>
        <v>0</v>
      </c>
      <c r="AG48" s="13">
        <f ca="1">SUM($AE$48:$AF$48)</f>
        <v>0</v>
      </c>
      <c r="AH48" s="13">
        <f>'TUSD BE'!$AH$48*'TUSD BE'!$AH$62</f>
        <v>-0.19037187767002636</v>
      </c>
      <c r="AI48" s="13">
        <f>'TUSD BE'!$AI$48*'TUSD BE'!$AI$62</f>
        <v>0</v>
      </c>
      <c r="AJ48" s="13">
        <f ca="1">'TUSD BE'!$AJ$48*'TUSD BE'!$AJ$62</f>
        <v>0</v>
      </c>
      <c r="AK48" s="13">
        <f ca="1">'TUSD BE'!$AK$48*'TUSD BE'!$AK$62</f>
        <v>0</v>
      </c>
      <c r="AL48" s="13">
        <f ca="1">SUM($AH$48:$AK$48)</f>
        <v>-0.19037187767002636</v>
      </c>
      <c r="AM48" s="13">
        <f ca="1">SUMIF($L$4:$AL$4,"SUBTOTAL",$L$48:$AL$48)</f>
        <v>-3.6836992665290493</v>
      </c>
      <c r="AO48" s="26">
        <f ca="1">+'TUSD BE'!$T$48+'TUSD BE'!$AB$48+'TUSD BE'!$AD$48+'TUSD BE'!$AL$48</f>
        <v>347.4983928142023</v>
      </c>
      <c r="AP48" s="26">
        <f ca="1">+'TUSD BE'!$T$48+'TUSD BE'!$AB$48+'TUSD BE'!$AD$48+'TUSD BE'!$AL$48</f>
        <v>347.4983928142023</v>
      </c>
    </row>
    <row r="49" spans="1:42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>
        <f>'TUSD BE'!$L$49*'TUSD BE'!$L$62</f>
        <v>-0.44030718794037316</v>
      </c>
      <c r="M49" s="13">
        <f>'TUSD BE'!$M$49*'TUSD BE'!$M$62</f>
        <v>-1.5137203199188891E-2</v>
      </c>
      <c r="N49" s="13">
        <f ca="1">'TUSD BE'!$N$49*'TUSD BE'!$N$62</f>
        <v>0</v>
      </c>
      <c r="O49" s="13">
        <f>'TUSD BE'!$O$49*'TUSD BE'!$O$62</f>
        <v>0</v>
      </c>
      <c r="P49" s="13">
        <f>'TUSD BE'!$P$49*'TUSD BE'!$P$62</f>
        <v>0</v>
      </c>
      <c r="Q49" s="13">
        <f>'TUSD BE'!$Q$49*'TUSD BE'!$Q$62</f>
        <v>-0.84234743887342367</v>
      </c>
      <c r="R49" s="13">
        <f>'TUSD BE'!$R$49*'TUSD BE'!$R$62</f>
        <v>-0.1145844510862013</v>
      </c>
      <c r="S49" s="13">
        <f>'TUSD BE'!$R$49*'TUSD BE'!$S$62</f>
        <v>0</v>
      </c>
      <c r="T49" s="13">
        <f ca="1">SUM($L$49:$S$49)</f>
        <v>-1.4123762810991869</v>
      </c>
      <c r="U49" s="13">
        <f>'TUSD BE'!$U$49*'TUSD BE'!$U$62</f>
        <v>9.2983885883806412</v>
      </c>
      <c r="V49" s="13">
        <f>'TUSD BE'!$V$49*'TUSD BE'!$V$62</f>
        <v>1.3084597153836872</v>
      </c>
      <c r="W49" s="13">
        <f>'TUSD BE'!$W$49*'TUSD BE'!$W$62</f>
        <v>0</v>
      </c>
      <c r="X49" s="13">
        <f>'TUSD BE'!$X$49*'TUSD BE'!$X$62</f>
        <v>0</v>
      </c>
      <c r="Y49" s="13">
        <f>'TUSD BE'!$Y$49*'TUSD BE'!$Y$62</f>
        <v>0</v>
      </c>
      <c r="Z49" s="13">
        <f>'TUSD BE'!$Z$49*'TUSD BE'!$Z$62</f>
        <v>0</v>
      </c>
      <c r="AA49" s="13">
        <f>'TUSD BE'!$AA$49*'TUSD BE'!$AA$62</f>
        <v>0</v>
      </c>
      <c r="AB49" s="13">
        <f>SUM($U$49:$AA$49)</f>
        <v>10.606848303764329</v>
      </c>
      <c r="AC49" s="13">
        <f>'TUSD BE'!$AC$49*'TUSD BE'!$AC$62</f>
        <v>-17.786079237199573</v>
      </c>
      <c r="AD49" s="13">
        <f>SUM($AC$49:$AC$49)</f>
        <v>-17.786079237199573</v>
      </c>
      <c r="AE49" s="13">
        <f ca="1">$AO$49*$AO$59</f>
        <v>0</v>
      </c>
      <c r="AF49" s="13">
        <f ca="1">$AP$49*$AP$59</f>
        <v>0</v>
      </c>
      <c r="AG49" s="13">
        <f ca="1">SUM($AE$49:$AF$49)</f>
        <v>0</v>
      </c>
      <c r="AH49" s="13">
        <f>'TUSD BE'!$AH$49*'TUSD BE'!$AH$62</f>
        <v>-0.19037187767002636</v>
      </c>
      <c r="AI49" s="13">
        <f>'TUSD BE'!$AI$49*'TUSD BE'!$AI$62</f>
        <v>0</v>
      </c>
      <c r="AJ49" s="13">
        <f ca="1">'TUSD BE'!$AJ$49*'TUSD BE'!$AJ$62</f>
        <v>0</v>
      </c>
      <c r="AK49" s="13">
        <f ca="1">'TUSD BE'!$AK$49*'TUSD BE'!$AK$62</f>
        <v>0</v>
      </c>
      <c r="AL49" s="13">
        <f ca="1">SUM($AH$49:$AK$49)</f>
        <v>-0.19037187767002636</v>
      </c>
      <c r="AM49" s="13">
        <f ca="1">SUMIF($L$4:$AL$4,"SUBTOTAL",$L$49:$AL$49)</f>
        <v>-8.7819790922044572</v>
      </c>
      <c r="AO49" s="26">
        <f ca="1">+'TUSD BE'!$T$49+'TUSD BE'!$AB$49+'TUSD BE'!$AD$49+'TUSD BE'!$AL$49</f>
        <v>830.42291187284798</v>
      </c>
      <c r="AP49" s="26">
        <f ca="1">+'TUSD BE'!$T$49+'TUSD BE'!$AB$49+'TUSD BE'!$AD$49+'TUSD BE'!$AL$49</f>
        <v>830.42291187284798</v>
      </c>
    </row>
    <row r="50" spans="1:42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>
        <f>'TUSD BE'!$L$50*'TUSD BE'!$L$62</f>
        <v>-0.44030718794037316</v>
      </c>
      <c r="M50" s="13">
        <f>'TUSD BE'!$M$50*'TUSD BE'!$M$62</f>
        <v>-1.5137203199188891E-2</v>
      </c>
      <c r="N50" s="13">
        <f ca="1">'TUSD BE'!$N$50*'TUSD BE'!$N$62</f>
        <v>0</v>
      </c>
      <c r="O50" s="13">
        <f>'TUSD BE'!$O$50*'TUSD BE'!$O$62</f>
        <v>0</v>
      </c>
      <c r="P50" s="13">
        <f>'TUSD BE'!$P$50*'TUSD BE'!$P$62</f>
        <v>0</v>
      </c>
      <c r="Q50" s="13">
        <f>'TUSD BE'!$Q$50*'TUSD BE'!$Q$62</f>
        <v>-0.84234743887342367</v>
      </c>
      <c r="R50" s="13">
        <f>'TUSD BE'!$R$50*'TUSD BE'!$R$62</f>
        <v>-0.1145844510862013</v>
      </c>
      <c r="S50" s="13">
        <f>'TUSD BE'!$R$50*'TUSD BE'!$S$62</f>
        <v>0</v>
      </c>
      <c r="T50" s="13">
        <f ca="1">SUM($L$50:$S$50)</f>
        <v>-1.4123762810991869</v>
      </c>
      <c r="U50" s="13">
        <f>'TUSD BE'!$U$50*'TUSD BE'!$U$62</f>
        <v>5.5790331530283854</v>
      </c>
      <c r="V50" s="13">
        <f>'TUSD BE'!$V$50*'TUSD BE'!$V$62</f>
        <v>0.78509110401300797</v>
      </c>
      <c r="W50" s="13">
        <f>'TUSD BE'!$W$50*'TUSD BE'!$W$62</f>
        <v>0</v>
      </c>
      <c r="X50" s="13">
        <f>'TUSD BE'!$X$50*'TUSD BE'!$X$62</f>
        <v>0</v>
      </c>
      <c r="Y50" s="13">
        <f>'TUSD BE'!$Y$50*'TUSD BE'!$Y$62</f>
        <v>0</v>
      </c>
      <c r="Z50" s="13">
        <f>'TUSD BE'!$Z$50*'TUSD BE'!$Z$62</f>
        <v>0</v>
      </c>
      <c r="AA50" s="13">
        <f>'TUSD BE'!$AA$50*'TUSD BE'!$AA$62</f>
        <v>0</v>
      </c>
      <c r="AB50" s="13">
        <f>SUM($U$50:$AA$50)</f>
        <v>6.364124257041393</v>
      </c>
      <c r="AC50" s="13">
        <f>'TUSD BE'!$AC$50*'TUSD BE'!$AC$62</f>
        <v>-10.67164807244691</v>
      </c>
      <c r="AD50" s="13">
        <f>SUM($AC$50:$AC$50)</f>
        <v>-10.67164807244691</v>
      </c>
      <c r="AE50" s="13">
        <f ca="1">$AO$50*$AO$59</f>
        <v>0</v>
      </c>
      <c r="AF50" s="13">
        <f ca="1">$AP$50*$AP$59</f>
        <v>0</v>
      </c>
      <c r="AG50" s="13">
        <f ca="1">SUM($AE$50:$AF$50)</f>
        <v>0</v>
      </c>
      <c r="AH50" s="13">
        <f>'TUSD BE'!$AH$50*'TUSD BE'!$AH$62</f>
        <v>-0.19037187767002636</v>
      </c>
      <c r="AI50" s="13">
        <f>'TUSD BE'!$AI$50*'TUSD BE'!$AI$62</f>
        <v>0</v>
      </c>
      <c r="AJ50" s="13">
        <f ca="1">'TUSD BE'!$AJ$50*'TUSD BE'!$AJ$62</f>
        <v>0</v>
      </c>
      <c r="AK50" s="13">
        <f ca="1">'TUSD BE'!$AK$50*'TUSD BE'!$AK$62</f>
        <v>0</v>
      </c>
      <c r="AL50" s="13">
        <f ca="1">SUM($AH$50:$AK$50)</f>
        <v>-0.19037187767002636</v>
      </c>
      <c r="AM50" s="13">
        <f ca="1">SUMIF($L$4:$AL$4,"SUBTOTAL",$L$50:$AL$50)</f>
        <v>-5.91027197417473</v>
      </c>
      <c r="AO50" s="26">
        <f ca="1">+'TUSD BE'!$T$50+'TUSD BE'!$AB$50+'TUSD BE'!$AD$50+'TUSD BE'!$AL$50</f>
        <v>558.40851037457367</v>
      </c>
      <c r="AP50" s="26">
        <f ca="1">+'TUSD BE'!$T$50+'TUSD BE'!$AB$50+'TUSD BE'!$AD$50+'TUSD BE'!$AL$50</f>
        <v>558.40851037457367</v>
      </c>
    </row>
    <row r="51" spans="1:42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>
        <f>'TUSD BE'!$L$51*'TUSD BE'!$L$62</f>
        <v>-0.44030718794037316</v>
      </c>
      <c r="M51" s="13">
        <f>'TUSD BE'!$M$51*'TUSD BE'!$M$62</f>
        <v>-1.5137203199188891E-2</v>
      </c>
      <c r="N51" s="13">
        <f ca="1">'TUSD BE'!$N$51*'TUSD BE'!$N$62</f>
        <v>0</v>
      </c>
      <c r="O51" s="13">
        <f>'TUSD BE'!$O$51*'TUSD BE'!$O$62</f>
        <v>0</v>
      </c>
      <c r="P51" s="13">
        <f>'TUSD BE'!$P$51*'TUSD BE'!$P$62</f>
        <v>0</v>
      </c>
      <c r="Q51" s="13">
        <f>'TUSD BE'!$Q$51*'TUSD BE'!$Q$62</f>
        <v>-0.84234743887342367</v>
      </c>
      <c r="R51" s="13">
        <f>'TUSD BE'!$R$51*'TUSD BE'!$R$62</f>
        <v>-0.1145844510862013</v>
      </c>
      <c r="S51" s="13">
        <f>'TUSD BE'!$R$51*'TUSD BE'!$S$62</f>
        <v>0</v>
      </c>
      <c r="T51" s="13">
        <f ca="1">SUM($L$51:$S$51)</f>
        <v>-1.4123762810991869</v>
      </c>
      <c r="U51" s="13">
        <f>'TUSD BE'!$U$51*'TUSD BE'!$U$62</f>
        <v>1.8596777176761281</v>
      </c>
      <c r="V51" s="13">
        <f>'TUSD BE'!$V$51*'TUSD BE'!$V$62</f>
        <v>0.26168976096490948</v>
      </c>
      <c r="W51" s="13">
        <f>'TUSD BE'!$W$51*'TUSD BE'!$W$62</f>
        <v>0</v>
      </c>
      <c r="X51" s="13">
        <f>'TUSD BE'!$X$51*'TUSD BE'!$X$62</f>
        <v>0</v>
      </c>
      <c r="Y51" s="13">
        <f>'TUSD BE'!$Y$51*'TUSD BE'!$Y$62</f>
        <v>0</v>
      </c>
      <c r="Z51" s="13">
        <f>'TUSD BE'!$Z$51*'TUSD BE'!$Z$62</f>
        <v>0</v>
      </c>
      <c r="AA51" s="13">
        <f>'TUSD BE'!$AA$51*'TUSD BE'!$AA$62</f>
        <v>0</v>
      </c>
      <c r="AB51" s="13">
        <f>SUM($U$51:$AA$51)</f>
        <v>2.1213674786410377</v>
      </c>
      <c r="AC51" s="13">
        <f>'TUSD BE'!$AC$51*'TUSD BE'!$AC$62</f>
        <v>-3.5572195583300847</v>
      </c>
      <c r="AD51" s="13">
        <f>SUM($AC$51:$AC$51)</f>
        <v>-3.5572195583300847</v>
      </c>
      <c r="AE51" s="13">
        <f ca="1">$AO$51*$AO$59</f>
        <v>0</v>
      </c>
      <c r="AF51" s="13">
        <f ca="1">$AP$51*$AP$59</f>
        <v>0</v>
      </c>
      <c r="AG51" s="13">
        <f ca="1">SUM($AE$51:$AF$51)</f>
        <v>0</v>
      </c>
      <c r="AH51" s="13">
        <f>'TUSD BE'!$AH$51*'TUSD BE'!$AH$62</f>
        <v>-0.19037187767002636</v>
      </c>
      <c r="AI51" s="13">
        <f>'TUSD BE'!$AI$51*'TUSD BE'!$AI$62</f>
        <v>0</v>
      </c>
      <c r="AJ51" s="13">
        <f ca="1">'TUSD BE'!$AJ$51*'TUSD BE'!$AJ$62</f>
        <v>0</v>
      </c>
      <c r="AK51" s="13">
        <f ca="1">'TUSD BE'!$AK$51*'TUSD BE'!$AK$62</f>
        <v>0</v>
      </c>
      <c r="AL51" s="13">
        <f ca="1">SUM($AH$51:$AK$51)</f>
        <v>-0.19037187767002636</v>
      </c>
      <c r="AM51" s="13">
        <f ca="1">SUMIF($L$4:$AL$4,"SUBTOTAL",$L$51:$AL$51)</f>
        <v>-3.03860023845826</v>
      </c>
      <c r="AO51" s="26">
        <f ca="1">+'TUSD BE'!$T$51+'TUSD BE'!$AB$51+'TUSD BE'!$AD$51+'TUSD BE'!$AL$51</f>
        <v>286.39388213912946</v>
      </c>
      <c r="AP51" s="26">
        <f ca="1">+'TUSD BE'!$T$51+'TUSD BE'!$AB$51+'TUSD BE'!$AD$51+'TUSD BE'!$AL$51</f>
        <v>286.39388213912946</v>
      </c>
    </row>
    <row r="52" spans="1:42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>
        <f>'TUSD BE'!$L$52*'TUSD BE'!$L$62</f>
        <v>-0.44030718794037316</v>
      </c>
      <c r="M52" s="13">
        <f>'TUSD BE'!$M$52*'TUSD BE'!$M$62</f>
        <v>-1.5137203199188891E-2</v>
      </c>
      <c r="N52" s="13">
        <f ca="1">'TUSD BE'!$N$52*'TUSD BE'!$N$62</f>
        <v>0</v>
      </c>
      <c r="O52" s="13">
        <f>'TUSD BE'!$O$52*'TUSD BE'!$O$62</f>
        <v>0</v>
      </c>
      <c r="P52" s="13">
        <f>'TUSD BE'!$P$52*'TUSD BE'!$P$62</f>
        <v>0</v>
      </c>
      <c r="Q52" s="13">
        <f>'TUSD BE'!$Q$52*'TUSD BE'!$Q$62</f>
        <v>-0.84234743887342367</v>
      </c>
      <c r="R52" s="13">
        <f>'TUSD BE'!$R$52*'TUSD BE'!$R$62</f>
        <v>-0.1145844510862013</v>
      </c>
      <c r="S52" s="13">
        <f>'TUSD BE'!$R$52*'TUSD BE'!$S$62</f>
        <v>0</v>
      </c>
      <c r="T52" s="13">
        <f ca="1">SUM($L$52:$S$52)</f>
        <v>-1.4123762810991869</v>
      </c>
      <c r="U52" s="13">
        <f>'TUSD BE'!$U$52*'TUSD BE'!$U$62</f>
        <v>2.6951838341603649</v>
      </c>
      <c r="V52" s="13">
        <f>'TUSD BE'!$V$52*'TUSD BE'!$V$62</f>
        <v>0.37925103569481988</v>
      </c>
      <c r="W52" s="13">
        <f>'TUSD BE'!$W$52*'TUSD BE'!$W$62</f>
        <v>0</v>
      </c>
      <c r="X52" s="13">
        <f>'TUSD BE'!$X$52*'TUSD BE'!$X$62</f>
        <v>0</v>
      </c>
      <c r="Y52" s="13">
        <f>'TUSD BE'!$Y$52*'TUSD BE'!$Y$62</f>
        <v>0</v>
      </c>
      <c r="Z52" s="13">
        <f>'TUSD BE'!$Z$52*'TUSD BE'!$Z$62</f>
        <v>0</v>
      </c>
      <c r="AA52" s="13">
        <f>'TUSD BE'!$AA$52*'TUSD BE'!$AA$62</f>
        <v>0</v>
      </c>
      <c r="AB52" s="13">
        <f>SUM($U$52:$AA$52)</f>
        <v>3.0744348698551849</v>
      </c>
      <c r="AC52" s="13">
        <f>'TUSD BE'!$AC$52*'TUSD BE'!$AC$62</f>
        <v>-5.1553859776150208</v>
      </c>
      <c r="AD52" s="13">
        <f>SUM($AC$52:$AC$52)</f>
        <v>-5.1553859776150208</v>
      </c>
      <c r="AE52" s="13">
        <f ca="1">$AO$52*$AO$59</f>
        <v>0</v>
      </c>
      <c r="AF52" s="13">
        <f ca="1">$AP$52*$AP$59</f>
        <v>0</v>
      </c>
      <c r="AG52" s="13">
        <f ca="1">SUM($AE$52:$AF$52)</f>
        <v>0</v>
      </c>
      <c r="AH52" s="13">
        <f>'TUSD BE'!$AH$52*'TUSD BE'!$AH$62</f>
        <v>-0.19037187767002636</v>
      </c>
      <c r="AI52" s="13">
        <f>'TUSD BE'!$AI$52*'TUSD BE'!$AI$62</f>
        <v>0</v>
      </c>
      <c r="AJ52" s="13">
        <f ca="1">'TUSD BE'!$AJ$52*'TUSD BE'!$AJ$62</f>
        <v>0</v>
      </c>
      <c r="AK52" s="13">
        <f ca="1">'TUSD BE'!$AK$52*'TUSD BE'!$AK$62</f>
        <v>0</v>
      </c>
      <c r="AL52" s="13">
        <f ca="1">SUM($AH$52:$AK$52)</f>
        <v>-0.19037187767002636</v>
      </c>
      <c r="AM52" s="13">
        <f ca="1">SUMIF($L$4:$AL$4,"SUBTOTAL",$L$52:$AL$52)</f>
        <v>-3.6836992665290493</v>
      </c>
      <c r="AO52" s="26">
        <f ca="1">+'TUSD BE'!$T$52+'TUSD BE'!$AB$52+'TUSD BE'!$AD$52+'TUSD BE'!$AL$52</f>
        <v>347.4983928142023</v>
      </c>
      <c r="AP52" s="26">
        <f ca="1">+'TUSD BE'!$T$52+'TUSD BE'!$AB$52+'TUSD BE'!$AD$52+'TUSD BE'!$AL$52</f>
        <v>347.4983928142023</v>
      </c>
    </row>
    <row r="53" spans="1:42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>
        <f>'TUSD BE'!$L$53*'TUSD BE'!$L$62</f>
        <v>-0.44030718794037316</v>
      </c>
      <c r="M53" s="13">
        <f>'TUSD BE'!$M$53*'TUSD BE'!$M$62</f>
        <v>-1.5137203199188891E-2</v>
      </c>
      <c r="N53" s="13">
        <f ca="1">'TUSD BE'!$N$53*'TUSD BE'!$N$62</f>
        <v>0</v>
      </c>
      <c r="O53" s="13">
        <f>'TUSD BE'!$O$53*'TUSD BE'!$O$62</f>
        <v>0</v>
      </c>
      <c r="P53" s="13">
        <f>'TUSD BE'!$P$53*'TUSD BE'!$P$62</f>
        <v>0</v>
      </c>
      <c r="Q53" s="13">
        <f>'TUSD BE'!$Q$53*'TUSD BE'!$Q$62</f>
        <v>-0.84234743887342367</v>
      </c>
      <c r="R53" s="13">
        <f>'TUSD BE'!$R$53*'TUSD BE'!$R$62</f>
        <v>-0.1145844510862013</v>
      </c>
      <c r="S53" s="13">
        <f>'TUSD BE'!$R$53*'TUSD BE'!$S$62</f>
        <v>0</v>
      </c>
      <c r="T53" s="13">
        <f ca="1">SUM($L$53:$S$53)</f>
        <v>-1.4123762810991869</v>
      </c>
      <c r="U53" s="13">
        <f>'TUSD BE'!$U$53*'TUSD BE'!$U$62</f>
        <v>2.6951838341603649</v>
      </c>
      <c r="V53" s="13">
        <f>'TUSD BE'!$V$53*'TUSD BE'!$V$62</f>
        <v>0.37925103569481988</v>
      </c>
      <c r="W53" s="13">
        <f>'TUSD BE'!$W$53*'TUSD BE'!$W$62</f>
        <v>0</v>
      </c>
      <c r="X53" s="13">
        <f>'TUSD BE'!$X$53*'TUSD BE'!$X$62</f>
        <v>0</v>
      </c>
      <c r="Y53" s="13">
        <f>'TUSD BE'!$Y$53*'TUSD BE'!$Y$62</f>
        <v>0</v>
      </c>
      <c r="Z53" s="13">
        <f>'TUSD BE'!$Z$53*'TUSD BE'!$Z$62</f>
        <v>0</v>
      </c>
      <c r="AA53" s="13">
        <f>'TUSD BE'!$AA$53*'TUSD BE'!$AA$62</f>
        <v>0</v>
      </c>
      <c r="AB53" s="13">
        <f>SUM($U$53:$AA$53)</f>
        <v>3.0744348698551849</v>
      </c>
      <c r="AC53" s="13">
        <f>'TUSD BE'!$AC$53*'TUSD BE'!$AC$62</f>
        <v>-5.1553859776150208</v>
      </c>
      <c r="AD53" s="13">
        <f>SUM($AC$53:$AC$53)</f>
        <v>-5.1553859776150208</v>
      </c>
      <c r="AE53" s="13">
        <f ca="1">$AO$53*$AO$59</f>
        <v>0</v>
      </c>
      <c r="AF53" s="13">
        <f ca="1">$AP$53*$AP$59</f>
        <v>0</v>
      </c>
      <c r="AG53" s="13">
        <f ca="1">SUM($AE$53:$AF$53)</f>
        <v>0</v>
      </c>
      <c r="AH53" s="13">
        <f>'TUSD BE'!$AH$53*'TUSD BE'!$AH$62</f>
        <v>-0.19037187767002636</v>
      </c>
      <c r="AI53" s="13">
        <f>'TUSD BE'!$AI$53*'TUSD BE'!$AI$62</f>
        <v>0</v>
      </c>
      <c r="AJ53" s="13">
        <f ca="1">'TUSD BE'!$AJ$53*'TUSD BE'!$AJ$62</f>
        <v>0</v>
      </c>
      <c r="AK53" s="13">
        <f ca="1">'TUSD BE'!$AK$53*'TUSD BE'!$AK$62</f>
        <v>0</v>
      </c>
      <c r="AL53" s="13">
        <f ca="1">SUM($AH$53:$AK$53)</f>
        <v>-0.19037187767002636</v>
      </c>
      <c r="AM53" s="13">
        <f ca="1">SUMIF($L$4:$AL$4,"SUBTOTAL",$L$53:$AL$53)</f>
        <v>-3.6836992665290493</v>
      </c>
      <c r="AO53" s="26">
        <f ca="1">+'TUSD BE'!$T$53+'TUSD BE'!$AB$53+'TUSD BE'!$AD$53+'TUSD BE'!$AL$53</f>
        <v>347.4983928142023</v>
      </c>
      <c r="AP53" s="26">
        <f ca="1">+'TUSD BE'!$T$53+'TUSD BE'!$AB$53+'TUSD BE'!$AD$53+'TUSD BE'!$AL$53</f>
        <v>347.4983928142023</v>
      </c>
    </row>
    <row r="54" spans="1:42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>
        <f>'TUSD BE'!$L$54*'TUSD BE'!$L$62</f>
        <v>-0.24216895336720529</v>
      </c>
      <c r="M54" s="13">
        <f>'TUSD BE'!$M$54*'TUSD BE'!$M$62</f>
        <v>-8.3254617595538913E-3</v>
      </c>
      <c r="N54" s="13">
        <f ca="1">'TUSD BE'!$N$54*'TUSD BE'!$N$62</f>
        <v>0</v>
      </c>
      <c r="O54" s="13">
        <f>'TUSD BE'!$O$54*'TUSD BE'!$O$62</f>
        <v>0</v>
      </c>
      <c r="P54" s="13">
        <f>'TUSD BE'!$P$54*'TUSD BE'!$P$62</f>
        <v>0</v>
      </c>
      <c r="Q54" s="13">
        <f>'TUSD BE'!$Q$54*'TUSD BE'!$Q$62</f>
        <v>-0.46329109138038305</v>
      </c>
      <c r="R54" s="13">
        <f>'TUSD BE'!$R$54*'TUSD BE'!$R$62</f>
        <v>-6.3021448097410712E-2</v>
      </c>
      <c r="S54" s="13">
        <f>'TUSD BE'!$R$54*'TUSD BE'!$S$62</f>
        <v>0</v>
      </c>
      <c r="T54" s="13">
        <f ca="1">SUM($L$54:$S$54)</f>
        <v>-0.77680695460455296</v>
      </c>
      <c r="U54" s="13">
        <f>'TUSD BE'!$U$54*'TUSD BE'!$U$62</f>
        <v>1.4823511087882006</v>
      </c>
      <c r="V54" s="13">
        <f>'TUSD BE'!$V$54*'TUSD BE'!$V$62</f>
        <v>0.20858806963215093</v>
      </c>
      <c r="W54" s="13">
        <f>'TUSD BE'!$W$54*'TUSD BE'!$W$62</f>
        <v>0</v>
      </c>
      <c r="X54" s="13">
        <f>'TUSD BE'!$X$54*'TUSD BE'!$X$62</f>
        <v>0</v>
      </c>
      <c r="Y54" s="13">
        <f>'TUSD BE'!$Y$54*'TUSD BE'!$Y$62</f>
        <v>0</v>
      </c>
      <c r="Z54" s="13">
        <f>'TUSD BE'!$Z$54*'TUSD BE'!$Z$62</f>
        <v>0</v>
      </c>
      <c r="AA54" s="13">
        <f>'TUSD BE'!$AA$54*'TUSD BE'!$AA$62</f>
        <v>0</v>
      </c>
      <c r="AB54" s="13">
        <f>SUM($U$54:$AA$54)</f>
        <v>1.6909391784203516</v>
      </c>
      <c r="AC54" s="13">
        <f>'TUSD BE'!$AC$54*'TUSD BE'!$AC$62</f>
        <v>-2.8354622876882614</v>
      </c>
      <c r="AD54" s="13">
        <f>SUM($AC$54:$AC$54)</f>
        <v>-2.8354622876882614</v>
      </c>
      <c r="AE54" s="13">
        <f ca="1">$AO$54*$AO$59</f>
        <v>0</v>
      </c>
      <c r="AF54" s="13">
        <f ca="1">$AP$54*$AP$59</f>
        <v>0</v>
      </c>
      <c r="AG54" s="13">
        <f ca="1">SUM($AE$54:$AF$54)</f>
        <v>0</v>
      </c>
      <c r="AH54" s="13">
        <f>'TUSD BE'!$AH$54*'TUSD BE'!$AH$62</f>
        <v>-0.10470453271851451</v>
      </c>
      <c r="AI54" s="13">
        <f>'TUSD BE'!$AI$54*'TUSD BE'!$AI$62</f>
        <v>0</v>
      </c>
      <c r="AJ54" s="13">
        <f ca="1">'TUSD BE'!$AJ$54*'TUSD BE'!$AJ$62</f>
        <v>0</v>
      </c>
      <c r="AK54" s="13">
        <f ca="1">'TUSD BE'!$AK$54*'TUSD BE'!$AK$62</f>
        <v>0</v>
      </c>
      <c r="AL54" s="13">
        <f ca="1">SUM($AH$54:$AK$54)</f>
        <v>-0.10470453271851451</v>
      </c>
      <c r="AM54" s="13">
        <f ca="1">SUMIF($L$4:$AL$4,"SUBTOTAL",$L$54:$AL$54)</f>
        <v>-2.0260345965909772</v>
      </c>
      <c r="AO54" s="26">
        <f ca="1">+'TUSD BE'!$T$54+'TUSD BE'!$AB$54+'TUSD BE'!$AD$54+'TUSD BE'!$AL$54</f>
        <v>191.12411604781127</v>
      </c>
      <c r="AP54" s="26">
        <f ca="1">+'TUSD BE'!$T$54+'TUSD BE'!$AB$54+'TUSD BE'!$AD$54+'TUSD BE'!$AL$54</f>
        <v>191.12411604781127</v>
      </c>
    </row>
    <row r="55" spans="1:42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>
        <f>'TUSD BE'!$L$55*'TUSD BE'!$L$62</f>
        <v>-0.26418431276422388</v>
      </c>
      <c r="M55" s="13">
        <f>'TUSD BE'!$M$55*'TUSD BE'!$M$62</f>
        <v>-9.0823219195133344E-3</v>
      </c>
      <c r="N55" s="13">
        <f ca="1">'TUSD BE'!$N$55*'TUSD BE'!$N$62</f>
        <v>0</v>
      </c>
      <c r="O55" s="13">
        <f>'TUSD BE'!$O$55*'TUSD BE'!$O$62</f>
        <v>0</v>
      </c>
      <c r="P55" s="13">
        <f>'TUSD BE'!$P$55*'TUSD BE'!$P$62</f>
        <v>0</v>
      </c>
      <c r="Q55" s="13">
        <f>'TUSD BE'!$Q$55*'TUSD BE'!$Q$62</f>
        <v>-0.5054084633240542</v>
      </c>
      <c r="R55" s="13">
        <f>'TUSD BE'!$R$55*'TUSD BE'!$R$62</f>
        <v>-6.8750670651720761E-2</v>
      </c>
      <c r="S55" s="13">
        <f>'TUSD BE'!$R$55*'TUSD BE'!$S$62</f>
        <v>0</v>
      </c>
      <c r="T55" s="13">
        <f ca="1">SUM($L$55:$S$55)</f>
        <v>-0.84742576865951225</v>
      </c>
      <c r="U55" s="13">
        <f>'TUSD BE'!$U$55*'TUSD BE'!$U$62</f>
        <v>1.6171103004962191</v>
      </c>
      <c r="V55" s="13">
        <f>'TUSD BE'!$V$55*'TUSD BE'!$V$62</f>
        <v>0.22755062141689189</v>
      </c>
      <c r="W55" s="13">
        <f>'TUSD BE'!$W$55*'TUSD BE'!$W$62</f>
        <v>0</v>
      </c>
      <c r="X55" s="13">
        <f>'TUSD BE'!$X$55*'TUSD BE'!$X$62</f>
        <v>0</v>
      </c>
      <c r="Y55" s="13">
        <f>'TUSD BE'!$Y$55*'TUSD BE'!$Y$62</f>
        <v>0</v>
      </c>
      <c r="Z55" s="13">
        <f>'TUSD BE'!$Z$55*'TUSD BE'!$Z$62</f>
        <v>0</v>
      </c>
      <c r="AA55" s="13">
        <f>'TUSD BE'!$AA$55*'TUSD BE'!$AA$62</f>
        <v>0</v>
      </c>
      <c r="AB55" s="13">
        <f>SUM($U$55:$AA$55)</f>
        <v>1.8446609219131109</v>
      </c>
      <c r="AC55" s="13">
        <f>'TUSD BE'!$AC$55*'TUSD BE'!$AC$62</f>
        <v>-3.0932315865690123</v>
      </c>
      <c r="AD55" s="13">
        <f>SUM($AC$55:$AC$55)</f>
        <v>-3.0932315865690123</v>
      </c>
      <c r="AE55" s="13">
        <f ca="1">$AO$55*$AO$59</f>
        <v>0</v>
      </c>
      <c r="AF55" s="13">
        <f ca="1">$AP$55*$AP$59</f>
        <v>0</v>
      </c>
      <c r="AG55" s="13">
        <f ca="1">SUM($AE$55:$AF$55)</f>
        <v>0</v>
      </c>
      <c r="AH55" s="13">
        <f>'TUSD BE'!$AH$55*'TUSD BE'!$AH$62</f>
        <v>-0.11422312660201582</v>
      </c>
      <c r="AI55" s="13">
        <f>'TUSD BE'!$AI$55*'TUSD BE'!$AI$62</f>
        <v>0</v>
      </c>
      <c r="AJ55" s="13">
        <f ca="1">'TUSD BE'!$AJ$55*'TUSD BE'!$AJ$62</f>
        <v>0</v>
      </c>
      <c r="AK55" s="13">
        <f ca="1">'TUSD BE'!$AK$55*'TUSD BE'!$AK$62</f>
        <v>0</v>
      </c>
      <c r="AL55" s="13">
        <f ca="1">SUM($AH$55:$AK$55)</f>
        <v>-0.11422312660201582</v>
      </c>
      <c r="AM55" s="13">
        <f ca="1">SUMIF($L$4:$AL$4,"SUBTOTAL",$L$55:$AL$55)</f>
        <v>-2.2102195599174297</v>
      </c>
      <c r="AO55" s="26">
        <f ca="1">+'TUSD BE'!$T$55+'TUSD BE'!$AB$55+'TUSD BE'!$AD$55+'TUSD BE'!$AL$55</f>
        <v>208.49903568852133</v>
      </c>
      <c r="AP55" s="26">
        <f ca="1">+'TUSD BE'!$T$55+'TUSD BE'!$AB$55+'TUSD BE'!$AD$55+'TUSD BE'!$AL$55</f>
        <v>208.49903568852133</v>
      </c>
    </row>
    <row r="57" spans="1:42" ht="11.25" customHeight="1" x14ac:dyDescent="0.25">
      <c r="K57" s="16" t="s">
        <v>558</v>
      </c>
      <c r="L57" s="13">
        <f>SUMPRODUCT($I$5:$I55,$L$5:$L55)</f>
        <v>-128162.06640272774</v>
      </c>
      <c r="M57" s="13">
        <f>SUMPRODUCT($I$5:$I55,$M$5:$M55)</f>
        <v>-3549.1525413601657</v>
      </c>
      <c r="N57" s="13">
        <f ca="1">SUMPRODUCT($I$5:$I55,$N$5:$N55)</f>
        <v>0</v>
      </c>
      <c r="O57" s="13">
        <f>SUMPRODUCT($I$5:$I55,$O$5:$O55)</f>
        <v>0</v>
      </c>
      <c r="P57" s="13">
        <f>SUMPRODUCT($I$5:$I55,$P$5:$P55)</f>
        <v>0</v>
      </c>
      <c r="Q57" s="13">
        <f>SUMPRODUCT($I$5:$I55,$Q$5:$Q55)</f>
        <v>-245185.6143890229</v>
      </c>
      <c r="R57" s="13">
        <f>SUMPRODUCT($I$5:$I55,$R$5:$R55)</f>
        <v>-37884.4875664504</v>
      </c>
      <c r="S57" s="13">
        <f>SUMPRODUCT($I$5:$I55,$S$5:$S55)</f>
        <v>0</v>
      </c>
      <c r="T57" s="13">
        <f ca="1">SUMPRODUCT($I$5:$I55,$T$5:$T55)</f>
        <v>-414781.32089956122</v>
      </c>
      <c r="U57" s="13">
        <f>SUMPRODUCT($I$5:$I55,$U$5:$U55)</f>
        <v>977316.44974697568</v>
      </c>
      <c r="V57" s="13">
        <f>SUMPRODUCT($I$5:$I55,$V$5:$V55)</f>
        <v>136982.0398589597</v>
      </c>
      <c r="W57" s="13">
        <f>SUMPRODUCT($I$5:$I55,$W$5:$W55)</f>
        <v>0</v>
      </c>
      <c r="X57" s="13">
        <f>SUMPRODUCT($I$5:$I55,$X$5:$X55)</f>
        <v>0</v>
      </c>
      <c r="Y57" s="13">
        <f>SUMPRODUCT($I$5:$I55,$Y$5:$Y55)</f>
        <v>0</v>
      </c>
      <c r="Z57" s="13">
        <f>SUMPRODUCT($I$5:$I55,$Z$5:$Z55)</f>
        <v>0</v>
      </c>
      <c r="AA57" s="13">
        <f>SUMPRODUCT($I$5:$I55,$AA$5:$AA55)</f>
        <v>0</v>
      </c>
      <c r="AB57" s="13">
        <f>SUMPRODUCT($I$5:$I55,$AB$5:$AB55)</f>
        <v>1114298.4896059355</v>
      </c>
      <c r="AC57" s="13">
        <f>SUMPRODUCT($I$5:$I55,$AC$5:$AC55)</f>
        <v>-1208758.9664889562</v>
      </c>
      <c r="AD57" s="13">
        <f>SUMPRODUCT($I$5:$I55,$AD$5:$AD55)</f>
        <v>-1208758.9664889562</v>
      </c>
      <c r="AE57" s="13">
        <f ca="1">SUMPRODUCT($I$5:$I55,$AE$5:$AE55)</f>
        <v>0</v>
      </c>
      <c r="AF57" s="13">
        <f ca="1">SUMPRODUCT($I$5:$I55,$AF$5:$AF55)</f>
        <v>0</v>
      </c>
      <c r="AG57" s="13">
        <f ca="1">SUMPRODUCT($I$5:$I55,$AG$5:$AG55)</f>
        <v>0</v>
      </c>
      <c r="AH57" s="13">
        <f>SUMPRODUCT($I$5:$I55,$AH$5:$AH55)</f>
        <v>-36049.488240288418</v>
      </c>
      <c r="AI57" s="13">
        <f>SUMPRODUCT($I$5:$I55,$AI$5:$AI55)</f>
        <v>0</v>
      </c>
      <c r="AJ57" s="13">
        <f ca="1">SUMPRODUCT($I$5:$I55,$AJ$5:$AJ55)</f>
        <v>0</v>
      </c>
      <c r="AK57" s="13">
        <f ca="1">SUMPRODUCT($I$5:$I55,$AK$5:$AK55)</f>
        <v>0</v>
      </c>
      <c r="AL57" s="13">
        <f ca="1">SUMPRODUCT($I$5:$I55,$AL$5:$AL55)</f>
        <v>-36049.488240288418</v>
      </c>
      <c r="AM57" s="13">
        <f ca="1">SUMPRODUCT($I$5:$I55,$AM$5:$AM55)</f>
        <v>-545291.28602287034</v>
      </c>
      <c r="AO57" s="24">
        <f ca="1">SUMPRODUCT($I$5:$I55,$AO$5:$AO55)</f>
        <v>93040827.765487552</v>
      </c>
      <c r="AP57" s="24">
        <f ca="1">SUMPRODUCT($I$5:$I55,$AP$5:$AP55)</f>
        <v>93040827.765487552</v>
      </c>
    </row>
    <row r="58" spans="1:42" ht="11.25" customHeight="1" x14ac:dyDescent="0.25">
      <c r="K58" s="16" t="s">
        <v>490</v>
      </c>
      <c r="L58" s="13">
        <f>'TR TUSD'!$L$60</f>
        <v>9419991.3842511326</v>
      </c>
      <c r="M58" s="13">
        <f>'TR TUSD'!$M$60</f>
        <v>174059.44361910204</v>
      </c>
      <c r="N58" s="13">
        <f>'TR TUSD'!$N$60</f>
        <v>0</v>
      </c>
      <c r="O58" s="13">
        <f>'TR TUSD'!$O$60</f>
        <v>0</v>
      </c>
      <c r="P58" s="13">
        <f>'TR TUSD'!$P$60</f>
        <v>0</v>
      </c>
      <c r="Q58" s="13">
        <f>'TR TUSD'!$Q$60</f>
        <v>26430216.89694</v>
      </c>
      <c r="R58" s="13">
        <f>'TR TUSD'!$R$60</f>
        <v>4738373.3178900015</v>
      </c>
      <c r="S58" s="13">
        <f>'TR TUSD'!$S$60</f>
        <v>0</v>
      </c>
      <c r="T58" s="13">
        <f>'TR TUSD'!$T$60</f>
        <v>40762641.042700239</v>
      </c>
      <c r="U58" s="13">
        <f>'TR TUSD'!$U$60</f>
        <v>9344727</v>
      </c>
      <c r="V58" s="13">
        <f>'TR TUSD'!$V$60</f>
        <v>1309770</v>
      </c>
      <c r="W58" s="13">
        <f>'TR TUSD'!$W$60</f>
        <v>0</v>
      </c>
      <c r="X58" s="13">
        <f>'TR TUSD'!$X$60</f>
        <v>0</v>
      </c>
      <c r="Y58" s="13">
        <f>'TR TUSD'!$Y$60</f>
        <v>0</v>
      </c>
      <c r="Z58" s="13">
        <f>'TR TUSD'!$Z$60</f>
        <v>0</v>
      </c>
      <c r="AA58" s="13">
        <f>'TR TUSD'!$AA$60</f>
        <v>0</v>
      </c>
      <c r="AB58" s="13">
        <f>'TR TUSD'!$AB$60</f>
        <v>10654497</v>
      </c>
      <c r="AC58" s="13">
        <f>'TR TUSD'!$AC$60</f>
        <v>39323417.770000003</v>
      </c>
      <c r="AD58" s="13">
        <f>'TR TUSD'!$AD$60</f>
        <v>39323417.770000003</v>
      </c>
      <c r="AE58" s="13">
        <f>'TR TUSD'!$AE$60</f>
        <v>0</v>
      </c>
      <c r="AF58" s="13">
        <f>'TR TUSD'!$AF$60</f>
        <v>0</v>
      </c>
      <c r="AG58" s="13">
        <f>'TR TUSD'!$AG$60</f>
        <v>0</v>
      </c>
      <c r="AH58" s="13">
        <f>'TR TUSD'!$AH$60</f>
        <v>2300271.9527872917</v>
      </c>
      <c r="AI58" s="13">
        <f>'TR TUSD'!$AI$60</f>
        <v>0</v>
      </c>
      <c r="AJ58" s="13">
        <f>'TR TUSD'!$AJ$60</f>
        <v>0</v>
      </c>
      <c r="AK58" s="13">
        <f>'TR TUSD'!$AK$60</f>
        <v>0</v>
      </c>
      <c r="AL58" s="13">
        <f>'TR TUSD'!$AL$60</f>
        <v>2300271.9527872917</v>
      </c>
      <c r="AM58" s="13">
        <f>'TUSD BE'!$AM$58</f>
        <v>93040827.765487537</v>
      </c>
      <c r="AO58" s="24">
        <f>$AE$59</f>
        <v>0</v>
      </c>
      <c r="AP58" s="24">
        <f>$AF$59</f>
        <v>0</v>
      </c>
    </row>
    <row r="59" spans="1:42" ht="11.25" customHeight="1" x14ac:dyDescent="0.25">
      <c r="K59" s="16" t="s">
        <v>491</v>
      </c>
      <c r="L59" s="13">
        <f>CUSTOS!$E$2</f>
        <v>-128162.06640272774</v>
      </c>
      <c r="M59" s="13">
        <f>CUSTOS!$E$3</f>
        <v>-3549.1525413601648</v>
      </c>
      <c r="N59" s="13">
        <f>CUSTOS!$E$4</f>
        <v>0</v>
      </c>
      <c r="O59" s="13">
        <f>CUSTOS!$E$5</f>
        <v>0</v>
      </c>
      <c r="P59" s="13">
        <f>CUSTOS!$E$6</f>
        <v>0</v>
      </c>
      <c r="Q59" s="13">
        <f>CUSTOS!$E$7</f>
        <v>-245185.61438902293</v>
      </c>
      <c r="R59" s="13">
        <f>CUSTOS!$E$8</f>
        <v>-37884.487566450392</v>
      </c>
      <c r="S59" s="13">
        <f>CUSTOS!$E$9</f>
        <v>0</v>
      </c>
      <c r="T59" s="13">
        <f>CUSTOS!$E$10</f>
        <v>-414781.32089956122</v>
      </c>
      <c r="U59" s="13">
        <f>CUSTOS!$E$11</f>
        <v>977316.44974697579</v>
      </c>
      <c r="V59" s="13">
        <f>CUSTOS!$E$12</f>
        <v>136982.03985895967</v>
      </c>
      <c r="W59" s="13">
        <f>CUSTOS!$E$13</f>
        <v>0</v>
      </c>
      <c r="X59" s="13">
        <f>CUSTOS!$E$14</f>
        <v>0</v>
      </c>
      <c r="Y59" s="13">
        <f>CUSTOS!$E$15</f>
        <v>0</v>
      </c>
      <c r="Z59" s="13">
        <f>CUSTOS!$E$16</f>
        <v>0</v>
      </c>
      <c r="AA59" s="13">
        <f>CUSTOS!$E$17</f>
        <v>0</v>
      </c>
      <c r="AB59" s="13">
        <f>CUSTOS!$E$18</f>
        <v>1114298.4896059355</v>
      </c>
      <c r="AC59" s="13">
        <f>CUSTOS!$E$19</f>
        <v>-1208758.9664889562</v>
      </c>
      <c r="AD59" s="13">
        <f>CUSTOS!$E$20</f>
        <v>-1208758.9664889562</v>
      </c>
      <c r="AE59" s="13">
        <f>CUSTOS!$E$21</f>
        <v>0</v>
      </c>
      <c r="AF59" s="13">
        <f>CUSTOS!$E$22</f>
        <v>0</v>
      </c>
      <c r="AG59" s="13">
        <f>CUSTOS!$E$23</f>
        <v>0</v>
      </c>
      <c r="AH59" s="13">
        <f>CUSTOS!$E$24</f>
        <v>-36049.488240288418</v>
      </c>
      <c r="AI59" s="13">
        <f>CUSTOS!$E$25</f>
        <v>0</v>
      </c>
      <c r="AJ59" s="13">
        <f>CUSTOS!$E$26</f>
        <v>0</v>
      </c>
      <c r="AK59" s="13">
        <f>CUSTOS!$E$27</f>
        <v>0</v>
      </c>
      <c r="AL59" s="13">
        <f>CUSTOS!$E$28</f>
        <v>-36049.488240288418</v>
      </c>
      <c r="AM59" s="13">
        <f>CUSTOS!$E$29</f>
        <v>-545291.28602287045</v>
      </c>
      <c r="AO59" s="24">
        <f ca="1">IF(AO57&lt;&gt;0,AO58/AO57,0)</f>
        <v>0</v>
      </c>
      <c r="AP59" s="24">
        <f ca="1">IF(AP57&lt;&gt;0,AP58/AP57,0)</f>
        <v>0</v>
      </c>
    </row>
    <row r="60" spans="1:42" ht="11.25" customHeight="1" x14ac:dyDescent="0.25">
      <c r="K60" s="16" t="s">
        <v>492</v>
      </c>
      <c r="L60" s="13">
        <f>CUSTOS!$F$2</f>
        <v>0</v>
      </c>
      <c r="M60" s="13">
        <f>CUSTOS!$F$3</f>
        <v>0</v>
      </c>
      <c r="N60" s="13">
        <f>CUSTOS!$F$4</f>
        <v>0</v>
      </c>
      <c r="O60" s="13">
        <f>CUSTOS!$F$5</f>
        <v>0</v>
      </c>
      <c r="P60" s="13">
        <f>CUSTOS!$F$6</f>
        <v>0</v>
      </c>
      <c r="Q60" s="13">
        <f>CUSTOS!$F$7</f>
        <v>0</v>
      </c>
      <c r="R60" s="13">
        <f>CUSTOS!$F$8</f>
        <v>0</v>
      </c>
      <c r="S60" s="13">
        <f>CUSTOS!$F$9</f>
        <v>0</v>
      </c>
      <c r="T60" s="13">
        <f>CUSTOS!$F$10</f>
        <v>0</v>
      </c>
      <c r="U60" s="13">
        <f>CUSTOS!$F$11</f>
        <v>0</v>
      </c>
      <c r="V60" s="13">
        <f>CUSTOS!$F$12</f>
        <v>0</v>
      </c>
      <c r="W60" s="13">
        <f>CUSTOS!$F$13</f>
        <v>0</v>
      </c>
      <c r="X60" s="13">
        <f>CUSTOS!$F$14</f>
        <v>0</v>
      </c>
      <c r="Y60" s="13">
        <f>CUSTOS!$F$15</f>
        <v>0</v>
      </c>
      <c r="Z60" s="13">
        <f>CUSTOS!$F$16</f>
        <v>0</v>
      </c>
      <c r="AA60" s="13">
        <f>CUSTOS!$F$17</f>
        <v>0</v>
      </c>
      <c r="AB60" s="13">
        <f>CUSTOS!$F$18</f>
        <v>0</v>
      </c>
      <c r="AC60" s="13">
        <f>CUSTOS!$F$19</f>
        <v>0</v>
      </c>
      <c r="AD60" s="13">
        <f>CUSTOS!$F$20</f>
        <v>0</v>
      </c>
      <c r="AE60" s="13">
        <f>CUSTOS!$F$21</f>
        <v>0</v>
      </c>
      <c r="AF60" s="13">
        <f>CUSTOS!$F$22</f>
        <v>0</v>
      </c>
      <c r="AG60" s="13">
        <f>CUSTOS!$F$23</f>
        <v>0</v>
      </c>
      <c r="AH60" s="13">
        <f>CUSTOS!$F$24</f>
        <v>0</v>
      </c>
      <c r="AI60" s="13">
        <f>CUSTOS!$F$25</f>
        <v>0</v>
      </c>
      <c r="AJ60" s="13">
        <f>CUSTOS!$F$26</f>
        <v>0</v>
      </c>
      <c r="AK60" s="13">
        <f>CUSTOS!$F$27</f>
        <v>0</v>
      </c>
      <c r="AL60" s="13">
        <f>CUSTOS!$F$28</f>
        <v>0</v>
      </c>
      <c r="AM60" s="13">
        <f>CUSTOS!$F$29</f>
        <v>0</v>
      </c>
    </row>
    <row r="61" spans="1:42" ht="11.25" customHeight="1" x14ac:dyDescent="0.25">
      <c r="K61" s="16" t="s">
        <v>555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f>SUM($L$61:$S$61)</f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f>SUM($U$61:$AA$61)</f>
        <v>0</v>
      </c>
      <c r="AC61" s="13">
        <v>0</v>
      </c>
      <c r="AD61" s="13">
        <f>SUM($AC$61:$AC$61)</f>
        <v>0</v>
      </c>
      <c r="AE61" s="13">
        <v>0</v>
      </c>
      <c r="AF61" s="13">
        <v>0</v>
      </c>
      <c r="AG61" s="13">
        <f>SUM($AE$61:$AF$61)</f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f>SUM($AH$61:$AK$61)</f>
        <v>0</v>
      </c>
      <c r="AM61" s="13"/>
    </row>
    <row r="62" spans="1:42" ht="11.25" customHeight="1" x14ac:dyDescent="0.25">
      <c r="K62" s="16" t="s">
        <v>567</v>
      </c>
      <c r="L62" s="13">
        <f t="shared" ref="L62:R62" si="0">IF((L58-(0))&lt;&gt;0,(L60)/(L58-(0)),0)</f>
        <v>0</v>
      </c>
      <c r="M62" s="13">
        <f t="shared" si="0"/>
        <v>0</v>
      </c>
      <c r="N62" s="13">
        <f t="shared" si="0"/>
        <v>0</v>
      </c>
      <c r="O62" s="13">
        <f t="shared" si="0"/>
        <v>0</v>
      </c>
      <c r="P62" s="13">
        <f t="shared" si="0"/>
        <v>0</v>
      </c>
      <c r="Q62" s="13">
        <f t="shared" si="0"/>
        <v>0</v>
      </c>
      <c r="R62" s="13">
        <f t="shared" si="0"/>
        <v>0</v>
      </c>
      <c r="S62" s="13">
        <f>IF((R57-(0)&lt;&gt;0),(S59)/(R57-(0)),0)</f>
        <v>0</v>
      </c>
      <c r="T62" s="13"/>
      <c r="U62" s="13">
        <f t="shared" ref="U62:AA62" si="1">IF((U58-(0))&lt;&gt;0,(U60)/(U58-(0)),0)</f>
        <v>0</v>
      </c>
      <c r="V62" s="13">
        <f t="shared" si="1"/>
        <v>0</v>
      </c>
      <c r="W62" s="13">
        <f t="shared" si="1"/>
        <v>0</v>
      </c>
      <c r="X62" s="13">
        <f t="shared" si="1"/>
        <v>0</v>
      </c>
      <c r="Y62" s="13">
        <f t="shared" si="1"/>
        <v>0</v>
      </c>
      <c r="Z62" s="13">
        <f t="shared" si="1"/>
        <v>0</v>
      </c>
      <c r="AA62" s="13">
        <f t="shared" si="1"/>
        <v>0</v>
      </c>
      <c r="AB62" s="13"/>
      <c r="AC62" s="13">
        <f>IF((AC58-(0))&lt;&gt;0,(AC60)/(AC58-(0)),0)</f>
        <v>0</v>
      </c>
      <c r="AD62" s="13"/>
      <c r="AE62" s="13">
        <f ca="1">IF(($AM57-(0))&lt;&gt;0,(AE59)/($AM57-(0)),0)</f>
        <v>0</v>
      </c>
      <c r="AF62" s="13">
        <f ca="1">IF(($AM57-(0))&lt;&gt;0,(AF59)/($AM57-(0)),0)</f>
        <v>0</v>
      </c>
      <c r="AG62" s="13"/>
      <c r="AH62" s="13">
        <f>IF((AH58-(0))&lt;&gt;0,(AH60)/(AH58-(0)),0)</f>
        <v>0</v>
      </c>
      <c r="AI62" s="13">
        <f>IF((AI58-(0))&lt;&gt;0,(AI60)/(AI58-(0)),0)</f>
        <v>0</v>
      </c>
      <c r="AJ62" s="13">
        <f>IF((AJ58-(0))&lt;&gt;0,(AJ60)/(AJ58-(0)),0)</f>
        <v>0</v>
      </c>
      <c r="AK62" s="13">
        <f>IF((AK58-(0))&lt;&gt;0,(AK60)/(AK58-(0)),0)</f>
        <v>0</v>
      </c>
      <c r="AL62" s="13"/>
      <c r="AM62" s="13"/>
    </row>
  </sheetData>
  <mergeCells count="79">
    <mergeCell ref="B1:B4"/>
    <mergeCell ref="C1:C4"/>
    <mergeCell ref="D1:D4"/>
    <mergeCell ref="E1:E4"/>
    <mergeCell ref="F1:F4"/>
    <mergeCell ref="AP1:AP4"/>
    <mergeCell ref="L2:AM2"/>
    <mergeCell ref="L3:T3"/>
    <mergeCell ref="U3:AB3"/>
    <mergeCell ref="AC3:AD3"/>
    <mergeCell ref="E14:E16"/>
    <mergeCell ref="AE3:AG3"/>
    <mergeCell ref="AH3:AL3"/>
    <mergeCell ref="AM3:AM4"/>
    <mergeCell ref="A5:A8"/>
    <mergeCell ref="B5:B8"/>
    <mergeCell ref="C5:C8"/>
    <mergeCell ref="D5:D8"/>
    <mergeCell ref="E5:E7"/>
    <mergeCell ref="F5:F7"/>
    <mergeCell ref="G1:G4"/>
    <mergeCell ref="H1:H4"/>
    <mergeCell ref="I1:I4"/>
    <mergeCell ref="J1:J4"/>
    <mergeCell ref="L1:AM1"/>
    <mergeCell ref="A1:A4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F21:F23"/>
    <mergeCell ref="B24:B28"/>
    <mergeCell ref="C24:C28"/>
    <mergeCell ref="B29:B33"/>
    <mergeCell ref="C29:C33"/>
    <mergeCell ref="A21:A33"/>
    <mergeCell ref="B21:B23"/>
    <mergeCell ref="C21:C23"/>
    <mergeCell ref="D21:D23"/>
    <mergeCell ref="E21:E23"/>
    <mergeCell ref="D42:D44"/>
    <mergeCell ref="E42:E44"/>
    <mergeCell ref="F42:F44"/>
    <mergeCell ref="D34:D36"/>
    <mergeCell ref="E34:E36"/>
    <mergeCell ref="F34:F36"/>
    <mergeCell ref="D38:D40"/>
    <mergeCell ref="E38:E40"/>
    <mergeCell ref="F38:F40"/>
    <mergeCell ref="B46:B48"/>
    <mergeCell ref="C46:C48"/>
    <mergeCell ref="A49:A53"/>
    <mergeCell ref="B49:B51"/>
    <mergeCell ref="C49:C51"/>
    <mergeCell ref="A34:A48"/>
    <mergeCell ref="B34:B36"/>
    <mergeCell ref="C34:C36"/>
    <mergeCell ref="B42:B44"/>
    <mergeCell ref="C42:C44"/>
    <mergeCell ref="B38:B40"/>
    <mergeCell ref="C38:C40"/>
    <mergeCell ref="E49:E51"/>
    <mergeCell ref="F49:F51"/>
    <mergeCell ref="A54:A55"/>
    <mergeCell ref="B54:B55"/>
    <mergeCell ref="C54:C55"/>
    <mergeCell ref="D49:D51"/>
  </mergeCells>
  <conditionalFormatting sqref="L57">
    <cfRule type="cellIs" dxfId="728" priority="55" operator="notEqual">
      <formula>$L$59</formula>
    </cfRule>
    <cfRule type="cellIs" dxfId="727" priority="56" operator="equal">
      <formula>$L$59</formula>
    </cfRule>
  </conditionalFormatting>
  <conditionalFormatting sqref="M57">
    <cfRule type="cellIs" dxfId="726" priority="53" operator="notEqual">
      <formula>$M$59</formula>
    </cfRule>
    <cfRule type="cellIs" dxfId="725" priority="54" operator="equal">
      <formula>$M$59</formula>
    </cfRule>
  </conditionalFormatting>
  <conditionalFormatting sqref="N57">
    <cfRule type="cellIs" dxfId="724" priority="51" operator="notEqual">
      <formula>$N$59</formula>
    </cfRule>
    <cfRule type="cellIs" dxfId="723" priority="52" operator="equal">
      <formula>$N$59</formula>
    </cfRule>
  </conditionalFormatting>
  <conditionalFormatting sqref="O57">
    <cfRule type="cellIs" dxfId="722" priority="49" operator="notEqual">
      <formula>$O$59</formula>
    </cfRule>
    <cfRule type="cellIs" dxfId="721" priority="50" operator="equal">
      <formula>$O$59</formula>
    </cfRule>
  </conditionalFormatting>
  <conditionalFormatting sqref="P57">
    <cfRule type="cellIs" dxfId="720" priority="47" operator="notEqual">
      <formula>$P$59</formula>
    </cfRule>
    <cfRule type="cellIs" dxfId="719" priority="48" operator="equal">
      <formula>$P$59</formula>
    </cfRule>
  </conditionalFormatting>
  <conditionalFormatting sqref="Q57">
    <cfRule type="cellIs" dxfId="718" priority="45" operator="notEqual">
      <formula>$Q$59</formula>
    </cfRule>
    <cfRule type="cellIs" dxfId="717" priority="46" operator="equal">
      <formula>$Q$59</formula>
    </cfRule>
  </conditionalFormatting>
  <conditionalFormatting sqref="R57">
    <cfRule type="cellIs" dxfId="716" priority="43" operator="notEqual">
      <formula>$R$59</formula>
    </cfRule>
    <cfRule type="cellIs" dxfId="715" priority="44" operator="equal">
      <formula>$R$59</formula>
    </cfRule>
  </conditionalFormatting>
  <conditionalFormatting sqref="S57">
    <cfRule type="cellIs" dxfId="714" priority="41" operator="notEqual">
      <formula>$S$59</formula>
    </cfRule>
    <cfRule type="cellIs" dxfId="713" priority="42" operator="equal">
      <formula>$S$59</formula>
    </cfRule>
  </conditionalFormatting>
  <conditionalFormatting sqref="T57">
    <cfRule type="cellIs" dxfId="712" priority="39" operator="notEqual">
      <formula>$T$59</formula>
    </cfRule>
    <cfRule type="cellIs" dxfId="711" priority="40" operator="equal">
      <formula>$T$59</formula>
    </cfRule>
  </conditionalFormatting>
  <conditionalFormatting sqref="U57">
    <cfRule type="cellIs" dxfId="710" priority="37" operator="notEqual">
      <formula>$U$59</formula>
    </cfRule>
    <cfRule type="cellIs" dxfId="709" priority="38" operator="equal">
      <formula>$U$59</formula>
    </cfRule>
  </conditionalFormatting>
  <conditionalFormatting sqref="V57">
    <cfRule type="cellIs" dxfId="708" priority="35" operator="notEqual">
      <formula>$V$59</formula>
    </cfRule>
    <cfRule type="cellIs" dxfId="707" priority="36" operator="equal">
      <formula>$V$59</formula>
    </cfRule>
  </conditionalFormatting>
  <conditionalFormatting sqref="W57">
    <cfRule type="cellIs" dxfId="706" priority="33" operator="notEqual">
      <formula>$W$59</formula>
    </cfRule>
    <cfRule type="cellIs" dxfId="705" priority="34" operator="equal">
      <formula>$W$59</formula>
    </cfRule>
  </conditionalFormatting>
  <conditionalFormatting sqref="X57">
    <cfRule type="cellIs" dxfId="704" priority="31" operator="notEqual">
      <formula>$X$59</formula>
    </cfRule>
    <cfRule type="cellIs" dxfId="703" priority="32" operator="equal">
      <formula>$X$59</formula>
    </cfRule>
  </conditionalFormatting>
  <conditionalFormatting sqref="Y57">
    <cfRule type="cellIs" dxfId="702" priority="29" operator="notEqual">
      <formula>$Y$59</formula>
    </cfRule>
    <cfRule type="cellIs" dxfId="701" priority="30" operator="equal">
      <formula>$Y$59</formula>
    </cfRule>
  </conditionalFormatting>
  <conditionalFormatting sqref="Z57">
    <cfRule type="cellIs" dxfId="700" priority="27" operator="notEqual">
      <formula>$Z$59</formula>
    </cfRule>
    <cfRule type="cellIs" dxfId="699" priority="28" operator="equal">
      <formula>$Z$59</formula>
    </cfRule>
  </conditionalFormatting>
  <conditionalFormatting sqref="AA57">
    <cfRule type="cellIs" dxfId="698" priority="25" operator="notEqual">
      <formula>$AA$59</formula>
    </cfRule>
    <cfRule type="cellIs" dxfId="697" priority="26" operator="equal">
      <formula>$AA$59</formula>
    </cfRule>
  </conditionalFormatting>
  <conditionalFormatting sqref="AB57">
    <cfRule type="cellIs" dxfId="696" priority="23" operator="notEqual">
      <formula>$AB$59</formula>
    </cfRule>
    <cfRule type="cellIs" dxfId="695" priority="24" operator="equal">
      <formula>$AB$59</formula>
    </cfRule>
  </conditionalFormatting>
  <conditionalFormatting sqref="AC57">
    <cfRule type="cellIs" dxfId="694" priority="21" operator="notEqual">
      <formula>$AC$59</formula>
    </cfRule>
    <cfRule type="cellIs" dxfId="693" priority="22" operator="equal">
      <formula>$AC$59</formula>
    </cfRule>
  </conditionalFormatting>
  <conditionalFormatting sqref="AD57">
    <cfRule type="cellIs" dxfId="692" priority="19" operator="notEqual">
      <formula>$AD$59</formula>
    </cfRule>
    <cfRule type="cellIs" dxfId="691" priority="20" operator="equal">
      <formula>$AD$59</formula>
    </cfRule>
  </conditionalFormatting>
  <conditionalFormatting sqref="AE57">
    <cfRule type="cellIs" dxfId="690" priority="17" operator="notEqual">
      <formula>$AE$59</formula>
    </cfRule>
    <cfRule type="cellIs" dxfId="689" priority="18" operator="equal">
      <formula>$AE$59</formula>
    </cfRule>
  </conditionalFormatting>
  <conditionalFormatting sqref="AF57">
    <cfRule type="cellIs" dxfId="688" priority="16" operator="equal">
      <formula>$AF$59</formula>
    </cfRule>
  </conditionalFormatting>
  <conditionalFormatting sqref="AF57">
    <cfRule type="cellIs" dxfId="687" priority="15" operator="notEqual">
      <formula>$AF$59</formula>
    </cfRule>
  </conditionalFormatting>
  <conditionalFormatting sqref="AG57">
    <cfRule type="cellIs" dxfId="686" priority="14" operator="equal">
      <formula>$AG$59</formula>
    </cfRule>
  </conditionalFormatting>
  <conditionalFormatting sqref="AG57">
    <cfRule type="cellIs" dxfId="685" priority="13" operator="notEqual">
      <formula>$AG$59</formula>
    </cfRule>
  </conditionalFormatting>
  <conditionalFormatting sqref="AH57">
    <cfRule type="cellIs" dxfId="684" priority="12" operator="equal">
      <formula>$AH$59</formula>
    </cfRule>
  </conditionalFormatting>
  <conditionalFormatting sqref="AH57">
    <cfRule type="cellIs" dxfId="683" priority="11" operator="notEqual">
      <formula>$AH$59</formula>
    </cfRule>
  </conditionalFormatting>
  <conditionalFormatting sqref="AI57">
    <cfRule type="cellIs" dxfId="682" priority="10" operator="equal">
      <formula>$AI$59</formula>
    </cfRule>
  </conditionalFormatting>
  <conditionalFormatting sqref="AI57">
    <cfRule type="cellIs" dxfId="681" priority="9" operator="notEqual">
      <formula>$AI$59</formula>
    </cfRule>
  </conditionalFormatting>
  <conditionalFormatting sqref="AJ57">
    <cfRule type="cellIs" dxfId="680" priority="8" operator="equal">
      <formula>$AJ$59</formula>
    </cfRule>
  </conditionalFormatting>
  <conditionalFormatting sqref="AJ57">
    <cfRule type="cellIs" dxfId="679" priority="7" operator="notEqual">
      <formula>$AJ$59</formula>
    </cfRule>
  </conditionalFormatting>
  <conditionalFormatting sqref="AK57">
    <cfRule type="cellIs" dxfId="678" priority="6" operator="equal">
      <formula>$AK$59</formula>
    </cfRule>
  </conditionalFormatting>
  <conditionalFormatting sqref="AK57">
    <cfRule type="cellIs" dxfId="677" priority="5" operator="notEqual">
      <formula>$AK$59</formula>
    </cfRule>
  </conditionalFormatting>
  <conditionalFormatting sqref="AL57">
    <cfRule type="cellIs" dxfId="676" priority="4" operator="equal">
      <formula>$AL$59</formula>
    </cfRule>
  </conditionalFormatting>
  <conditionalFormatting sqref="AL57">
    <cfRule type="cellIs" dxfId="675" priority="3" operator="notEqual">
      <formula>$AL$59</formula>
    </cfRule>
  </conditionalFormatting>
  <conditionalFormatting sqref="AM57">
    <cfRule type="cellIs" dxfId="674" priority="2" operator="equal">
      <formula>$AM$59</formula>
    </cfRule>
  </conditionalFormatting>
  <conditionalFormatting sqref="AM57">
    <cfRule type="cellIs" dxfId="673" priority="1" operator="notEqual">
      <formula>$AM$59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AB39-652E-4FAE-A097-78BA576F5AE2}">
  <dimension ref="A1:AP61"/>
  <sheetViews>
    <sheetView showGridLines="0" topLeftCell="AB32" workbookViewId="0">
      <selection activeCell="AO57" sqref="AO57:AP5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6" width="4.8554687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10" style="9" bestFit="1" customWidth="1"/>
    <col min="22" max="22" width="8.7109375" style="9" bestFit="1" customWidth="1"/>
    <col min="23" max="24" width="9.85546875" style="9" bestFit="1" customWidth="1"/>
    <col min="25" max="25" width="5.1406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569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551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/>
      <c r="U3" s="92" t="s">
        <v>458</v>
      </c>
      <c r="V3" s="92"/>
      <c r="W3" s="92"/>
      <c r="X3" s="92"/>
      <c r="Y3" s="92"/>
      <c r="Z3" s="92"/>
      <c r="AA3" s="92"/>
      <c r="AB3" s="92"/>
      <c r="AC3" s="92" t="s">
        <v>466</v>
      </c>
      <c r="AD3" s="92"/>
      <c r="AE3" s="92" t="s">
        <v>468</v>
      </c>
      <c r="AF3" s="92"/>
      <c r="AG3" s="92"/>
      <c r="AH3" s="92" t="s">
        <v>471</v>
      </c>
      <c r="AI3" s="92"/>
      <c r="AJ3" s="92"/>
      <c r="AK3" s="92"/>
      <c r="AL3" s="92"/>
      <c r="AM3" s="92" t="s">
        <v>457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457</v>
      </c>
      <c r="U4" s="10" t="s">
        <v>459</v>
      </c>
      <c r="V4" s="10" t="s">
        <v>460</v>
      </c>
      <c r="W4" s="10" t="s">
        <v>461</v>
      </c>
      <c r="X4" s="10" t="s">
        <v>462</v>
      </c>
      <c r="Y4" s="10" t="s">
        <v>463</v>
      </c>
      <c r="Z4" s="10" t="s">
        <v>464</v>
      </c>
      <c r="AA4" s="10" t="s">
        <v>465</v>
      </c>
      <c r="AB4" s="10" t="s">
        <v>457</v>
      </c>
      <c r="AC4" s="10" t="s">
        <v>467</v>
      </c>
      <c r="AD4" s="10" t="s">
        <v>457</v>
      </c>
      <c r="AE4" s="10" t="s">
        <v>469</v>
      </c>
      <c r="AF4" s="10" t="s">
        <v>470</v>
      </c>
      <c r="AG4" s="10" t="s">
        <v>457</v>
      </c>
      <c r="AH4" s="10" t="s">
        <v>472</v>
      </c>
      <c r="AI4" s="10" t="s">
        <v>473</v>
      </c>
      <c r="AJ4" s="10" t="s">
        <v>474</v>
      </c>
      <c r="AK4" s="10" t="s">
        <v>475</v>
      </c>
      <c r="AL4" s="10" t="s">
        <v>457</v>
      </c>
      <c r="AM4" s="95"/>
      <c r="AO4" s="27" t="s">
        <v>568</v>
      </c>
      <c r="AP4" s="98"/>
    </row>
    <row r="5" spans="1:42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>
        <f>'TUSD BE'!$L$5*'TUSD BF'!$L$62</f>
        <v>0</v>
      </c>
      <c r="M5" s="13">
        <f>'TUSD BE'!$M$5*'TUSD BF'!$M$62</f>
        <v>0</v>
      </c>
      <c r="N5" s="13">
        <f ca="1">'TUSD BE'!$N$5*'TUSD BF'!$N$62</f>
        <v>0</v>
      </c>
      <c r="O5" s="13">
        <f>'TUSD BE'!$O$5*'TUSD BF'!$O$62</f>
        <v>0</v>
      </c>
      <c r="P5" s="13">
        <f>'TUSD BE'!$P$5*'TUSD BF'!$P$62</f>
        <v>0</v>
      </c>
      <c r="Q5" s="13">
        <f>'TUSD BE'!$Q$5*'TUSD BF'!$Q$62</f>
        <v>0</v>
      </c>
      <c r="R5" s="13">
        <f>'TUSD BE'!$R$5*'TUSD BF'!$R$62</f>
        <v>0</v>
      </c>
      <c r="S5" s="13">
        <f>'TUSD BE'!$R$5*'TUSD BF'!$S$62</f>
        <v>0</v>
      </c>
      <c r="T5" s="13">
        <f ca="1">SUM($L$5:$S$5)</f>
        <v>0</v>
      </c>
      <c r="U5" s="13">
        <f>'TUSD BE'!$U$5*'TUSD BF'!$U$62</f>
        <v>0</v>
      </c>
      <c r="V5" s="13">
        <f>'TUSD BE'!$V$5*'TUSD BF'!$V$62</f>
        <v>0</v>
      </c>
      <c r="W5" s="13">
        <f>'TUSD BE'!$W$5*'TUSD BF'!$W$62</f>
        <v>0</v>
      </c>
      <c r="X5" s="13">
        <f>'TUSD BE'!$X$5*'TUSD BF'!$X$62</f>
        <v>0</v>
      </c>
      <c r="Y5" s="13">
        <f>'TUSD BE'!$Y$5*'TUSD BF'!$Y$62</f>
        <v>0</v>
      </c>
      <c r="Z5" s="13">
        <f>'TUSD BE'!$Z$5*'TUSD BF'!$Z$62</f>
        <v>0</v>
      </c>
      <c r="AA5" s="13">
        <f>'TUSD BE'!$AA$5*'TUSD BF'!$AA$62</f>
        <v>0</v>
      </c>
      <c r="AB5" s="13">
        <f>SUM($U$5:$AA$5)</f>
        <v>0</v>
      </c>
      <c r="AC5" s="13">
        <f>'TUSD BE'!$AC$5*'TUSD BF'!$AC$62</f>
        <v>0</v>
      </c>
      <c r="AD5" s="13">
        <f>SUM($AC$5:$AC$5)</f>
        <v>0</v>
      </c>
      <c r="AE5" s="13">
        <f ca="1">$AO$5*$AO$59</f>
        <v>0</v>
      </c>
      <c r="AF5" s="13">
        <f ca="1">$AP$5*$AP$59</f>
        <v>0</v>
      </c>
      <c r="AG5" s="13">
        <f ca="1">SUM($AE$5:$AF$5)</f>
        <v>0</v>
      </c>
      <c r="AH5" s="13">
        <f>'TUSD BE'!$AH$5*'TUSD BF'!$AH$62</f>
        <v>0</v>
      </c>
      <c r="AI5" s="13">
        <f>'TUSD BE'!$AI$5*'TUSD BF'!$AI$62</f>
        <v>0</v>
      </c>
      <c r="AJ5" s="13">
        <f ca="1">'TUSD BE'!$AJ$5*'TUSD BF'!$AJ$62</f>
        <v>0</v>
      </c>
      <c r="AK5" s="13">
        <f ca="1">'TUSD BE'!$AK$5*'TUSD BF'!$AK$62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27.134913214536951</v>
      </c>
      <c r="AP5" s="26">
        <f ca="1">+'TUSD BE'!$T$5+'TUSD BE'!$AB$5+'TUSD BE'!$AD$5+'TUSD BE'!$AL$5</f>
        <v>27.134913214536951</v>
      </c>
    </row>
    <row r="6" spans="1:42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>
        <f>'TUSD BE'!$L$6*'TUSD BF'!$L$62</f>
        <v>0</v>
      </c>
      <c r="M6" s="13">
        <f>'TUSD BE'!$M$6*'TUSD BF'!$M$62</f>
        <v>0</v>
      </c>
      <c r="N6" s="13">
        <f ca="1">'TUSD BE'!$N$6*'TUSD BF'!$N$62</f>
        <v>0</v>
      </c>
      <c r="O6" s="13">
        <f>'TUSD BE'!$O$6*'TUSD BF'!$O$62</f>
        <v>0</v>
      </c>
      <c r="P6" s="13">
        <f>'TUSD BE'!$P$6*'TUSD BF'!$P$62</f>
        <v>0</v>
      </c>
      <c r="Q6" s="13">
        <f>'TUSD BE'!$Q$6*'TUSD BF'!$Q$62</f>
        <v>0</v>
      </c>
      <c r="R6" s="13">
        <f>'TUSD BE'!$R$6*'TUSD BF'!$R$62</f>
        <v>0</v>
      </c>
      <c r="S6" s="13">
        <f>'TUSD BE'!$R$6*'TUSD BF'!$S$62</f>
        <v>0</v>
      </c>
      <c r="T6" s="13">
        <f ca="1">SUM($L$6:$S$6)</f>
        <v>0</v>
      </c>
      <c r="U6" s="13">
        <f>'TUSD BE'!$U$6*'TUSD BF'!$U$62</f>
        <v>0</v>
      </c>
      <c r="V6" s="13">
        <f>'TUSD BE'!$V$6*'TUSD BF'!$V$62</f>
        <v>0</v>
      </c>
      <c r="W6" s="13">
        <f>'TUSD BE'!$W$6*'TUSD BF'!$W$62</f>
        <v>0</v>
      </c>
      <c r="X6" s="13">
        <f>'TUSD BE'!$X$6*'TUSD BF'!$X$62</f>
        <v>0</v>
      </c>
      <c r="Y6" s="13">
        <f>'TUSD BE'!$Y$6*'TUSD BF'!$Y$62</f>
        <v>0</v>
      </c>
      <c r="Z6" s="13">
        <f>'TUSD BE'!$Z$6*'TUSD BF'!$Z$62</f>
        <v>0</v>
      </c>
      <c r="AA6" s="13">
        <f>'TUSD BE'!$AA$6*'TUSD BF'!$AA$62</f>
        <v>0</v>
      </c>
      <c r="AB6" s="13">
        <f>SUM($U$6:$AA$6)</f>
        <v>0</v>
      </c>
      <c r="AC6" s="13">
        <f>'TUSD BE'!$AC$6*'TUSD BF'!$AC$62</f>
        <v>0</v>
      </c>
      <c r="AD6" s="13">
        <f>SUM($AC$6:$AC$6)</f>
        <v>0</v>
      </c>
      <c r="AE6" s="13">
        <f ca="1">$AO$6*$AO$59</f>
        <v>0</v>
      </c>
      <c r="AF6" s="13">
        <f ca="1">$AP$6*$AP$59</f>
        <v>0</v>
      </c>
      <c r="AG6" s="13">
        <f ca="1">SUM($AE$6:$AF$6)</f>
        <v>0</v>
      </c>
      <c r="AH6" s="13">
        <f>'TUSD BE'!$AH$6*'TUSD BF'!$AH$62</f>
        <v>0</v>
      </c>
      <c r="AI6" s="13">
        <f>'TUSD BE'!$AI$6*'TUSD BF'!$AI$62</f>
        <v>0</v>
      </c>
      <c r="AJ6" s="13">
        <f ca="1">'TUSD BE'!$AJ$6*'TUSD BF'!$AJ$62</f>
        <v>0</v>
      </c>
      <c r="AK6" s="13">
        <f ca="1">'TUSD BE'!$AK$6*'TUSD BF'!$AK$62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10.929517216351304</v>
      </c>
      <c r="AP6" s="26">
        <f ca="1">+'TUSD BE'!$T$6+'TUSD BE'!$AB$6+'TUSD BE'!$AD$6+'TUSD BE'!$AL$6</f>
        <v>10.929517216351304</v>
      </c>
    </row>
    <row r="7" spans="1:42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>
        <f>'TUSD BE'!$L$7*'TUSD BF'!$L$62</f>
        <v>0</v>
      </c>
      <c r="M7" s="13">
        <f>'TUSD BE'!$M$7*'TUSD BF'!$M$62</f>
        <v>0</v>
      </c>
      <c r="N7" s="13">
        <f ca="1">'TUSD BE'!$N$7*'TUSD BF'!$N$62</f>
        <v>0</v>
      </c>
      <c r="O7" s="13">
        <f>'TUSD BE'!$O$7*'TUSD BF'!$O$62</f>
        <v>0</v>
      </c>
      <c r="P7" s="13">
        <f>'TUSD BE'!$P$7*'TUSD BF'!$P$62</f>
        <v>0</v>
      </c>
      <c r="Q7" s="13">
        <f>'TUSD BE'!$Q$7*'TUSD BF'!$Q$62</f>
        <v>0</v>
      </c>
      <c r="R7" s="13">
        <f>'TUSD BE'!$R$7*'TUSD BF'!$R$62</f>
        <v>0</v>
      </c>
      <c r="S7" s="13">
        <f>'TUSD BE'!$R$7*'TUSD BF'!$S$62</f>
        <v>0</v>
      </c>
      <c r="T7" s="13">
        <f ca="1">SUM($L$7:$S$7)</f>
        <v>0</v>
      </c>
      <c r="U7" s="13">
        <f>'TUSD BE'!$U$7*'TUSD BF'!$U$62</f>
        <v>0</v>
      </c>
      <c r="V7" s="13">
        <f>'TUSD BE'!$V$7*'TUSD BF'!$V$62</f>
        <v>0</v>
      </c>
      <c r="W7" s="13">
        <f>'TUSD BE'!$W$7*'TUSD BF'!$W$62</f>
        <v>0</v>
      </c>
      <c r="X7" s="13">
        <f>'TUSD BE'!$X$7*'TUSD BF'!$X$62</f>
        <v>0</v>
      </c>
      <c r="Y7" s="13">
        <f>'TUSD BE'!$Y$7*'TUSD BF'!$Y$62</f>
        <v>0</v>
      </c>
      <c r="Z7" s="13">
        <f>'TUSD BE'!$Z$7*'TUSD BF'!$Z$62</f>
        <v>0</v>
      </c>
      <c r="AA7" s="13">
        <f>'TUSD BE'!$AA$7*'TUSD BF'!$AA$62</f>
        <v>0</v>
      </c>
      <c r="AB7" s="13">
        <f>SUM($U$7:$AA$7)</f>
        <v>0</v>
      </c>
      <c r="AC7" s="13">
        <f>'TUSD BE'!$AC$7*'TUSD BF'!$AC$62</f>
        <v>0</v>
      </c>
      <c r="AD7" s="13">
        <f>SUM($AC$7:$AC$7)</f>
        <v>0</v>
      </c>
      <c r="AE7" s="13">
        <f ca="1">$AO$7*$AO$59</f>
        <v>0</v>
      </c>
      <c r="AF7" s="13">
        <f ca="1">$AP$7*$AP$59</f>
        <v>0</v>
      </c>
      <c r="AG7" s="13">
        <f ca="1">SUM($AE$7:$AF$7)</f>
        <v>0</v>
      </c>
      <c r="AH7" s="13">
        <f>'TUSD BE'!$AH$7*'TUSD BF'!$AH$62</f>
        <v>0</v>
      </c>
      <c r="AI7" s="13">
        <f>'TUSD BE'!$AI$7*'TUSD BF'!$AI$62</f>
        <v>0</v>
      </c>
      <c r="AJ7" s="13">
        <f ca="1">'TUSD BE'!$AJ$7*'TUSD BF'!$AJ$62</f>
        <v>0</v>
      </c>
      <c r="AK7" s="13">
        <f ca="1">'TUSD BE'!$AK$7*'TUSD BF'!$AK$62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93.584374598377067</v>
      </c>
      <c r="AP7" s="26">
        <f ca="1">+'TUSD BE'!$T$7+'TUSD BE'!$AB$7+'TUSD BE'!$AD$7+'TUSD BE'!$AL$7</f>
        <v>93.584374598377067</v>
      </c>
    </row>
    <row r="8" spans="1:42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>
        <f>'TUSD BE'!$L$8*'TUSD BF'!$L$62</f>
        <v>0</v>
      </c>
      <c r="M8" s="13">
        <f>'TUSD BE'!$M$8*'TUSD BF'!$M$62</f>
        <v>0</v>
      </c>
      <c r="N8" s="13">
        <f ca="1">'TUSD BE'!$N$8*'TUSD BF'!$N$62</f>
        <v>0</v>
      </c>
      <c r="O8" s="13">
        <f>'TUSD BE'!$O$8*'TUSD BF'!$O$62</f>
        <v>0</v>
      </c>
      <c r="P8" s="13">
        <f>'TUSD BE'!$P$8*'TUSD BF'!$P$62</f>
        <v>0</v>
      </c>
      <c r="Q8" s="13">
        <f>'TUSD BE'!$Q$8*'TUSD BF'!$Q$62</f>
        <v>0</v>
      </c>
      <c r="R8" s="13">
        <f>'TUSD BE'!$R$8*'TUSD BF'!$R$62</f>
        <v>0</v>
      </c>
      <c r="S8" s="13">
        <f>'TUSD BE'!$R$8*'TUSD BF'!$S$62</f>
        <v>0</v>
      </c>
      <c r="T8" s="13">
        <f ca="1">SUM($L$8:$S$8)</f>
        <v>0</v>
      </c>
      <c r="U8" s="13">
        <f>'TUSD BE'!$U$8*'TUSD BF'!$U$62</f>
        <v>0</v>
      </c>
      <c r="V8" s="13">
        <f>'TUSD BE'!$V$8*'TUSD BF'!$V$62</f>
        <v>0</v>
      </c>
      <c r="W8" s="13">
        <f>'TUSD BE'!$W$8*'TUSD BF'!$W$62</f>
        <v>0</v>
      </c>
      <c r="X8" s="13">
        <f>'TUSD BE'!$X$8*'TUSD BF'!$X$62</f>
        <v>0</v>
      </c>
      <c r="Y8" s="13">
        <f>'TUSD BE'!$Y$8*'TUSD BF'!$Y$62</f>
        <v>0</v>
      </c>
      <c r="Z8" s="13">
        <f>'TUSD BE'!$Z$8*'TUSD BF'!$Z$62</f>
        <v>0</v>
      </c>
      <c r="AA8" s="13">
        <f>'TUSD BE'!$AA$8*'TUSD BF'!$AA$62</f>
        <v>0</v>
      </c>
      <c r="AB8" s="13">
        <f>SUM($U$8:$AA$8)</f>
        <v>0</v>
      </c>
      <c r="AC8" s="13">
        <f>'TUSD BE'!$AC$8*'TUSD BF'!$AC$62</f>
        <v>0</v>
      </c>
      <c r="AD8" s="13">
        <f>SUM($AC$8:$AC$8)</f>
        <v>0</v>
      </c>
      <c r="AE8" s="13">
        <f ca="1">$AO$8*$AO$59</f>
        <v>0</v>
      </c>
      <c r="AF8" s="13">
        <f ca="1">$AP$8*$AP$59</f>
        <v>0</v>
      </c>
      <c r="AG8" s="13">
        <f ca="1">SUM($AE$8:$AF$8)</f>
        <v>0</v>
      </c>
      <c r="AH8" s="13">
        <f>'TUSD BE'!$AH$8*'TUSD BF'!$AH$62</f>
        <v>0</v>
      </c>
      <c r="AI8" s="13">
        <f>'TUSD BE'!$AI$8*'TUSD BF'!$AI$62</f>
        <v>0</v>
      </c>
      <c r="AJ8" s="13">
        <f ca="1">'TUSD BE'!$AJ$8*'TUSD BF'!$AJ$62</f>
        <v>0</v>
      </c>
      <c r="AK8" s="13">
        <f ca="1">'TUSD BE'!$AK$8*'TUSD BF'!$AK$62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2.8903983633110548</v>
      </c>
      <c r="AP8" s="26">
        <f ca="1">+'TUSD BE'!$T$8+'TUSD BE'!$AB$8+'TUSD BE'!$AD$8+'TUSD BE'!$AL$8</f>
        <v>2.8903983633110548</v>
      </c>
    </row>
    <row r="9" spans="1:42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>
        <f>'TUSD BE'!$L$9*'TUSD BF'!$L$62</f>
        <v>0</v>
      </c>
      <c r="M9" s="13">
        <f>'TUSD BE'!$M$9*'TUSD BF'!$M$62</f>
        <v>0</v>
      </c>
      <c r="N9" s="13">
        <f ca="1">'TUSD BE'!$N$9*'TUSD BF'!$N$62</f>
        <v>0</v>
      </c>
      <c r="O9" s="13">
        <f>'TUSD BE'!$O$9*'TUSD BF'!$O$62</f>
        <v>0</v>
      </c>
      <c r="P9" s="13">
        <f>'TUSD BE'!$P$9*'TUSD BF'!$P$62</f>
        <v>0</v>
      </c>
      <c r="Q9" s="13">
        <f>'TUSD BE'!$Q$9*'TUSD BF'!$Q$62</f>
        <v>0</v>
      </c>
      <c r="R9" s="13">
        <f>'TUSD BE'!$R$9*'TUSD BF'!$R$62</f>
        <v>0</v>
      </c>
      <c r="S9" s="13">
        <f>'TUSD BE'!$R$9*'TUSD BF'!$S$62</f>
        <v>0</v>
      </c>
      <c r="T9" s="13">
        <f ca="1">SUM($L$9:$S$9)</f>
        <v>0</v>
      </c>
      <c r="U9" s="13">
        <f>'TUSD BE'!$U$9*'TUSD BF'!$U$62</f>
        <v>0</v>
      </c>
      <c r="V9" s="13">
        <f>'TUSD BE'!$V$9*'TUSD BF'!$V$62</f>
        <v>0</v>
      </c>
      <c r="W9" s="13">
        <f>'TUSD BE'!$W$9*'TUSD BF'!$W$62</f>
        <v>0</v>
      </c>
      <c r="X9" s="13">
        <f>'TUSD BE'!$X$9*'TUSD BF'!$X$62</f>
        <v>0</v>
      </c>
      <c r="Y9" s="13">
        <f>'TUSD BE'!$Y$9*'TUSD BF'!$Y$62</f>
        <v>0</v>
      </c>
      <c r="Z9" s="13">
        <f>'TUSD BE'!$Z$9*'TUSD BF'!$Z$62</f>
        <v>0</v>
      </c>
      <c r="AA9" s="13">
        <f>'TUSD BE'!$AA$9*'TUSD BF'!$AA$62</f>
        <v>0</v>
      </c>
      <c r="AB9" s="13">
        <f>SUM($U$9:$AA$9)</f>
        <v>0</v>
      </c>
      <c r="AC9" s="13">
        <f>'TUSD BE'!$AC$9*'TUSD BF'!$AC$62</f>
        <v>0</v>
      </c>
      <c r="AD9" s="13">
        <f>SUM($AC$9:$AC$9)</f>
        <v>0</v>
      </c>
      <c r="AE9" s="13">
        <f ca="1">$AO$9*$AO$59</f>
        <v>0</v>
      </c>
      <c r="AF9" s="13">
        <f ca="1">$AP$9*$AP$59</f>
        <v>0</v>
      </c>
      <c r="AG9" s="13">
        <f ca="1">SUM($AE$9:$AF$9)</f>
        <v>0</v>
      </c>
      <c r="AH9" s="13">
        <f>'TUSD BE'!$AH$9*'TUSD BF'!$AH$62</f>
        <v>0</v>
      </c>
      <c r="AI9" s="13">
        <f>'TUSD BE'!$AI$9*'TUSD BF'!$AI$62</f>
        <v>0</v>
      </c>
      <c r="AJ9" s="13">
        <f ca="1">'TUSD BE'!$AJ$9*'TUSD BF'!$AJ$62</f>
        <v>0</v>
      </c>
      <c r="AK9" s="13">
        <f ca="1">'TUSD BE'!$AK$9*'TUSD BF'!$AK$62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47.584724846522903</v>
      </c>
      <c r="AP9" s="26">
        <f ca="1">+'TUSD BE'!$T$9+'TUSD BE'!$AB$9+'TUSD BE'!$AD$9+'TUSD BE'!$AL$9</f>
        <v>47.584724846522903</v>
      </c>
    </row>
    <row r="10" spans="1:42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>
        <f>'TUSD BE'!$L$10*'TUSD BF'!$L$62</f>
        <v>0</v>
      </c>
      <c r="M10" s="13">
        <f>'TUSD BE'!$M$10*'TUSD BF'!$M$62</f>
        <v>0</v>
      </c>
      <c r="N10" s="13">
        <f ca="1">'TUSD BE'!$N$10*'TUSD BF'!$N$62</f>
        <v>0</v>
      </c>
      <c r="O10" s="13">
        <f>'TUSD BE'!$O$10*'TUSD BF'!$O$62</f>
        <v>0</v>
      </c>
      <c r="P10" s="13">
        <f>'TUSD BE'!$P$10*'TUSD BF'!$P$62</f>
        <v>0</v>
      </c>
      <c r="Q10" s="13">
        <f>'TUSD BE'!$Q$10*'TUSD BF'!$Q$62</f>
        <v>0</v>
      </c>
      <c r="R10" s="13">
        <f>'TUSD BE'!$R$10*'TUSD BF'!$R$62</f>
        <v>0</v>
      </c>
      <c r="S10" s="13">
        <f>'TUSD BE'!$R$10*'TUSD BF'!$S$62</f>
        <v>0</v>
      </c>
      <c r="T10" s="13">
        <f ca="1">SUM($L$10:$S$10)</f>
        <v>0</v>
      </c>
      <c r="U10" s="13">
        <f>'TUSD BE'!$U$10*'TUSD BF'!$U$62</f>
        <v>0</v>
      </c>
      <c r="V10" s="13">
        <f>'TUSD BE'!$V$10*'TUSD BF'!$V$62</f>
        <v>0</v>
      </c>
      <c r="W10" s="13">
        <f>'TUSD BE'!$W$10*'TUSD BF'!$W$62</f>
        <v>0</v>
      </c>
      <c r="X10" s="13">
        <f>'TUSD BE'!$X$10*'TUSD BF'!$X$62</f>
        <v>0</v>
      </c>
      <c r="Y10" s="13">
        <f>'TUSD BE'!$Y$10*'TUSD BF'!$Y$62</f>
        <v>0</v>
      </c>
      <c r="Z10" s="13">
        <f>'TUSD BE'!$Z$10*'TUSD BF'!$Z$62</f>
        <v>0</v>
      </c>
      <c r="AA10" s="13">
        <f>'TUSD BE'!$AA$10*'TUSD BF'!$AA$62</f>
        <v>0</v>
      </c>
      <c r="AB10" s="13">
        <f>SUM($U$10:$AA$10)</f>
        <v>0</v>
      </c>
      <c r="AC10" s="13">
        <f>'TUSD BE'!$AC$10*'TUSD BF'!$AC$62</f>
        <v>0</v>
      </c>
      <c r="AD10" s="13">
        <f>SUM($AC$10:$AC$10)</f>
        <v>0</v>
      </c>
      <c r="AE10" s="13">
        <f ca="1">$AO$10*$AO$59</f>
        <v>0</v>
      </c>
      <c r="AF10" s="13">
        <f ca="1">$AP$10*$AP$59</f>
        <v>0</v>
      </c>
      <c r="AG10" s="13">
        <f ca="1">SUM($AE$10:$AF$10)</f>
        <v>0</v>
      </c>
      <c r="AH10" s="13">
        <f>'TUSD BE'!$AH$10*'TUSD BF'!$AH$62</f>
        <v>0</v>
      </c>
      <c r="AI10" s="13">
        <f>'TUSD BE'!$AI$10*'TUSD BF'!$AI$62</f>
        <v>0</v>
      </c>
      <c r="AJ10" s="13">
        <f ca="1">'TUSD BE'!$AJ$10*'TUSD BF'!$AJ$62</f>
        <v>0</v>
      </c>
      <c r="AK10" s="13">
        <f ca="1">'TUSD BE'!$AK$10*'TUSD BF'!$AK$62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18.012345533517156</v>
      </c>
      <c r="AP10" s="26">
        <f ca="1">+'TUSD BE'!$T$10+'TUSD BE'!$AB$10+'TUSD BE'!$AD$10+'TUSD BE'!$AL$10</f>
        <v>18.012345533517156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>
        <f>'TUSD BE'!$L$11*'TUSD BF'!$L$62</f>
        <v>0</v>
      </c>
      <c r="M11" s="13">
        <f>'TUSD BE'!$M$11*'TUSD BF'!$M$62</f>
        <v>0</v>
      </c>
      <c r="N11" s="13">
        <f ca="1">'TUSD BE'!$N$11*'TUSD BF'!$N$62</f>
        <v>0</v>
      </c>
      <c r="O11" s="13">
        <f>'TUSD BE'!$O$11*'TUSD BF'!$O$62</f>
        <v>0</v>
      </c>
      <c r="P11" s="13">
        <f>'TUSD BE'!$P$11*'TUSD BF'!$P$62</f>
        <v>0</v>
      </c>
      <c r="Q11" s="13">
        <f>'TUSD BE'!$Q$11*'TUSD BF'!$Q$62</f>
        <v>0</v>
      </c>
      <c r="R11" s="13">
        <f>'TUSD BE'!$R$11*'TUSD BF'!$R$62</f>
        <v>0</v>
      </c>
      <c r="S11" s="13">
        <f>'TUSD BE'!$R$11*'TUSD BF'!$S$62</f>
        <v>0</v>
      </c>
      <c r="T11" s="13">
        <f ca="1">SUM($L$11:$S$11)</f>
        <v>0</v>
      </c>
      <c r="U11" s="13">
        <f>'TUSD BE'!$U$11*'TUSD BF'!$U$62</f>
        <v>0</v>
      </c>
      <c r="V11" s="13">
        <f>'TUSD BE'!$V$11*'TUSD BF'!$V$62</f>
        <v>0</v>
      </c>
      <c r="W11" s="13">
        <f>'TUSD BE'!$W$11*'TUSD BF'!$W$62</f>
        <v>0</v>
      </c>
      <c r="X11" s="13">
        <f>'TUSD BE'!$X$11*'TUSD BF'!$X$62</f>
        <v>0</v>
      </c>
      <c r="Y11" s="13">
        <f>'TUSD BE'!$Y$11*'TUSD BF'!$Y$62</f>
        <v>0</v>
      </c>
      <c r="Z11" s="13">
        <f>'TUSD BE'!$Z$11*'TUSD BF'!$Z$62</f>
        <v>0</v>
      </c>
      <c r="AA11" s="13">
        <f>'TUSD BE'!$AA$11*'TUSD BF'!$AA$62</f>
        <v>0</v>
      </c>
      <c r="AB11" s="13">
        <f>SUM($U$11:$AA$11)</f>
        <v>0</v>
      </c>
      <c r="AC11" s="13">
        <f>'TUSD BE'!$AC$11*'TUSD BF'!$AC$62</f>
        <v>0</v>
      </c>
      <c r="AD11" s="13">
        <f>SUM($AC$11:$AC$11)</f>
        <v>0</v>
      </c>
      <c r="AE11" s="13">
        <f ca="1">$AO$11*$AO$59</f>
        <v>0</v>
      </c>
      <c r="AF11" s="13">
        <f ca="1">$AP$11*$AP$59</f>
        <v>0</v>
      </c>
      <c r="AG11" s="13">
        <f ca="1">SUM($AE$11:$AF$11)</f>
        <v>0</v>
      </c>
      <c r="AH11" s="13">
        <f>'TUSD BE'!$AH$11*'TUSD BF'!$AH$62</f>
        <v>0</v>
      </c>
      <c r="AI11" s="13">
        <f>'TUSD BE'!$AI$11*'TUSD BF'!$AI$62</f>
        <v>0</v>
      </c>
      <c r="AJ11" s="13">
        <f ca="1">'TUSD BE'!$AJ$11*'TUSD BF'!$AJ$62</f>
        <v>0</v>
      </c>
      <c r="AK11" s="13">
        <f ca="1">'TUSD BE'!$AK$11*'TUSD BF'!$AK$62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122.91786714172467</v>
      </c>
      <c r="AP11" s="26">
        <f ca="1">+'TUSD BE'!$T$11+'TUSD BE'!$AB$11+'TUSD BE'!$AD$11+'TUSD BE'!$AL$11</f>
        <v>122.91786714172467</v>
      </c>
    </row>
    <row r="12" spans="1:42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>
        <f>'TUSD BE'!$L$12*'TUSD BF'!$L$62</f>
        <v>0</v>
      </c>
      <c r="M12" s="13">
        <f>'TUSD BE'!$M$12*'TUSD BF'!$M$62</f>
        <v>0</v>
      </c>
      <c r="N12" s="13">
        <f ca="1">'TUSD BE'!$N$12*'TUSD BF'!$N$62</f>
        <v>0</v>
      </c>
      <c r="O12" s="13">
        <f>'TUSD BE'!$O$12*'TUSD BF'!$O$62</f>
        <v>0</v>
      </c>
      <c r="P12" s="13">
        <f>'TUSD BE'!$P$12*'TUSD BF'!$P$62</f>
        <v>0</v>
      </c>
      <c r="Q12" s="13">
        <f>'TUSD BE'!$Q$12*'TUSD BF'!$Q$62</f>
        <v>0</v>
      </c>
      <c r="R12" s="13">
        <f>'TUSD BE'!$R$12*'TUSD BF'!$R$62</f>
        <v>0</v>
      </c>
      <c r="S12" s="13">
        <f>'TUSD BE'!$R$12*'TUSD BF'!$S$62</f>
        <v>0</v>
      </c>
      <c r="T12" s="13">
        <f ca="1">SUM($L$12:$S$12)</f>
        <v>0</v>
      </c>
      <c r="U12" s="13">
        <f>'TUSD BE'!$U$12*'TUSD BF'!$U$62</f>
        <v>0</v>
      </c>
      <c r="V12" s="13">
        <f>'TUSD BE'!$V$12*'TUSD BF'!$V$62</f>
        <v>0</v>
      </c>
      <c r="W12" s="13">
        <f>'TUSD BE'!$W$12*'TUSD BF'!$W$62</f>
        <v>0</v>
      </c>
      <c r="X12" s="13">
        <f>'TUSD BE'!$X$12*'TUSD BF'!$X$62</f>
        <v>0</v>
      </c>
      <c r="Y12" s="13">
        <f>'TUSD BE'!$Y$12*'TUSD BF'!$Y$62</f>
        <v>0</v>
      </c>
      <c r="Z12" s="13">
        <f>'TUSD BE'!$Z$12*'TUSD BF'!$Z$62</f>
        <v>0</v>
      </c>
      <c r="AA12" s="13">
        <f>'TUSD BE'!$AA$12*'TUSD BF'!$AA$62</f>
        <v>0</v>
      </c>
      <c r="AB12" s="13">
        <f>SUM($U$12:$AA$12)</f>
        <v>0</v>
      </c>
      <c r="AC12" s="13">
        <f>'TUSD BE'!$AC$12*'TUSD BF'!$AC$62</f>
        <v>0</v>
      </c>
      <c r="AD12" s="13">
        <f>SUM($AC$12:$AC$12)</f>
        <v>0</v>
      </c>
      <c r="AE12" s="13">
        <f ca="1">$AO$12*$AO$59</f>
        <v>0</v>
      </c>
      <c r="AF12" s="13">
        <f ca="1">$AP$12*$AP$59</f>
        <v>0</v>
      </c>
      <c r="AG12" s="13">
        <f ca="1">SUM($AE$12:$AF$12)</f>
        <v>0</v>
      </c>
      <c r="AH12" s="13">
        <f>'TUSD BE'!$AH$12*'TUSD BF'!$AH$62</f>
        <v>0</v>
      </c>
      <c r="AI12" s="13">
        <f>'TUSD BE'!$AI$12*'TUSD BF'!$AI$62</f>
        <v>0</v>
      </c>
      <c r="AJ12" s="13">
        <f ca="1">'TUSD BE'!$AJ$12*'TUSD BF'!$AJ$62</f>
        <v>0</v>
      </c>
      <c r="AK12" s="13">
        <f ca="1">'TUSD BE'!$AK$12*'TUSD BF'!$AK$62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5.1275505896377158</v>
      </c>
      <c r="AP12" s="26">
        <f ca="1">+'TUSD BE'!$T$12+'TUSD BE'!$AB$12+'TUSD BE'!$AD$12+'TUSD BE'!$AL$12</f>
        <v>5.1275505896377158</v>
      </c>
    </row>
    <row r="13" spans="1:42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>
        <f>'TUSD BE'!$L$13*'TUSD BF'!$L$62</f>
        <v>0</v>
      </c>
      <c r="M13" s="13">
        <f>'TUSD BE'!$M$13*'TUSD BF'!$M$62</f>
        <v>0</v>
      </c>
      <c r="N13" s="13">
        <f ca="1">'TUSD BE'!$N$13*'TUSD BF'!$N$62</f>
        <v>0</v>
      </c>
      <c r="O13" s="13">
        <f>'TUSD BE'!$O$13*'TUSD BF'!$O$62</f>
        <v>0</v>
      </c>
      <c r="P13" s="13">
        <f>'TUSD BE'!$P$13*'TUSD BF'!$P$62</f>
        <v>0</v>
      </c>
      <c r="Q13" s="13">
        <f>'TUSD BE'!$Q$13*'TUSD BF'!$Q$62</f>
        <v>0</v>
      </c>
      <c r="R13" s="13">
        <f>'TUSD BE'!$R$13*'TUSD BF'!$R$62</f>
        <v>0</v>
      </c>
      <c r="S13" s="13">
        <f>'TUSD BE'!$R$13*'TUSD BF'!$S$62</f>
        <v>0</v>
      </c>
      <c r="T13" s="13">
        <f ca="1">SUM($L$13:$S$13)</f>
        <v>0</v>
      </c>
      <c r="U13" s="13">
        <f>'TUSD BE'!$U$13*'TUSD BF'!$U$62</f>
        <v>0</v>
      </c>
      <c r="V13" s="13">
        <f>'TUSD BE'!$V$13*'TUSD BF'!$V$62</f>
        <v>0</v>
      </c>
      <c r="W13" s="13">
        <f>'TUSD BE'!$W$13*'TUSD BF'!$W$62</f>
        <v>0</v>
      </c>
      <c r="X13" s="13">
        <f>'TUSD BE'!$X$13*'TUSD BF'!$X$62</f>
        <v>0</v>
      </c>
      <c r="Y13" s="13">
        <f>'TUSD BE'!$Y$13*'TUSD BF'!$Y$62</f>
        <v>0</v>
      </c>
      <c r="Z13" s="13">
        <f>'TUSD BE'!$Z$13*'TUSD BF'!$Z$62</f>
        <v>0</v>
      </c>
      <c r="AA13" s="13">
        <f>'TUSD BE'!$AA$13*'TUSD BF'!$AA$62</f>
        <v>0</v>
      </c>
      <c r="AB13" s="13">
        <f>SUM($U$13:$AA$13)</f>
        <v>0</v>
      </c>
      <c r="AC13" s="13">
        <f>'TUSD BE'!$AC$13*'TUSD BF'!$AC$62</f>
        <v>0</v>
      </c>
      <c r="AD13" s="13">
        <f>SUM($AC$13:$AC$13)</f>
        <v>0</v>
      </c>
      <c r="AE13" s="13">
        <f ca="1">$AO$13*$AO$59</f>
        <v>0</v>
      </c>
      <c r="AF13" s="13">
        <f ca="1">$AP$13*$AP$59</f>
        <v>0</v>
      </c>
      <c r="AG13" s="13">
        <f ca="1">SUM($AE$13:$AF$13)</f>
        <v>0</v>
      </c>
      <c r="AH13" s="13">
        <f>'TUSD BE'!$AH$13*'TUSD BF'!$AH$62</f>
        <v>0</v>
      </c>
      <c r="AI13" s="13">
        <f>'TUSD BE'!$AI$13*'TUSD BF'!$AI$62</f>
        <v>0</v>
      </c>
      <c r="AJ13" s="13">
        <f ca="1">'TUSD BE'!$AJ$13*'TUSD BF'!$AJ$62</f>
        <v>0</v>
      </c>
      <c r="AK13" s="13">
        <f ca="1">'TUSD BE'!$AK$13*'TUSD BF'!$AK$62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5.1051312422650028</v>
      </c>
      <c r="AP13" s="26">
        <f ca="1">+'TUSD BE'!$T$13+'TUSD BE'!$AB$13+'TUSD BE'!$AD$13+'TUSD BE'!$AL$13</f>
        <v>5.1051312422650028</v>
      </c>
    </row>
    <row r="14" spans="1:42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>
        <f>'TUSD BE'!$L$14*'TUSD BF'!$L$62</f>
        <v>0</v>
      </c>
      <c r="M14" s="13">
        <f>'TUSD BE'!$M$14*'TUSD BF'!$M$62</f>
        <v>0</v>
      </c>
      <c r="N14" s="13">
        <f ca="1">'TUSD BE'!$N$14*'TUSD BF'!$N$62</f>
        <v>0</v>
      </c>
      <c r="O14" s="13">
        <f>'TUSD BE'!$O$14*'TUSD BF'!$O$62</f>
        <v>0</v>
      </c>
      <c r="P14" s="13">
        <f>'TUSD BE'!$P$14*'TUSD BF'!$P$62</f>
        <v>0</v>
      </c>
      <c r="Q14" s="13">
        <f>'TUSD BE'!$Q$14*'TUSD BF'!$Q$62</f>
        <v>0</v>
      </c>
      <c r="R14" s="13">
        <f>'TUSD BE'!$R$14*'TUSD BF'!$R$62</f>
        <v>0</v>
      </c>
      <c r="S14" s="13">
        <f>'TUSD BE'!$R$14*'TUSD BF'!$S$62</f>
        <v>0</v>
      </c>
      <c r="T14" s="13">
        <f ca="1">SUM($L$14:$S$14)</f>
        <v>0</v>
      </c>
      <c r="U14" s="13">
        <f>'TUSD BE'!$U$14*'TUSD BF'!$U$62</f>
        <v>0</v>
      </c>
      <c r="V14" s="13">
        <f>'TUSD BE'!$V$14*'TUSD BF'!$V$62</f>
        <v>0</v>
      </c>
      <c r="W14" s="13">
        <f>'TUSD BE'!$W$14*'TUSD BF'!$W$62</f>
        <v>0</v>
      </c>
      <c r="X14" s="13">
        <f>'TUSD BE'!$X$14*'TUSD BF'!$X$62</f>
        <v>0</v>
      </c>
      <c r="Y14" s="13">
        <f>'TUSD BE'!$Y$14*'TUSD BF'!$Y$62</f>
        <v>0</v>
      </c>
      <c r="Z14" s="13">
        <f>'TUSD BE'!$Z$14*'TUSD BF'!$Z$62</f>
        <v>0</v>
      </c>
      <c r="AA14" s="13">
        <f>'TUSD BE'!$AA$14*'TUSD BF'!$AA$62</f>
        <v>0</v>
      </c>
      <c r="AB14" s="13">
        <f>SUM($U$14:$AA$14)</f>
        <v>0</v>
      </c>
      <c r="AC14" s="13">
        <f>'TUSD BE'!$AC$14*'TUSD BF'!$AC$62</f>
        <v>0</v>
      </c>
      <c r="AD14" s="13">
        <f>SUM($AC$14:$AC$14)</f>
        <v>0</v>
      </c>
      <c r="AE14" s="13">
        <f ca="1">$AO$14*$AO$59</f>
        <v>0</v>
      </c>
      <c r="AF14" s="13">
        <f ca="1">$AP$14*$AP$59</f>
        <v>0</v>
      </c>
      <c r="AG14" s="13">
        <f ca="1">SUM($AE$14:$AF$14)</f>
        <v>0</v>
      </c>
      <c r="AH14" s="13">
        <f>'TUSD BE'!$AH$14*'TUSD BF'!$AH$62</f>
        <v>0</v>
      </c>
      <c r="AI14" s="13">
        <f>'TUSD BE'!$AI$14*'TUSD BF'!$AI$62</f>
        <v>0</v>
      </c>
      <c r="AJ14" s="13">
        <f ca="1">'TUSD BE'!$AJ$14*'TUSD BF'!$AJ$62</f>
        <v>0</v>
      </c>
      <c r="AK14" s="13">
        <f ca="1">'TUSD BE'!$AK$14*'TUSD BF'!$AK$62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18.012345533517156</v>
      </c>
      <c r="AP14" s="26">
        <f ca="1">+'TUSD BE'!$T$14+'TUSD BE'!$AB$14+'TUSD BE'!$AD$14+'TUSD BE'!$AL$14</f>
        <v>18.012345533517156</v>
      </c>
    </row>
    <row r="15" spans="1:42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>
        <f>'TUSD BE'!$L$15*'TUSD BF'!$L$62</f>
        <v>0</v>
      </c>
      <c r="M15" s="13">
        <f>'TUSD BE'!$M$15*'TUSD BF'!$M$62</f>
        <v>0</v>
      </c>
      <c r="N15" s="13">
        <f ca="1">'TUSD BE'!$N$15*'TUSD BF'!$N$62</f>
        <v>0</v>
      </c>
      <c r="O15" s="13">
        <f>'TUSD BE'!$O$15*'TUSD BF'!$O$62</f>
        <v>0</v>
      </c>
      <c r="P15" s="13">
        <f>'TUSD BE'!$P$15*'TUSD BF'!$P$62</f>
        <v>0</v>
      </c>
      <c r="Q15" s="13">
        <f>'TUSD BE'!$Q$15*'TUSD BF'!$Q$62</f>
        <v>0</v>
      </c>
      <c r="R15" s="13">
        <f>'TUSD BE'!$R$15*'TUSD BF'!$R$62</f>
        <v>0</v>
      </c>
      <c r="S15" s="13">
        <f>'TUSD BE'!$R$15*'TUSD BF'!$S$62</f>
        <v>0</v>
      </c>
      <c r="T15" s="13">
        <f ca="1">SUM($L$15:$S$15)</f>
        <v>0</v>
      </c>
      <c r="U15" s="13">
        <f>'TUSD BE'!$U$15*'TUSD BF'!$U$62</f>
        <v>0</v>
      </c>
      <c r="V15" s="13">
        <f>'TUSD BE'!$V$15*'TUSD BF'!$V$62</f>
        <v>0</v>
      </c>
      <c r="W15" s="13">
        <f>'TUSD BE'!$W$15*'TUSD BF'!$W$62</f>
        <v>0</v>
      </c>
      <c r="X15" s="13">
        <f>'TUSD BE'!$X$15*'TUSD BF'!$X$62</f>
        <v>0</v>
      </c>
      <c r="Y15" s="13">
        <f>'TUSD BE'!$Y$15*'TUSD BF'!$Y$62</f>
        <v>0</v>
      </c>
      <c r="Z15" s="13">
        <f>'TUSD BE'!$Z$15*'TUSD BF'!$Z$62</f>
        <v>0</v>
      </c>
      <c r="AA15" s="13">
        <f>'TUSD BE'!$AA$15*'TUSD BF'!$AA$62</f>
        <v>0</v>
      </c>
      <c r="AB15" s="13">
        <f>SUM($U$15:$AA$15)</f>
        <v>0</v>
      </c>
      <c r="AC15" s="13">
        <f>'TUSD BE'!$AC$15*'TUSD BF'!$AC$62</f>
        <v>0</v>
      </c>
      <c r="AD15" s="13">
        <f>SUM($AC$15:$AC$15)</f>
        <v>0</v>
      </c>
      <c r="AE15" s="13">
        <f ca="1">$AO$15*$AO$59</f>
        <v>0</v>
      </c>
      <c r="AF15" s="13">
        <f ca="1">$AP$15*$AP$59</f>
        <v>0</v>
      </c>
      <c r="AG15" s="13">
        <f ca="1">SUM($AE$15:$AF$15)</f>
        <v>0</v>
      </c>
      <c r="AH15" s="13">
        <f>'TUSD BE'!$AH$15*'TUSD BF'!$AH$62</f>
        <v>0</v>
      </c>
      <c r="AI15" s="13">
        <f>'TUSD BE'!$AI$15*'TUSD BF'!$AI$62</f>
        <v>0</v>
      </c>
      <c r="AJ15" s="13">
        <f ca="1">'TUSD BE'!$AJ$15*'TUSD BF'!$AJ$62</f>
        <v>0</v>
      </c>
      <c r="AK15" s="13">
        <f ca="1">'TUSD BE'!$AK$15*'TUSD BF'!$AK$62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1267.333723947542</v>
      </c>
      <c r="AP15" s="26">
        <f ca="1">+'TUSD BE'!$T$15+'TUSD BE'!$AB$15+'TUSD BE'!$AD$15+'TUSD BE'!$AL$15</f>
        <v>1267.333723947542</v>
      </c>
    </row>
    <row r="16" spans="1:42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>
        <f>'TUSD BE'!$L$16*'TUSD BF'!$L$62</f>
        <v>0</v>
      </c>
      <c r="M16" s="13">
        <f>'TUSD BE'!$M$16*'TUSD BF'!$M$62</f>
        <v>0</v>
      </c>
      <c r="N16" s="13">
        <f ca="1">'TUSD BE'!$N$16*'TUSD BF'!$N$62</f>
        <v>0</v>
      </c>
      <c r="O16" s="13">
        <f>'TUSD BE'!$O$16*'TUSD BF'!$O$62</f>
        <v>0</v>
      </c>
      <c r="P16" s="13">
        <f>'TUSD BE'!$P$16*'TUSD BF'!$P$62</f>
        <v>0</v>
      </c>
      <c r="Q16" s="13">
        <f>'TUSD BE'!$Q$16*'TUSD BF'!$Q$62</f>
        <v>0</v>
      </c>
      <c r="R16" s="13">
        <f>'TUSD BE'!$R$16*'TUSD BF'!$R$62</f>
        <v>0</v>
      </c>
      <c r="S16" s="13">
        <f>'TUSD BE'!$R$16*'TUSD BF'!$S$62</f>
        <v>0</v>
      </c>
      <c r="T16" s="13">
        <f ca="1">SUM($L$16:$S$16)</f>
        <v>0</v>
      </c>
      <c r="U16" s="13">
        <f>'TUSD BE'!$U$16*'TUSD BF'!$U$62</f>
        <v>0</v>
      </c>
      <c r="V16" s="13">
        <f>'TUSD BE'!$V$16*'TUSD BF'!$V$62</f>
        <v>0</v>
      </c>
      <c r="W16" s="13">
        <f>'TUSD BE'!$W$16*'TUSD BF'!$W$62</f>
        <v>0</v>
      </c>
      <c r="X16" s="13">
        <f>'TUSD BE'!$X$16*'TUSD BF'!$X$62</f>
        <v>0</v>
      </c>
      <c r="Y16" s="13">
        <f>'TUSD BE'!$Y$16*'TUSD BF'!$Y$62</f>
        <v>0</v>
      </c>
      <c r="Z16" s="13">
        <f>'TUSD BE'!$Z$16*'TUSD BF'!$Z$62</f>
        <v>0</v>
      </c>
      <c r="AA16" s="13">
        <f>'TUSD BE'!$AA$16*'TUSD BF'!$AA$62</f>
        <v>0</v>
      </c>
      <c r="AB16" s="13">
        <f>SUM($U$16:$AA$16)</f>
        <v>0</v>
      </c>
      <c r="AC16" s="13">
        <f>'TUSD BE'!$AC$16*'TUSD BF'!$AC$62</f>
        <v>0</v>
      </c>
      <c r="AD16" s="13">
        <f>SUM($AC$16:$AC$16)</f>
        <v>0</v>
      </c>
      <c r="AE16" s="13">
        <f ca="1">$AO$16*$AO$59</f>
        <v>0</v>
      </c>
      <c r="AF16" s="13">
        <f ca="1">$AP$16*$AP$59</f>
        <v>0</v>
      </c>
      <c r="AG16" s="13">
        <f ca="1">SUM($AE$16:$AF$16)</f>
        <v>0</v>
      </c>
      <c r="AH16" s="13">
        <f>'TUSD BE'!$AH$16*'TUSD BF'!$AH$62</f>
        <v>0</v>
      </c>
      <c r="AI16" s="13">
        <f>'TUSD BE'!$AI$16*'TUSD BF'!$AI$62</f>
        <v>0</v>
      </c>
      <c r="AJ16" s="13">
        <f ca="1">'TUSD BE'!$AJ$16*'TUSD BF'!$AJ$62</f>
        <v>0</v>
      </c>
      <c r="AK16" s="13">
        <f ca="1">'TUSD BE'!$AK$16*'TUSD BF'!$AK$62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122.91786714172467</v>
      </c>
      <c r="AP16" s="26">
        <f ca="1">+'TUSD BE'!$T$16+'TUSD BE'!$AB$16+'TUSD BE'!$AD$16+'TUSD BE'!$AL$16</f>
        <v>122.91786714172467</v>
      </c>
    </row>
    <row r="17" spans="1:42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>
        <f>'TUSD BE'!$L$17*'TUSD BF'!$L$62</f>
        <v>0</v>
      </c>
      <c r="M17" s="13">
        <f>'TUSD BE'!$M$17*'TUSD BF'!$M$62</f>
        <v>0</v>
      </c>
      <c r="N17" s="13">
        <f ca="1">'TUSD BE'!$N$17*'TUSD BF'!$N$62</f>
        <v>0</v>
      </c>
      <c r="O17" s="13">
        <f>'TUSD BE'!$O$17*'TUSD BF'!$O$62</f>
        <v>0</v>
      </c>
      <c r="P17" s="13">
        <f>'TUSD BE'!$P$17*'TUSD BF'!$P$62</f>
        <v>0</v>
      </c>
      <c r="Q17" s="13">
        <f>'TUSD BE'!$Q$17*'TUSD BF'!$Q$62</f>
        <v>0</v>
      </c>
      <c r="R17" s="13">
        <f>'TUSD BE'!$R$17*'TUSD BF'!$R$62</f>
        <v>0</v>
      </c>
      <c r="S17" s="13">
        <f>'TUSD BE'!$R$17*'TUSD BF'!$S$62</f>
        <v>0</v>
      </c>
      <c r="T17" s="13">
        <f ca="1">SUM($L$17:$S$17)</f>
        <v>0</v>
      </c>
      <c r="U17" s="13">
        <f>'TUSD BE'!$U$17*'TUSD BF'!$U$62</f>
        <v>0</v>
      </c>
      <c r="V17" s="13">
        <f>'TUSD BE'!$V$17*'TUSD BF'!$V$62</f>
        <v>0</v>
      </c>
      <c r="W17" s="13">
        <f>'TUSD BE'!$W$17*'TUSD BF'!$W$62</f>
        <v>0</v>
      </c>
      <c r="X17" s="13">
        <f>'TUSD BE'!$X$17*'TUSD BF'!$X$62</f>
        <v>0</v>
      </c>
      <c r="Y17" s="13">
        <f>'TUSD BE'!$Y$17*'TUSD BF'!$Y$62</f>
        <v>0</v>
      </c>
      <c r="Z17" s="13">
        <f>'TUSD BE'!$Z$17*'TUSD BF'!$Z$62</f>
        <v>0</v>
      </c>
      <c r="AA17" s="13">
        <f>'TUSD BE'!$AA$17*'TUSD BF'!$AA$62</f>
        <v>0</v>
      </c>
      <c r="AB17" s="13">
        <f>SUM($U$17:$AA$17)</f>
        <v>0</v>
      </c>
      <c r="AC17" s="13">
        <f>'TUSD BE'!$AC$17*'TUSD BF'!$AC$62</f>
        <v>0</v>
      </c>
      <c r="AD17" s="13">
        <f>SUM($AC$17:$AC$17)</f>
        <v>0</v>
      </c>
      <c r="AE17" s="13">
        <f ca="1">$AO$17*$AO$59</f>
        <v>0</v>
      </c>
      <c r="AF17" s="13">
        <f ca="1">$AP$17*$AP$59</f>
        <v>0</v>
      </c>
      <c r="AG17" s="13">
        <f ca="1">SUM($AE$17:$AF$17)</f>
        <v>0</v>
      </c>
      <c r="AH17" s="13">
        <f>'TUSD BE'!$AH$17*'TUSD BF'!$AH$62</f>
        <v>0</v>
      </c>
      <c r="AI17" s="13">
        <f>'TUSD BE'!$AI$17*'TUSD BF'!$AI$62</f>
        <v>0</v>
      </c>
      <c r="AJ17" s="13">
        <f ca="1">'TUSD BE'!$AJ$17*'TUSD BF'!$AJ$62</f>
        <v>0</v>
      </c>
      <c r="AK17" s="13">
        <f ca="1">'TUSD BE'!$AK$17*'TUSD BF'!$AK$62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1149.543407395455</v>
      </c>
      <c r="AP17" s="26">
        <f ca="1">+'TUSD BE'!$T$17+'TUSD BE'!$AB$17+'TUSD BE'!$AD$17+'TUSD BE'!$AL$17</f>
        <v>1149.543407395455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>
        <f>'TUSD BE'!$L$18*'TUSD BF'!$L$62</f>
        <v>0</v>
      </c>
      <c r="M18" s="13">
        <f>'TUSD BE'!$M$18*'TUSD BF'!$M$62</f>
        <v>0</v>
      </c>
      <c r="N18" s="13">
        <f ca="1">'TUSD BE'!$N$18*'TUSD BF'!$N$62</f>
        <v>0</v>
      </c>
      <c r="O18" s="13">
        <f>'TUSD BE'!$O$18*'TUSD BF'!$O$62</f>
        <v>0</v>
      </c>
      <c r="P18" s="13">
        <f>'TUSD BE'!$P$18*'TUSD BF'!$P$62</f>
        <v>0</v>
      </c>
      <c r="Q18" s="13">
        <f>'TUSD BE'!$Q$18*'TUSD BF'!$Q$62</f>
        <v>0</v>
      </c>
      <c r="R18" s="13">
        <f>'TUSD BE'!$R$18*'TUSD BF'!$R$62</f>
        <v>0</v>
      </c>
      <c r="S18" s="13">
        <f>'TUSD BE'!$R$18*'TUSD BF'!$S$62</f>
        <v>0</v>
      </c>
      <c r="T18" s="13">
        <f ca="1">SUM($L$18:$S$18)</f>
        <v>0</v>
      </c>
      <c r="U18" s="13">
        <f>'TUSD BE'!$U$18*'TUSD BF'!$U$62</f>
        <v>0</v>
      </c>
      <c r="V18" s="13">
        <f>'TUSD BE'!$V$18*'TUSD BF'!$V$62</f>
        <v>0</v>
      </c>
      <c r="W18" s="13">
        <f>'TUSD BE'!$W$18*'TUSD BF'!$W$62</f>
        <v>0</v>
      </c>
      <c r="X18" s="13">
        <f>'TUSD BE'!$X$18*'TUSD BF'!$X$62</f>
        <v>0</v>
      </c>
      <c r="Y18" s="13">
        <f>'TUSD BE'!$Y$18*'TUSD BF'!$Y$62</f>
        <v>0</v>
      </c>
      <c r="Z18" s="13">
        <f>'TUSD BE'!$Z$18*'TUSD BF'!$Z$62</f>
        <v>0</v>
      </c>
      <c r="AA18" s="13">
        <f>'TUSD BE'!$AA$18*'TUSD BF'!$AA$62</f>
        <v>0</v>
      </c>
      <c r="AB18" s="13">
        <f>SUM($U$18:$AA$18)</f>
        <v>0</v>
      </c>
      <c r="AC18" s="13">
        <f>'TUSD BE'!$AC$18*'TUSD BF'!$AC$62</f>
        <v>0</v>
      </c>
      <c r="AD18" s="13">
        <f>SUM($AC$18:$AC$18)</f>
        <v>0</v>
      </c>
      <c r="AE18" s="13">
        <f ca="1">$AO$18*$AO$59</f>
        <v>0</v>
      </c>
      <c r="AF18" s="13">
        <f ca="1">$AP$18*$AP$59</f>
        <v>0</v>
      </c>
      <c r="AG18" s="13">
        <f ca="1">SUM($AE$18:$AF$18)</f>
        <v>0</v>
      </c>
      <c r="AH18" s="13">
        <f>'TUSD BE'!$AH$18*'TUSD BF'!$AH$62</f>
        <v>0</v>
      </c>
      <c r="AI18" s="13">
        <f>'TUSD BE'!$AI$18*'TUSD BF'!$AI$62</f>
        <v>0</v>
      </c>
      <c r="AJ18" s="13">
        <f ca="1">'TUSD BE'!$AJ$18*'TUSD BF'!$AJ$62</f>
        <v>0</v>
      </c>
      <c r="AK18" s="13">
        <f ca="1">'TUSD BE'!$AK$18*'TUSD BF'!$AK$62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5.1275505896377158</v>
      </c>
      <c r="AP18" s="26">
        <f ca="1">+'TUSD BE'!$T$18+'TUSD BE'!$AB$18+'TUSD BE'!$AD$18+'TUSD BE'!$AL$18</f>
        <v>5.1275505896377158</v>
      </c>
    </row>
    <row r="19" spans="1:42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>
        <f>'TUSD BE'!$L$19*'TUSD BF'!$L$62</f>
        <v>0</v>
      </c>
      <c r="M19" s="13">
        <f>'TUSD BE'!$M$19*'TUSD BF'!$M$62</f>
        <v>0</v>
      </c>
      <c r="N19" s="13">
        <f ca="1">'TUSD BE'!$N$19*'TUSD BF'!$N$62</f>
        <v>0</v>
      </c>
      <c r="O19" s="13">
        <f>'TUSD BE'!$O$19*'TUSD BF'!$O$62</f>
        <v>0</v>
      </c>
      <c r="P19" s="13">
        <f>'TUSD BE'!$P$19*'TUSD BF'!$P$62</f>
        <v>0</v>
      </c>
      <c r="Q19" s="13">
        <f>'TUSD BE'!$Q$19*'TUSD BF'!$Q$62</f>
        <v>0</v>
      </c>
      <c r="R19" s="13">
        <f>'TUSD BE'!$R$19*'TUSD BF'!$R$62</f>
        <v>0</v>
      </c>
      <c r="S19" s="13">
        <f>'TUSD BE'!$R$19*'TUSD BF'!$S$62</f>
        <v>0</v>
      </c>
      <c r="T19" s="13">
        <f ca="1">SUM($L$19:$S$19)</f>
        <v>0</v>
      </c>
      <c r="U19" s="13">
        <f>'TUSD BE'!$U$19*'TUSD BF'!$U$62</f>
        <v>0</v>
      </c>
      <c r="V19" s="13">
        <f>'TUSD BE'!$V$19*'TUSD BF'!$V$62</f>
        <v>0</v>
      </c>
      <c r="W19" s="13">
        <f>'TUSD BE'!$W$19*'TUSD BF'!$W$62</f>
        <v>0</v>
      </c>
      <c r="X19" s="13">
        <f>'TUSD BE'!$X$19*'TUSD BF'!$X$62</f>
        <v>0</v>
      </c>
      <c r="Y19" s="13">
        <f>'TUSD BE'!$Y$19*'TUSD BF'!$Y$62</f>
        <v>0</v>
      </c>
      <c r="Z19" s="13">
        <f>'TUSD BE'!$Z$19*'TUSD BF'!$Z$62</f>
        <v>0</v>
      </c>
      <c r="AA19" s="13">
        <f>'TUSD BE'!$AA$19*'TUSD BF'!$AA$62</f>
        <v>0</v>
      </c>
      <c r="AB19" s="13">
        <f>SUM($U$19:$AA$19)</f>
        <v>0</v>
      </c>
      <c r="AC19" s="13">
        <f>'TUSD BE'!$AC$19*'TUSD BF'!$AC$62</f>
        <v>0</v>
      </c>
      <c r="AD19" s="13">
        <f>SUM($AC$19:$AC$19)</f>
        <v>0</v>
      </c>
      <c r="AE19" s="13">
        <f ca="1">$AO$19*$AO$59</f>
        <v>0</v>
      </c>
      <c r="AF19" s="13">
        <f ca="1">$AP$19*$AP$59</f>
        <v>0</v>
      </c>
      <c r="AG19" s="13">
        <f ca="1">SUM($AE$19:$AF$19)</f>
        <v>0</v>
      </c>
      <c r="AH19" s="13">
        <f>'TUSD BE'!$AH$19*'TUSD BF'!$AH$62</f>
        <v>0</v>
      </c>
      <c r="AI19" s="13">
        <f>'TUSD BE'!$AI$19*'TUSD BF'!$AI$62</f>
        <v>0</v>
      </c>
      <c r="AJ19" s="13">
        <f ca="1">'TUSD BE'!$AJ$19*'TUSD BF'!$AJ$62</f>
        <v>0</v>
      </c>
      <c r="AK19" s="13">
        <f ca="1">'TUSD BE'!$AK$19*'TUSD BF'!$AK$62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5.2658262688651973</v>
      </c>
      <c r="AP19" s="26">
        <f ca="1">+'TUSD BE'!$T$19+'TUSD BE'!$AB$19+'TUSD BE'!$AD$19+'TUSD BE'!$AL$19</f>
        <v>5.2658262688651973</v>
      </c>
    </row>
    <row r="20" spans="1:42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>
        <f>'TUSD BE'!$L$20*'TUSD BF'!$L$62</f>
        <v>0</v>
      </c>
      <c r="M20" s="13">
        <f>'TUSD BE'!$M$20*'TUSD BF'!$M$62</f>
        <v>0</v>
      </c>
      <c r="N20" s="13">
        <f ca="1">'TUSD BE'!$N$20*'TUSD BF'!$N$62</f>
        <v>0</v>
      </c>
      <c r="O20" s="13">
        <f>'TUSD BE'!$O$20*'TUSD BF'!$O$62</f>
        <v>0</v>
      </c>
      <c r="P20" s="13">
        <f>'TUSD BE'!$P$20*'TUSD BF'!$P$62</f>
        <v>0</v>
      </c>
      <c r="Q20" s="13">
        <f>'TUSD BE'!$Q$20*'TUSD BF'!$Q$62</f>
        <v>0</v>
      </c>
      <c r="R20" s="13">
        <f>'TUSD BE'!$R$20*'TUSD BF'!$R$62</f>
        <v>0</v>
      </c>
      <c r="S20" s="13">
        <f>'TUSD BE'!$R$20*'TUSD BF'!$S$62</f>
        <v>0</v>
      </c>
      <c r="T20" s="13">
        <f ca="1">SUM($L$20:$S$20)</f>
        <v>0</v>
      </c>
      <c r="U20" s="13">
        <f>'TUSD BE'!$U$20*'TUSD BF'!$U$62</f>
        <v>0</v>
      </c>
      <c r="V20" s="13">
        <f>'TUSD BE'!$V$20*'TUSD BF'!$V$62</f>
        <v>0</v>
      </c>
      <c r="W20" s="13">
        <f>'TUSD BE'!$W$20*'TUSD BF'!$W$62</f>
        <v>0</v>
      </c>
      <c r="X20" s="13">
        <f>'TUSD BE'!$X$20*'TUSD BF'!$X$62</f>
        <v>0</v>
      </c>
      <c r="Y20" s="13">
        <f>'TUSD BE'!$Y$20*'TUSD BF'!$Y$62</f>
        <v>0</v>
      </c>
      <c r="Z20" s="13">
        <f>'TUSD BE'!$Z$20*'TUSD BF'!$Z$62</f>
        <v>0</v>
      </c>
      <c r="AA20" s="13">
        <f>'TUSD BE'!$AA$20*'TUSD BF'!$AA$62</f>
        <v>0</v>
      </c>
      <c r="AB20" s="13">
        <f>SUM($U$20:$AA$20)</f>
        <v>0</v>
      </c>
      <c r="AC20" s="13">
        <f>'TUSD BE'!$AC$20*'TUSD BF'!$AC$62</f>
        <v>0</v>
      </c>
      <c r="AD20" s="13">
        <f>SUM($AC$20:$AC$20)</f>
        <v>0</v>
      </c>
      <c r="AE20" s="13">
        <f ca="1">$AO$20*$AO$59</f>
        <v>0</v>
      </c>
      <c r="AF20" s="13">
        <f ca="1">$AP$20*$AP$59</f>
        <v>0</v>
      </c>
      <c r="AG20" s="13">
        <f ca="1">SUM($AE$20:$AF$20)</f>
        <v>0</v>
      </c>
      <c r="AH20" s="13">
        <f>'TUSD BE'!$AH$20*'TUSD BF'!$AH$62</f>
        <v>0</v>
      </c>
      <c r="AI20" s="13">
        <f>'TUSD BE'!$AI$20*'TUSD BF'!$AI$62</f>
        <v>0</v>
      </c>
      <c r="AJ20" s="13">
        <f ca="1">'TUSD BE'!$AJ$20*'TUSD BF'!$AJ$62</f>
        <v>0</v>
      </c>
      <c r="AK20" s="13">
        <f ca="1">'TUSD BE'!$AK$20*'TUSD BF'!$AK$62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10.702150792539015</v>
      </c>
      <c r="AP20" s="26">
        <f ca="1">+'TUSD BE'!$T$20+'TUSD BE'!$AB$20+'TUSD BE'!$AD$20+'TUSD BE'!$AL$20</f>
        <v>10.702150792539015</v>
      </c>
    </row>
    <row r="21" spans="1:42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>
        <f>'TUSD BE'!$L$21*'TUSD BF'!$L$62</f>
        <v>0</v>
      </c>
      <c r="M21" s="13">
        <f>'TUSD BE'!$M$21*'TUSD BF'!$M$62</f>
        <v>0</v>
      </c>
      <c r="N21" s="13">
        <f ca="1">'TUSD BE'!$N$21*'TUSD BF'!$N$62</f>
        <v>0</v>
      </c>
      <c r="O21" s="13">
        <f>'TUSD BE'!$O$21*'TUSD BF'!$O$62</f>
        <v>0</v>
      </c>
      <c r="P21" s="13">
        <f>'TUSD BE'!$P$21*'TUSD BF'!$P$62</f>
        <v>0</v>
      </c>
      <c r="Q21" s="13">
        <f>'TUSD BE'!$Q$21*'TUSD BF'!$Q$62</f>
        <v>0</v>
      </c>
      <c r="R21" s="13">
        <f>'TUSD BE'!$R$21*'TUSD BF'!$R$62</f>
        <v>0</v>
      </c>
      <c r="S21" s="13">
        <f>'TUSD BE'!$R$21*'TUSD BF'!$S$62</f>
        <v>0</v>
      </c>
      <c r="T21" s="13">
        <f ca="1">SUM($L$21:$S$21)</f>
        <v>0</v>
      </c>
      <c r="U21" s="13">
        <f>'TUSD BE'!$U$21*'TUSD BF'!$U$62</f>
        <v>0</v>
      </c>
      <c r="V21" s="13">
        <f>'TUSD BE'!$V$21*'TUSD BF'!$V$62</f>
        <v>0</v>
      </c>
      <c r="W21" s="13">
        <f>'TUSD BE'!$W$21*'TUSD BF'!$W$62</f>
        <v>0</v>
      </c>
      <c r="X21" s="13">
        <f>'TUSD BE'!$X$21*'TUSD BF'!$X$62</f>
        <v>0</v>
      </c>
      <c r="Y21" s="13">
        <f>'TUSD BE'!$Y$21*'TUSD BF'!$Y$62</f>
        <v>0</v>
      </c>
      <c r="Z21" s="13">
        <f>'TUSD BE'!$Z$21*'TUSD BF'!$Z$62</f>
        <v>0</v>
      </c>
      <c r="AA21" s="13">
        <f>'TUSD BE'!$AA$21*'TUSD BF'!$AA$62</f>
        <v>0</v>
      </c>
      <c r="AB21" s="13">
        <f>SUM($U$21:$AA$21)</f>
        <v>0</v>
      </c>
      <c r="AC21" s="13">
        <f>'TUSD BE'!$AC$21*'TUSD BF'!$AC$62</f>
        <v>0</v>
      </c>
      <c r="AD21" s="13">
        <f>SUM($AC$21:$AC$21)</f>
        <v>0</v>
      </c>
      <c r="AE21" s="13">
        <f ca="1">$AO$21*$AO$59</f>
        <v>0</v>
      </c>
      <c r="AF21" s="13">
        <f ca="1">$AP$21*$AP$59</f>
        <v>0</v>
      </c>
      <c r="AG21" s="13">
        <f ca="1">SUM($AE$21:$AF$21)</f>
        <v>0</v>
      </c>
      <c r="AH21" s="13">
        <f>'TUSD BE'!$AH$21*'TUSD BF'!$AH$62</f>
        <v>0</v>
      </c>
      <c r="AI21" s="13">
        <f>'TUSD BE'!$AI$21*'TUSD BF'!$AI$62</f>
        <v>0</v>
      </c>
      <c r="AJ21" s="13">
        <f ca="1">'TUSD BE'!$AJ$21*'TUSD BF'!$AJ$62</f>
        <v>0</v>
      </c>
      <c r="AK21" s="13">
        <f ca="1">'TUSD BE'!$AK$21*'TUSD BF'!$AK$62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682.58882682106821</v>
      </c>
      <c r="AP21" s="26">
        <f ca="1">+'TUSD BE'!$T$21+'TUSD BE'!$AB$21+'TUSD BE'!$AD$21+'TUSD BE'!$AL$21</f>
        <v>682.58882682106821</v>
      </c>
    </row>
    <row r="22" spans="1:42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>
        <f>'TUSD BE'!$L$22*'TUSD BF'!$L$62</f>
        <v>0</v>
      </c>
      <c r="M22" s="13">
        <f>'TUSD BE'!$M$22*'TUSD BF'!$M$62</f>
        <v>0</v>
      </c>
      <c r="N22" s="13">
        <f ca="1">'TUSD BE'!$N$22*'TUSD BF'!$N$62</f>
        <v>0</v>
      </c>
      <c r="O22" s="13">
        <f>'TUSD BE'!$O$22*'TUSD BF'!$O$62</f>
        <v>0</v>
      </c>
      <c r="P22" s="13">
        <f>'TUSD BE'!$P$22*'TUSD BF'!$P$62</f>
        <v>0</v>
      </c>
      <c r="Q22" s="13">
        <f>'TUSD BE'!$Q$22*'TUSD BF'!$Q$62</f>
        <v>0</v>
      </c>
      <c r="R22" s="13">
        <f>'TUSD BE'!$R$22*'TUSD BF'!$R$62</f>
        <v>0</v>
      </c>
      <c r="S22" s="13">
        <f>'TUSD BE'!$R$22*'TUSD BF'!$S$62</f>
        <v>0</v>
      </c>
      <c r="T22" s="13">
        <f ca="1">SUM($L$22:$S$22)</f>
        <v>0</v>
      </c>
      <c r="U22" s="13">
        <f>'TUSD BE'!$U$22*'TUSD BF'!$U$62</f>
        <v>0</v>
      </c>
      <c r="V22" s="13">
        <f>'TUSD BE'!$V$22*'TUSD BF'!$V$62</f>
        <v>0</v>
      </c>
      <c r="W22" s="13">
        <f>'TUSD BE'!$W$22*'TUSD BF'!$W$62</f>
        <v>0</v>
      </c>
      <c r="X22" s="13">
        <f>'TUSD BE'!$X$22*'TUSD BF'!$X$62</f>
        <v>0</v>
      </c>
      <c r="Y22" s="13">
        <f>'TUSD BE'!$Y$22*'TUSD BF'!$Y$62</f>
        <v>0</v>
      </c>
      <c r="Z22" s="13">
        <f>'TUSD BE'!$Z$22*'TUSD BF'!$Z$62</f>
        <v>0</v>
      </c>
      <c r="AA22" s="13">
        <f>'TUSD BE'!$AA$22*'TUSD BF'!$AA$62</f>
        <v>0</v>
      </c>
      <c r="AB22" s="13">
        <f>SUM($U$22:$AA$22)</f>
        <v>0</v>
      </c>
      <c r="AC22" s="13">
        <f>'TUSD BE'!$AC$22*'TUSD BF'!$AC$62</f>
        <v>0</v>
      </c>
      <c r="AD22" s="13">
        <f>SUM($AC$22:$AC$22)</f>
        <v>0</v>
      </c>
      <c r="AE22" s="13">
        <f ca="1">$AO$22*$AO$59</f>
        <v>0</v>
      </c>
      <c r="AF22" s="13">
        <f ca="1">$AP$22*$AP$59</f>
        <v>0</v>
      </c>
      <c r="AG22" s="13">
        <f ca="1">SUM($AE$22:$AF$22)</f>
        <v>0</v>
      </c>
      <c r="AH22" s="13">
        <f>'TUSD BE'!$AH$22*'TUSD BF'!$AH$62</f>
        <v>0</v>
      </c>
      <c r="AI22" s="13">
        <f>'TUSD BE'!$AI$22*'TUSD BF'!$AI$62</f>
        <v>0</v>
      </c>
      <c r="AJ22" s="13">
        <f ca="1">'TUSD BE'!$AJ$22*'TUSD BF'!$AJ$62</f>
        <v>0</v>
      </c>
      <c r="AK22" s="13">
        <f ca="1">'TUSD BE'!$AK$22*'TUSD BF'!$AK$62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469.70795116768807</v>
      </c>
      <c r="AP22" s="26">
        <f ca="1">+'TUSD BE'!$T$22+'TUSD BE'!$AB$22+'TUSD BE'!$AD$22+'TUSD BE'!$AL$22</f>
        <v>469.70795116768807</v>
      </c>
    </row>
    <row r="23" spans="1:42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>
        <f>'TUSD BE'!$L$23*'TUSD BF'!$L$62</f>
        <v>0</v>
      </c>
      <c r="M23" s="13">
        <f>'TUSD BE'!$M$23*'TUSD BF'!$M$62</f>
        <v>0</v>
      </c>
      <c r="N23" s="13">
        <f ca="1">'TUSD BE'!$N$23*'TUSD BF'!$N$62</f>
        <v>0</v>
      </c>
      <c r="O23" s="13">
        <f>'TUSD BE'!$O$23*'TUSD BF'!$O$62</f>
        <v>0</v>
      </c>
      <c r="P23" s="13">
        <f>'TUSD BE'!$P$23*'TUSD BF'!$P$62</f>
        <v>0</v>
      </c>
      <c r="Q23" s="13">
        <f>'TUSD BE'!$Q$23*'TUSD BF'!$Q$62</f>
        <v>0</v>
      </c>
      <c r="R23" s="13">
        <f>'TUSD BE'!$R$23*'TUSD BF'!$R$62</f>
        <v>0</v>
      </c>
      <c r="S23" s="13">
        <f>'TUSD BE'!$R$23*'TUSD BF'!$S$62</f>
        <v>0</v>
      </c>
      <c r="T23" s="13">
        <f ca="1">SUM($L$23:$S$23)</f>
        <v>0</v>
      </c>
      <c r="U23" s="13">
        <f>'TUSD BE'!$U$23*'TUSD BF'!$U$62</f>
        <v>0</v>
      </c>
      <c r="V23" s="13">
        <f>'TUSD BE'!$V$23*'TUSD BF'!$V$62</f>
        <v>0</v>
      </c>
      <c r="W23" s="13">
        <f>'TUSD BE'!$W$23*'TUSD BF'!$W$62</f>
        <v>0</v>
      </c>
      <c r="X23" s="13">
        <f>'TUSD BE'!$X$23*'TUSD BF'!$X$62</f>
        <v>0</v>
      </c>
      <c r="Y23" s="13">
        <f>'TUSD BE'!$Y$23*'TUSD BF'!$Y$62</f>
        <v>0</v>
      </c>
      <c r="Z23" s="13">
        <f>'TUSD BE'!$Z$23*'TUSD BF'!$Z$62</f>
        <v>0</v>
      </c>
      <c r="AA23" s="13">
        <f>'TUSD BE'!$AA$23*'TUSD BF'!$AA$62</f>
        <v>0</v>
      </c>
      <c r="AB23" s="13">
        <f>SUM($U$23:$AA$23)</f>
        <v>0</v>
      </c>
      <c r="AC23" s="13">
        <f>'TUSD BE'!$AC$23*'TUSD BF'!$AC$62</f>
        <v>0</v>
      </c>
      <c r="AD23" s="13">
        <f>SUM($AC$23:$AC$23)</f>
        <v>0</v>
      </c>
      <c r="AE23" s="13">
        <f ca="1">$AO$23*$AO$59</f>
        <v>0</v>
      </c>
      <c r="AF23" s="13">
        <f ca="1">$AP$23*$AP$59</f>
        <v>0</v>
      </c>
      <c r="AG23" s="13">
        <f ca="1">SUM($AE$23:$AF$23)</f>
        <v>0</v>
      </c>
      <c r="AH23" s="13">
        <f>'TUSD BE'!$AH$23*'TUSD BF'!$AH$62</f>
        <v>0</v>
      </c>
      <c r="AI23" s="13">
        <f>'TUSD BE'!$AI$23*'TUSD BF'!$AI$62</f>
        <v>0</v>
      </c>
      <c r="AJ23" s="13">
        <f ca="1">'TUSD BE'!$AJ$23*'TUSD BF'!$AJ$62</f>
        <v>0</v>
      </c>
      <c r="AK23" s="13">
        <f ca="1">'TUSD BE'!$AK$23*'TUSD BF'!$AK$62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256.82704203202292</v>
      </c>
      <c r="AP23" s="26">
        <f ca="1">+'TUSD BE'!$T$23+'TUSD BE'!$AB$23+'TUSD BE'!$AD$23+'TUSD BE'!$AL$23</f>
        <v>256.82704203202292</v>
      </c>
    </row>
    <row r="24" spans="1:42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>
        <f>'TUSD BE'!$L$24*'TUSD BF'!$L$62</f>
        <v>0</v>
      </c>
      <c r="M24" s="13">
        <f>'TUSD BE'!$M$24*'TUSD BF'!$M$62</f>
        <v>0</v>
      </c>
      <c r="N24" s="13">
        <f ca="1">'TUSD BE'!$N$24*'TUSD BF'!$N$62</f>
        <v>0</v>
      </c>
      <c r="O24" s="13">
        <f>'TUSD BE'!$O$24*'TUSD BF'!$O$62</f>
        <v>0</v>
      </c>
      <c r="P24" s="13">
        <f>'TUSD BE'!$P$24*'TUSD BF'!$P$62</f>
        <v>0</v>
      </c>
      <c r="Q24" s="13">
        <f>'TUSD BE'!$Q$24*'TUSD BF'!$Q$62</f>
        <v>0</v>
      </c>
      <c r="R24" s="13">
        <f>'TUSD BE'!$R$24*'TUSD BF'!$R$62</f>
        <v>0</v>
      </c>
      <c r="S24" s="13">
        <f>'TUSD BE'!$R$24*'TUSD BF'!$S$62</f>
        <v>0</v>
      </c>
      <c r="T24" s="13">
        <f ca="1">SUM($L$24:$S$24)</f>
        <v>0</v>
      </c>
      <c r="U24" s="13">
        <f>'TUSD BE'!$U$24*'TUSD BF'!$U$62</f>
        <v>0</v>
      </c>
      <c r="V24" s="13">
        <f>'TUSD BE'!$V$24*'TUSD BF'!$V$62</f>
        <v>0</v>
      </c>
      <c r="W24" s="13">
        <f>'TUSD BE'!$W$24*'TUSD BF'!$W$62</f>
        <v>0</v>
      </c>
      <c r="X24" s="13">
        <f>'TUSD BE'!$X$24*'TUSD BF'!$X$62</f>
        <v>0</v>
      </c>
      <c r="Y24" s="13">
        <f>'TUSD BE'!$Y$24*'TUSD BF'!$Y$62</f>
        <v>0</v>
      </c>
      <c r="Z24" s="13">
        <f>'TUSD BE'!$Z$24*'TUSD BF'!$Z$62</f>
        <v>0</v>
      </c>
      <c r="AA24" s="13">
        <f>'TUSD BE'!$AA$24*'TUSD BF'!$AA$62</f>
        <v>0</v>
      </c>
      <c r="AB24" s="13">
        <f>SUM($U$24:$AA$24)</f>
        <v>0</v>
      </c>
      <c r="AC24" s="13">
        <f>'TUSD BE'!$AC$24*'TUSD BF'!$AC$62</f>
        <v>0</v>
      </c>
      <c r="AD24" s="13">
        <f>SUM($AC$24:$AC$24)</f>
        <v>0</v>
      </c>
      <c r="AE24" s="13">
        <f ca="1">$AO$24*$AO$59</f>
        <v>0</v>
      </c>
      <c r="AF24" s="13">
        <f ca="1">$AP$24*$AP$59</f>
        <v>0</v>
      </c>
      <c r="AG24" s="13">
        <f ca="1">SUM($AE$24:$AF$24)</f>
        <v>0</v>
      </c>
      <c r="AH24" s="13">
        <f>'TUSD BE'!$AH$24*'TUSD BF'!$AH$62</f>
        <v>0</v>
      </c>
      <c r="AI24" s="13">
        <f>'TUSD BE'!$AI$24*'TUSD BF'!$AI$62</f>
        <v>0</v>
      </c>
      <c r="AJ24" s="13">
        <f ca="1">'TUSD BE'!$AJ$24*'TUSD BF'!$AJ$62</f>
        <v>0</v>
      </c>
      <c r="AK24" s="13">
        <f ca="1">'TUSD BE'!$AK$24*'TUSD BF'!$AK$62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347.4983928142023</v>
      </c>
      <c r="AP24" s="26">
        <f ca="1">+'TUSD BE'!$T$24+'TUSD BE'!$AB$24+'TUSD BE'!$AD$24+'TUSD BE'!$AL$24</f>
        <v>347.4983928142023</v>
      </c>
    </row>
    <row r="25" spans="1:42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>
        <f>'TUSD BE'!$L$25*'TUSD BF'!$L$62</f>
        <v>0</v>
      </c>
      <c r="M25" s="13">
        <f>'TUSD BE'!$M$25*'TUSD BF'!$M$62</f>
        <v>0</v>
      </c>
      <c r="N25" s="13">
        <f ca="1">'TUSD BE'!$N$25*'TUSD BF'!$N$62</f>
        <v>0</v>
      </c>
      <c r="O25" s="13">
        <f>'TUSD BE'!$O$25*'TUSD BF'!$O$62</f>
        <v>0</v>
      </c>
      <c r="P25" s="13">
        <f>'TUSD BE'!$P$25*'TUSD BF'!$P$62</f>
        <v>0</v>
      </c>
      <c r="Q25" s="13">
        <f>'TUSD BE'!$Q$25*'TUSD BF'!$Q$62</f>
        <v>0</v>
      </c>
      <c r="R25" s="13">
        <f>'TUSD BE'!$R$25*'TUSD BF'!$R$62</f>
        <v>0</v>
      </c>
      <c r="S25" s="13">
        <f>'TUSD BE'!$R$25*'TUSD BF'!$S$62</f>
        <v>0</v>
      </c>
      <c r="T25" s="13">
        <f ca="1">SUM($L$25:$S$25)</f>
        <v>0</v>
      </c>
      <c r="U25" s="13">
        <f>'TUSD BE'!$U$25*'TUSD BF'!$U$62</f>
        <v>0</v>
      </c>
      <c r="V25" s="13">
        <f>'TUSD BE'!$V$25*'TUSD BF'!$V$62</f>
        <v>0</v>
      </c>
      <c r="W25" s="13">
        <f>'TUSD BE'!$W$25*'TUSD BF'!$W$62</f>
        <v>0</v>
      </c>
      <c r="X25" s="13">
        <f>'TUSD BE'!$X$25*'TUSD BF'!$X$62</f>
        <v>0</v>
      </c>
      <c r="Y25" s="13">
        <f>'TUSD BE'!$Y$25*'TUSD BF'!$Y$62</f>
        <v>0</v>
      </c>
      <c r="Z25" s="13">
        <f>'TUSD BE'!$Z$25*'TUSD BF'!$Z$62</f>
        <v>0</v>
      </c>
      <c r="AA25" s="13">
        <f>'TUSD BE'!$AA$25*'TUSD BF'!$AA$62</f>
        <v>0</v>
      </c>
      <c r="AB25" s="13">
        <f>SUM($U$25:$AA$25)</f>
        <v>0</v>
      </c>
      <c r="AC25" s="13">
        <f>'TUSD BE'!$AC$25*'TUSD BF'!$AC$62</f>
        <v>0</v>
      </c>
      <c r="AD25" s="13">
        <f>SUM($AC$25:$AC$25)</f>
        <v>0</v>
      </c>
      <c r="AE25" s="13">
        <f ca="1">$AO$25*$AO$59</f>
        <v>0</v>
      </c>
      <c r="AF25" s="13">
        <f ca="1">$AP$25*$AP$59</f>
        <v>0</v>
      </c>
      <c r="AG25" s="13">
        <f ca="1">SUM($AE$25:$AF$25)</f>
        <v>0</v>
      </c>
      <c r="AH25" s="13">
        <f>'TUSD BE'!$AH$25*'TUSD BF'!$AH$62</f>
        <v>0</v>
      </c>
      <c r="AI25" s="13">
        <f>'TUSD BE'!$AI$25*'TUSD BF'!$AI$62</f>
        <v>0</v>
      </c>
      <c r="AJ25" s="13">
        <f ca="1">'TUSD BE'!$AJ$25*'TUSD BF'!$AJ$62</f>
        <v>0</v>
      </c>
      <c r="AK25" s="13">
        <f ca="1">'TUSD BE'!$AK$25*'TUSD BF'!$AK$62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210.00164694064551</v>
      </c>
      <c r="AP25" s="26">
        <f ca="1">+'TUSD BE'!$T$25+'TUSD BE'!$AB$25+'TUSD BE'!$AD$25+'TUSD BE'!$AL$25</f>
        <v>210.00164694064551</v>
      </c>
    </row>
    <row r="26" spans="1:42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>
        <f>'TUSD BE'!$L$26*'TUSD BF'!$L$62</f>
        <v>0</v>
      </c>
      <c r="M26" s="13">
        <f>'TUSD BE'!$M$26*'TUSD BF'!$M$62</f>
        <v>0</v>
      </c>
      <c r="N26" s="13">
        <f ca="1">'TUSD BE'!$N$26*'TUSD BF'!$N$62</f>
        <v>0</v>
      </c>
      <c r="O26" s="13">
        <f>'TUSD BE'!$O$26*'TUSD BF'!$O$62</f>
        <v>0</v>
      </c>
      <c r="P26" s="13">
        <f>'TUSD BE'!$P$26*'TUSD BF'!$P$62</f>
        <v>0</v>
      </c>
      <c r="Q26" s="13">
        <f>'TUSD BE'!$Q$26*'TUSD BF'!$Q$62</f>
        <v>0</v>
      </c>
      <c r="R26" s="13">
        <f>'TUSD BE'!$R$26*'TUSD BF'!$R$62</f>
        <v>0</v>
      </c>
      <c r="S26" s="13">
        <f>'TUSD BE'!$R$26*'TUSD BF'!$S$62</f>
        <v>0</v>
      </c>
      <c r="T26" s="13">
        <f ca="1">SUM($L$26:$S$26)</f>
        <v>0</v>
      </c>
      <c r="U26" s="13">
        <f>'TUSD BE'!$U$26*'TUSD BF'!$U$62</f>
        <v>0</v>
      </c>
      <c r="V26" s="13">
        <f>'TUSD BE'!$V$26*'TUSD BF'!$V$62</f>
        <v>0</v>
      </c>
      <c r="W26" s="13">
        <f>'TUSD BE'!$W$26*'TUSD BF'!$W$62</f>
        <v>0</v>
      </c>
      <c r="X26" s="13">
        <f>'TUSD BE'!$X$26*'TUSD BF'!$X$62</f>
        <v>0</v>
      </c>
      <c r="Y26" s="13">
        <f>'TUSD BE'!$Y$26*'TUSD BF'!$Y$62</f>
        <v>0</v>
      </c>
      <c r="Z26" s="13">
        <f>'TUSD BE'!$Z$26*'TUSD BF'!$Z$62</f>
        <v>0</v>
      </c>
      <c r="AA26" s="13">
        <f>'TUSD BE'!$AA$26*'TUSD BF'!$AA$62</f>
        <v>0</v>
      </c>
      <c r="AB26" s="13">
        <f>SUM($U$26:$AA$26)</f>
        <v>0</v>
      </c>
      <c r="AC26" s="13">
        <f>'TUSD BE'!$AC$26*'TUSD BF'!$AC$62</f>
        <v>0</v>
      </c>
      <c r="AD26" s="13">
        <f>SUM($AC$26:$AC$26)</f>
        <v>0</v>
      </c>
      <c r="AE26" s="13">
        <f ca="1">$AO$26*$AO$59</f>
        <v>0</v>
      </c>
      <c r="AF26" s="13">
        <f ca="1">$AP$26*$AP$59</f>
        <v>0</v>
      </c>
      <c r="AG26" s="13">
        <f ca="1">SUM($AE$26:$AF$26)</f>
        <v>0</v>
      </c>
      <c r="AH26" s="13">
        <f>'TUSD BE'!$AH$26*'TUSD BF'!$AH$62</f>
        <v>0</v>
      </c>
      <c r="AI26" s="13">
        <f>'TUSD BE'!$AI$26*'TUSD BF'!$AI$62</f>
        <v>0</v>
      </c>
      <c r="AJ26" s="13">
        <f ca="1">'TUSD BE'!$AJ$26*'TUSD BF'!$AJ$62</f>
        <v>0</v>
      </c>
      <c r="AK26" s="13">
        <f ca="1">'TUSD BE'!$AK$26*'TUSD BF'!$AK$62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210.00164694064551</v>
      </c>
      <c r="AP26" s="26">
        <f ca="1">+'TUSD BE'!$T$26+'TUSD BE'!$AB$26+'TUSD BE'!$AD$26+'TUSD BE'!$AL$26</f>
        <v>210.00164694064551</v>
      </c>
    </row>
    <row r="27" spans="1:42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>
        <f>'TUSD BE'!$L$27*'TUSD BF'!$L$62</f>
        <v>0</v>
      </c>
      <c r="M27" s="13">
        <f>'TUSD BE'!$M$27*'TUSD BF'!$M$62</f>
        <v>0</v>
      </c>
      <c r="N27" s="13">
        <f ca="1">'TUSD BE'!$N$27*'TUSD BF'!$N$62</f>
        <v>0</v>
      </c>
      <c r="O27" s="13">
        <f>'TUSD BE'!$O$27*'TUSD BF'!$O$62</f>
        <v>0</v>
      </c>
      <c r="P27" s="13">
        <f>'TUSD BE'!$P$27*'TUSD BF'!$P$62</f>
        <v>0</v>
      </c>
      <c r="Q27" s="13">
        <f>'TUSD BE'!$Q$27*'TUSD BF'!$Q$62</f>
        <v>0</v>
      </c>
      <c r="R27" s="13">
        <f>'TUSD BE'!$R$27*'TUSD BF'!$R$62</f>
        <v>0</v>
      </c>
      <c r="S27" s="13">
        <f>'TUSD BE'!$R$27*'TUSD BF'!$S$62</f>
        <v>0</v>
      </c>
      <c r="T27" s="13">
        <f ca="1">SUM($L$27:$S$27)</f>
        <v>0</v>
      </c>
      <c r="U27" s="13">
        <f>'TUSD BE'!$U$27*'TUSD BF'!$U$62</f>
        <v>0</v>
      </c>
      <c r="V27" s="13">
        <f>'TUSD BE'!$V$27*'TUSD BF'!$V$62</f>
        <v>0</v>
      </c>
      <c r="W27" s="13">
        <f>'TUSD BE'!$W$27*'TUSD BF'!$W$62</f>
        <v>0</v>
      </c>
      <c r="X27" s="13">
        <f>'TUSD BE'!$X$27*'TUSD BF'!$X$62</f>
        <v>0</v>
      </c>
      <c r="Y27" s="13">
        <f>'TUSD BE'!$Y$27*'TUSD BF'!$Y$62</f>
        <v>0</v>
      </c>
      <c r="Z27" s="13">
        <f>'TUSD BE'!$Z$27*'TUSD BF'!$Z$62</f>
        <v>0</v>
      </c>
      <c r="AA27" s="13">
        <f>'TUSD BE'!$AA$27*'TUSD BF'!$AA$62</f>
        <v>0</v>
      </c>
      <c r="AB27" s="13">
        <f>SUM($U$27:$AA$27)</f>
        <v>0</v>
      </c>
      <c r="AC27" s="13">
        <f>'TUSD BE'!$AC$27*'TUSD BF'!$AC$62</f>
        <v>0</v>
      </c>
      <c r="AD27" s="13">
        <f>SUM($AC$27:$AC$27)</f>
        <v>0</v>
      </c>
      <c r="AE27" s="13">
        <f ca="1">$AO$27*$AO$59</f>
        <v>0</v>
      </c>
      <c r="AF27" s="13">
        <f ca="1">$AP$27*$AP$59</f>
        <v>0</v>
      </c>
      <c r="AG27" s="13">
        <f ca="1">SUM($AE$27:$AF$27)</f>
        <v>0</v>
      </c>
      <c r="AH27" s="13">
        <f>'TUSD BE'!$AH$27*'TUSD BF'!$AH$62</f>
        <v>0</v>
      </c>
      <c r="AI27" s="13">
        <f>'TUSD BE'!$AI$27*'TUSD BF'!$AI$62</f>
        <v>0</v>
      </c>
      <c r="AJ27" s="13">
        <f ca="1">'TUSD BE'!$AJ$27*'TUSD BF'!$AJ$62</f>
        <v>0</v>
      </c>
      <c r="AK27" s="13">
        <f ca="1">'TUSD BE'!$AK$27*'TUSD BF'!$AK$62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210.00164694064551</v>
      </c>
      <c r="AP27" s="26">
        <f ca="1">+'TUSD BE'!$T$27+'TUSD BE'!$AB$27+'TUSD BE'!$AD$27+'TUSD BE'!$AL$27</f>
        <v>210.00164694064551</v>
      </c>
    </row>
    <row r="28" spans="1:42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>
        <f>'TUSD BE'!$L$28*'TUSD BF'!$L$62</f>
        <v>0</v>
      </c>
      <c r="M28" s="13">
        <f>'TUSD BE'!$M$28*'TUSD BF'!$M$62</f>
        <v>0</v>
      </c>
      <c r="N28" s="13">
        <f ca="1">'TUSD BE'!$N$28*'TUSD BF'!$N$62</f>
        <v>0</v>
      </c>
      <c r="O28" s="13">
        <f>'TUSD BE'!$O$28*'TUSD BF'!$O$62</f>
        <v>0</v>
      </c>
      <c r="P28" s="13">
        <f>'TUSD BE'!$P$28*'TUSD BF'!$P$62</f>
        <v>0</v>
      </c>
      <c r="Q28" s="13">
        <f>'TUSD BE'!$Q$28*'TUSD BF'!$Q$62</f>
        <v>0</v>
      </c>
      <c r="R28" s="13">
        <f>'TUSD BE'!$R$28*'TUSD BF'!$R$62</f>
        <v>0</v>
      </c>
      <c r="S28" s="13">
        <f>'TUSD BE'!$R$28*'TUSD BF'!$S$62</f>
        <v>0</v>
      </c>
      <c r="T28" s="13">
        <f ca="1">SUM($L$28:$S$28)</f>
        <v>0</v>
      </c>
      <c r="U28" s="13">
        <f>'TUSD BE'!$U$28*'TUSD BF'!$U$62</f>
        <v>0</v>
      </c>
      <c r="V28" s="13">
        <f>'TUSD BE'!$V$28*'TUSD BF'!$V$62</f>
        <v>0</v>
      </c>
      <c r="W28" s="13">
        <f>'TUSD BE'!$W$28*'TUSD BF'!$W$62</f>
        <v>0</v>
      </c>
      <c r="X28" s="13">
        <f>'TUSD BE'!$X$28*'TUSD BF'!$X$62</f>
        <v>0</v>
      </c>
      <c r="Y28" s="13">
        <f>'TUSD BE'!$Y$28*'TUSD BF'!$Y$62</f>
        <v>0</v>
      </c>
      <c r="Z28" s="13">
        <f>'TUSD BE'!$Z$28*'TUSD BF'!$Z$62</f>
        <v>0</v>
      </c>
      <c r="AA28" s="13">
        <f>'TUSD BE'!$AA$28*'TUSD BF'!$AA$62</f>
        <v>0</v>
      </c>
      <c r="AB28" s="13">
        <f>SUM($U$28:$AA$28)</f>
        <v>0</v>
      </c>
      <c r="AC28" s="13">
        <f>'TUSD BE'!$AC$28*'TUSD BF'!$AC$62</f>
        <v>0</v>
      </c>
      <c r="AD28" s="13">
        <f>SUM($AC$28:$AC$28)</f>
        <v>0</v>
      </c>
      <c r="AE28" s="13">
        <f ca="1">$AO$28*$AO$59</f>
        <v>0</v>
      </c>
      <c r="AF28" s="13">
        <f ca="1">$AP$28*$AP$59</f>
        <v>0</v>
      </c>
      <c r="AG28" s="13">
        <f ca="1">SUM($AE$28:$AF$28)</f>
        <v>0</v>
      </c>
      <c r="AH28" s="13">
        <f>'TUSD BE'!$AH$28*'TUSD BF'!$AH$62</f>
        <v>0</v>
      </c>
      <c r="AI28" s="13">
        <f>'TUSD BE'!$AI$28*'TUSD BF'!$AI$62</f>
        <v>0</v>
      </c>
      <c r="AJ28" s="13">
        <f ca="1">'TUSD BE'!$AJ$28*'TUSD BF'!$AJ$62</f>
        <v>0</v>
      </c>
      <c r="AK28" s="13">
        <f ca="1">'TUSD BE'!$AK$28*'TUSD BF'!$AK$62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210.00164694064551</v>
      </c>
      <c r="AP28" s="26">
        <f ca="1">+'TUSD BE'!$T$28+'TUSD BE'!$AB$28+'TUSD BE'!$AD$28+'TUSD BE'!$AL$28</f>
        <v>210.00164694064551</v>
      </c>
    </row>
    <row r="29" spans="1:42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>
        <f>'TUSD BE'!$L$29*'TUSD BF'!$L$62</f>
        <v>0</v>
      </c>
      <c r="M29" s="13">
        <f>'TUSD BE'!$M$29*'TUSD BF'!$M$62</f>
        <v>0</v>
      </c>
      <c r="N29" s="13">
        <f ca="1">'TUSD BE'!$N$29*'TUSD BF'!$N$62</f>
        <v>0</v>
      </c>
      <c r="O29" s="13">
        <f>'TUSD BE'!$O$29*'TUSD BF'!$O$62</f>
        <v>0</v>
      </c>
      <c r="P29" s="13">
        <f>'TUSD BE'!$P$29*'TUSD BF'!$P$62</f>
        <v>0</v>
      </c>
      <c r="Q29" s="13">
        <f>'TUSD BE'!$Q$29*'TUSD BF'!$Q$62</f>
        <v>0</v>
      </c>
      <c r="R29" s="13">
        <f>'TUSD BE'!$R$29*'TUSD BF'!$R$62</f>
        <v>0</v>
      </c>
      <c r="S29" s="13">
        <f>'TUSD BE'!$R$29*'TUSD BF'!$S$62</f>
        <v>0</v>
      </c>
      <c r="T29" s="13">
        <f ca="1">SUM($L$29:$S$29)</f>
        <v>0</v>
      </c>
      <c r="U29" s="13">
        <f>'TUSD BE'!$U$29*'TUSD BF'!$U$62</f>
        <v>0</v>
      </c>
      <c r="V29" s="13">
        <f>'TUSD BE'!$V$29*'TUSD BF'!$V$62</f>
        <v>0</v>
      </c>
      <c r="W29" s="13">
        <f>'TUSD BE'!$W$29*'TUSD BF'!$W$62</f>
        <v>0</v>
      </c>
      <c r="X29" s="13">
        <f>'TUSD BE'!$X$29*'TUSD BF'!$X$62</f>
        <v>0</v>
      </c>
      <c r="Y29" s="13">
        <f>'TUSD BE'!$Y$29*'TUSD BF'!$Y$62</f>
        <v>0</v>
      </c>
      <c r="Z29" s="13">
        <f>'TUSD BE'!$Z$29*'TUSD BF'!$Z$62</f>
        <v>0</v>
      </c>
      <c r="AA29" s="13">
        <f>'TUSD BE'!$AA$29*'TUSD BF'!$AA$62</f>
        <v>0</v>
      </c>
      <c r="AB29" s="13">
        <f>SUM($U$29:$AA$29)</f>
        <v>0</v>
      </c>
      <c r="AC29" s="13">
        <f>'TUSD BE'!$AC$29*'TUSD BF'!$AC$62</f>
        <v>0</v>
      </c>
      <c r="AD29" s="13">
        <f>SUM($AC$29:$AC$29)</f>
        <v>0</v>
      </c>
      <c r="AE29" s="13">
        <f ca="1">$AO$29*$AO$59</f>
        <v>0</v>
      </c>
      <c r="AF29" s="13">
        <f ca="1">$AP$29*$AP$59</f>
        <v>0</v>
      </c>
      <c r="AG29" s="13">
        <f ca="1">SUM($AE$29:$AF$29)</f>
        <v>0</v>
      </c>
      <c r="AH29" s="13">
        <f>'TUSD BE'!$AH$29*'TUSD BF'!$AH$62</f>
        <v>0</v>
      </c>
      <c r="AI29" s="13">
        <f>'TUSD BE'!$AI$29*'TUSD BF'!$AI$62</f>
        <v>0</v>
      </c>
      <c r="AJ29" s="13">
        <f ca="1">'TUSD BE'!$AJ$29*'TUSD BF'!$AJ$62</f>
        <v>0</v>
      </c>
      <c r="AK29" s="13">
        <f ca="1">'TUSD BE'!$AK$29*'TUSD BF'!$AK$62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347.4983928142023</v>
      </c>
      <c r="AP29" s="26">
        <f ca="1">+'TUSD BE'!$T$29+'TUSD BE'!$AB$29+'TUSD BE'!$AD$29+'TUSD BE'!$AL$29</f>
        <v>347.4983928142023</v>
      </c>
    </row>
    <row r="30" spans="1:42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>
        <f>'TUSD BE'!$L$30*'TUSD BF'!$L$62</f>
        <v>0</v>
      </c>
      <c r="M30" s="13">
        <f>'TUSD BE'!$M$30*'TUSD BF'!$M$62</f>
        <v>0</v>
      </c>
      <c r="N30" s="13">
        <f ca="1">'TUSD BE'!$N$30*'TUSD BF'!$N$62</f>
        <v>0</v>
      </c>
      <c r="O30" s="13">
        <f>'TUSD BE'!$O$30*'TUSD BF'!$O$62</f>
        <v>0</v>
      </c>
      <c r="P30" s="13">
        <f>'TUSD BE'!$P$30*'TUSD BF'!$P$62</f>
        <v>0</v>
      </c>
      <c r="Q30" s="13">
        <f>'TUSD BE'!$Q$30*'TUSD BF'!$Q$62</f>
        <v>0</v>
      </c>
      <c r="R30" s="13">
        <f>'TUSD BE'!$R$30*'TUSD BF'!$R$62</f>
        <v>0</v>
      </c>
      <c r="S30" s="13">
        <f>'TUSD BE'!$R$30*'TUSD BF'!$S$62</f>
        <v>0</v>
      </c>
      <c r="T30" s="13">
        <f ca="1">SUM($L$30:$S$30)</f>
        <v>0</v>
      </c>
      <c r="U30" s="13">
        <f>'TUSD BE'!$U$30*'TUSD BF'!$U$62</f>
        <v>0</v>
      </c>
      <c r="V30" s="13">
        <f>'TUSD BE'!$V$30*'TUSD BF'!$V$62</f>
        <v>0</v>
      </c>
      <c r="W30" s="13">
        <f>'TUSD BE'!$W$30*'TUSD BF'!$W$62</f>
        <v>0</v>
      </c>
      <c r="X30" s="13">
        <f>'TUSD BE'!$X$30*'TUSD BF'!$X$62</f>
        <v>0</v>
      </c>
      <c r="Y30" s="13">
        <f>'TUSD BE'!$Y$30*'TUSD BF'!$Y$62</f>
        <v>0</v>
      </c>
      <c r="Z30" s="13">
        <f>'TUSD BE'!$Z$30*'TUSD BF'!$Z$62</f>
        <v>0</v>
      </c>
      <c r="AA30" s="13">
        <f>'TUSD BE'!$AA$30*'TUSD BF'!$AA$62</f>
        <v>0</v>
      </c>
      <c r="AB30" s="13">
        <f>SUM($U$30:$AA$30)</f>
        <v>0</v>
      </c>
      <c r="AC30" s="13">
        <f>'TUSD BE'!$AC$30*'TUSD BF'!$AC$62</f>
        <v>0</v>
      </c>
      <c r="AD30" s="13">
        <f>SUM($AC$30:$AC$30)</f>
        <v>0</v>
      </c>
      <c r="AE30" s="13">
        <f ca="1">$AO$30*$AO$59</f>
        <v>0</v>
      </c>
      <c r="AF30" s="13">
        <f ca="1">$AP$30*$AP$59</f>
        <v>0</v>
      </c>
      <c r="AG30" s="13">
        <f ca="1">SUM($AE$30:$AF$30)</f>
        <v>0</v>
      </c>
      <c r="AH30" s="13">
        <f>'TUSD BE'!$AH$30*'TUSD BF'!$AH$62</f>
        <v>0</v>
      </c>
      <c r="AI30" s="13">
        <f>'TUSD BE'!$AI$30*'TUSD BF'!$AI$62</f>
        <v>0</v>
      </c>
      <c r="AJ30" s="13">
        <f ca="1">'TUSD BE'!$AJ$30*'TUSD BF'!$AJ$62</f>
        <v>0</v>
      </c>
      <c r="AK30" s="13">
        <f ca="1">'TUSD BE'!$AK$30*'TUSD BF'!$AK$62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210.00164694064551</v>
      </c>
      <c r="AP30" s="26">
        <f ca="1">+'TUSD BE'!$T$30+'TUSD BE'!$AB$30+'TUSD BE'!$AD$30+'TUSD BE'!$AL$30</f>
        <v>210.00164694064551</v>
      </c>
    </row>
    <row r="31" spans="1:42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>
        <f>'TUSD BE'!$L$31*'TUSD BF'!$L$62</f>
        <v>0</v>
      </c>
      <c r="M31" s="13">
        <f>'TUSD BE'!$M$31*'TUSD BF'!$M$62</f>
        <v>0</v>
      </c>
      <c r="N31" s="13">
        <f ca="1">'TUSD BE'!$N$31*'TUSD BF'!$N$62</f>
        <v>0</v>
      </c>
      <c r="O31" s="13">
        <f>'TUSD BE'!$O$31*'TUSD BF'!$O$62</f>
        <v>0</v>
      </c>
      <c r="P31" s="13">
        <f>'TUSD BE'!$P$31*'TUSD BF'!$P$62</f>
        <v>0</v>
      </c>
      <c r="Q31" s="13">
        <f>'TUSD BE'!$Q$31*'TUSD BF'!$Q$62</f>
        <v>0</v>
      </c>
      <c r="R31" s="13">
        <f>'TUSD BE'!$R$31*'TUSD BF'!$R$62</f>
        <v>0</v>
      </c>
      <c r="S31" s="13">
        <f>'TUSD BE'!$R$31*'TUSD BF'!$S$62</f>
        <v>0</v>
      </c>
      <c r="T31" s="13">
        <f ca="1">SUM($L$31:$S$31)</f>
        <v>0</v>
      </c>
      <c r="U31" s="13">
        <f>'TUSD BE'!$U$31*'TUSD BF'!$U$62</f>
        <v>0</v>
      </c>
      <c r="V31" s="13">
        <f>'TUSD BE'!$V$31*'TUSD BF'!$V$62</f>
        <v>0</v>
      </c>
      <c r="W31" s="13">
        <f>'TUSD BE'!$W$31*'TUSD BF'!$W$62</f>
        <v>0</v>
      </c>
      <c r="X31" s="13">
        <f>'TUSD BE'!$X$31*'TUSD BF'!$X$62</f>
        <v>0</v>
      </c>
      <c r="Y31" s="13">
        <f>'TUSD BE'!$Y$31*'TUSD BF'!$Y$62</f>
        <v>0</v>
      </c>
      <c r="Z31" s="13">
        <f>'TUSD BE'!$Z$31*'TUSD BF'!$Z$62</f>
        <v>0</v>
      </c>
      <c r="AA31" s="13">
        <f>'TUSD BE'!$AA$31*'TUSD BF'!$AA$62</f>
        <v>0</v>
      </c>
      <c r="AB31" s="13">
        <f>SUM($U$31:$AA$31)</f>
        <v>0</v>
      </c>
      <c r="AC31" s="13">
        <f>'TUSD BE'!$AC$31*'TUSD BF'!$AC$62</f>
        <v>0</v>
      </c>
      <c r="AD31" s="13">
        <f>SUM($AC$31:$AC$31)</f>
        <v>0</v>
      </c>
      <c r="AE31" s="13">
        <f ca="1">$AO$31*$AO$59</f>
        <v>0</v>
      </c>
      <c r="AF31" s="13">
        <f ca="1">$AP$31*$AP$59</f>
        <v>0</v>
      </c>
      <c r="AG31" s="13">
        <f ca="1">SUM($AE$31:$AF$31)</f>
        <v>0</v>
      </c>
      <c r="AH31" s="13">
        <f>'TUSD BE'!$AH$31*'TUSD BF'!$AH$62</f>
        <v>0</v>
      </c>
      <c r="AI31" s="13">
        <f>'TUSD BE'!$AI$31*'TUSD BF'!$AI$62</f>
        <v>0</v>
      </c>
      <c r="AJ31" s="13">
        <f ca="1">'TUSD BE'!$AJ$31*'TUSD BF'!$AJ$62</f>
        <v>0</v>
      </c>
      <c r="AK31" s="13">
        <f ca="1">'TUSD BE'!$AK$31*'TUSD BF'!$AK$62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210.00164694064551</v>
      </c>
      <c r="AP31" s="26">
        <f ca="1">+'TUSD BE'!$T$31+'TUSD BE'!$AB$31+'TUSD BE'!$AD$31+'TUSD BE'!$AL$31</f>
        <v>210.00164694064551</v>
      </c>
    </row>
    <row r="32" spans="1:42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>
        <f>'TUSD BE'!$L$32*'TUSD BF'!$L$62</f>
        <v>0</v>
      </c>
      <c r="M32" s="13">
        <f>'TUSD BE'!$M$32*'TUSD BF'!$M$62</f>
        <v>0</v>
      </c>
      <c r="N32" s="13">
        <f ca="1">'TUSD BE'!$N$32*'TUSD BF'!$N$62</f>
        <v>0</v>
      </c>
      <c r="O32" s="13">
        <f>'TUSD BE'!$O$32*'TUSD BF'!$O$62</f>
        <v>0</v>
      </c>
      <c r="P32" s="13">
        <f>'TUSD BE'!$P$32*'TUSD BF'!$P$62</f>
        <v>0</v>
      </c>
      <c r="Q32" s="13">
        <f>'TUSD BE'!$Q$32*'TUSD BF'!$Q$62</f>
        <v>0</v>
      </c>
      <c r="R32" s="13">
        <f>'TUSD BE'!$R$32*'TUSD BF'!$R$62</f>
        <v>0</v>
      </c>
      <c r="S32" s="13">
        <f>'TUSD BE'!$R$32*'TUSD BF'!$S$62</f>
        <v>0</v>
      </c>
      <c r="T32" s="13">
        <f ca="1">SUM($L$32:$S$32)</f>
        <v>0</v>
      </c>
      <c r="U32" s="13">
        <f>'TUSD BE'!$U$32*'TUSD BF'!$U$62</f>
        <v>0</v>
      </c>
      <c r="V32" s="13">
        <f>'TUSD BE'!$V$32*'TUSD BF'!$V$62</f>
        <v>0</v>
      </c>
      <c r="W32" s="13">
        <f>'TUSD BE'!$W$32*'TUSD BF'!$W$62</f>
        <v>0</v>
      </c>
      <c r="X32" s="13">
        <f>'TUSD BE'!$X$32*'TUSD BF'!$X$62</f>
        <v>0</v>
      </c>
      <c r="Y32" s="13">
        <f>'TUSD BE'!$Y$32*'TUSD BF'!$Y$62</f>
        <v>0</v>
      </c>
      <c r="Z32" s="13">
        <f>'TUSD BE'!$Z$32*'TUSD BF'!$Z$62</f>
        <v>0</v>
      </c>
      <c r="AA32" s="13">
        <f>'TUSD BE'!$AA$32*'TUSD BF'!$AA$62</f>
        <v>0</v>
      </c>
      <c r="AB32" s="13">
        <f>SUM($U$32:$AA$32)</f>
        <v>0</v>
      </c>
      <c r="AC32" s="13">
        <f>'TUSD BE'!$AC$32*'TUSD BF'!$AC$62</f>
        <v>0</v>
      </c>
      <c r="AD32" s="13">
        <f>SUM($AC$32:$AC$32)</f>
        <v>0</v>
      </c>
      <c r="AE32" s="13">
        <f ca="1">$AO$32*$AO$59</f>
        <v>0</v>
      </c>
      <c r="AF32" s="13">
        <f ca="1">$AP$32*$AP$59</f>
        <v>0</v>
      </c>
      <c r="AG32" s="13">
        <f ca="1">SUM($AE$32:$AF$32)</f>
        <v>0</v>
      </c>
      <c r="AH32" s="13">
        <f>'TUSD BE'!$AH$32*'TUSD BF'!$AH$62</f>
        <v>0</v>
      </c>
      <c r="AI32" s="13">
        <f>'TUSD BE'!$AI$32*'TUSD BF'!$AI$62</f>
        <v>0</v>
      </c>
      <c r="AJ32" s="13">
        <f ca="1">'TUSD BE'!$AJ$32*'TUSD BF'!$AJ$62</f>
        <v>0</v>
      </c>
      <c r="AK32" s="13">
        <f ca="1">'TUSD BE'!$AK$32*'TUSD BF'!$AK$62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210.00164694064551</v>
      </c>
      <c r="AP32" s="26">
        <f ca="1">+'TUSD BE'!$T$32+'TUSD BE'!$AB$32+'TUSD BE'!$AD$32+'TUSD BE'!$AL$32</f>
        <v>210.00164694064551</v>
      </c>
    </row>
    <row r="33" spans="1:42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>
        <f>'TUSD BE'!$L$33*'TUSD BF'!$L$62</f>
        <v>0</v>
      </c>
      <c r="M33" s="13">
        <f>'TUSD BE'!$M$33*'TUSD BF'!$M$62</f>
        <v>0</v>
      </c>
      <c r="N33" s="13">
        <f ca="1">'TUSD BE'!$N$33*'TUSD BF'!$N$62</f>
        <v>0</v>
      </c>
      <c r="O33" s="13">
        <f>'TUSD BE'!$O$33*'TUSD BF'!$O$62</f>
        <v>0</v>
      </c>
      <c r="P33" s="13">
        <f>'TUSD BE'!$P$33*'TUSD BF'!$P$62</f>
        <v>0</v>
      </c>
      <c r="Q33" s="13">
        <f>'TUSD BE'!$Q$33*'TUSD BF'!$Q$62</f>
        <v>0</v>
      </c>
      <c r="R33" s="13">
        <f>'TUSD BE'!$R$33*'TUSD BF'!$R$62</f>
        <v>0</v>
      </c>
      <c r="S33" s="13">
        <f>'TUSD BE'!$R$33*'TUSD BF'!$S$62</f>
        <v>0</v>
      </c>
      <c r="T33" s="13">
        <f ca="1">SUM($L$33:$S$33)</f>
        <v>0</v>
      </c>
      <c r="U33" s="13">
        <f>'TUSD BE'!$U$33*'TUSD BF'!$U$62</f>
        <v>0</v>
      </c>
      <c r="V33" s="13">
        <f>'TUSD BE'!$V$33*'TUSD BF'!$V$62</f>
        <v>0</v>
      </c>
      <c r="W33" s="13">
        <f>'TUSD BE'!$W$33*'TUSD BF'!$W$62</f>
        <v>0</v>
      </c>
      <c r="X33" s="13">
        <f>'TUSD BE'!$X$33*'TUSD BF'!$X$62</f>
        <v>0</v>
      </c>
      <c r="Y33" s="13">
        <f>'TUSD BE'!$Y$33*'TUSD BF'!$Y$62</f>
        <v>0</v>
      </c>
      <c r="Z33" s="13">
        <f>'TUSD BE'!$Z$33*'TUSD BF'!$Z$62</f>
        <v>0</v>
      </c>
      <c r="AA33" s="13">
        <f>'TUSD BE'!$AA$33*'TUSD BF'!$AA$62</f>
        <v>0</v>
      </c>
      <c r="AB33" s="13">
        <f>SUM($U$33:$AA$33)</f>
        <v>0</v>
      </c>
      <c r="AC33" s="13">
        <f>'TUSD BE'!$AC$33*'TUSD BF'!$AC$62</f>
        <v>0</v>
      </c>
      <c r="AD33" s="13">
        <f>SUM($AC$33:$AC$33)</f>
        <v>0</v>
      </c>
      <c r="AE33" s="13">
        <f ca="1">$AO$33*$AO$59</f>
        <v>0</v>
      </c>
      <c r="AF33" s="13">
        <f ca="1">$AP$33*$AP$59</f>
        <v>0</v>
      </c>
      <c r="AG33" s="13">
        <f ca="1">SUM($AE$33:$AF$33)</f>
        <v>0</v>
      </c>
      <c r="AH33" s="13">
        <f>'TUSD BE'!$AH$33*'TUSD BF'!$AH$62</f>
        <v>0</v>
      </c>
      <c r="AI33" s="13">
        <f>'TUSD BE'!$AI$33*'TUSD BF'!$AI$62</f>
        <v>0</v>
      </c>
      <c r="AJ33" s="13">
        <f ca="1">'TUSD BE'!$AJ$33*'TUSD BF'!$AJ$62</f>
        <v>0</v>
      </c>
      <c r="AK33" s="13">
        <f ca="1">'TUSD BE'!$AK$33*'TUSD BF'!$AK$62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210.00164694064551</v>
      </c>
      <c r="AP33" s="26">
        <f ca="1">+'TUSD BE'!$T$33+'TUSD BE'!$AB$33+'TUSD BE'!$AD$33+'TUSD BE'!$AL$33</f>
        <v>210.00164694064551</v>
      </c>
    </row>
    <row r="34" spans="1:42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>
        <f>'TUSD BE'!$L$34*'TUSD BF'!$L$62</f>
        <v>0</v>
      </c>
      <c r="M34" s="13">
        <f>'TUSD BE'!$M$34*'TUSD BF'!$M$62</f>
        <v>0</v>
      </c>
      <c r="N34" s="13">
        <f ca="1">'TUSD BE'!$N$34*'TUSD BF'!$N$62</f>
        <v>0</v>
      </c>
      <c r="O34" s="13">
        <f>'TUSD BE'!$O$34*'TUSD BF'!$O$62</f>
        <v>0</v>
      </c>
      <c r="P34" s="13">
        <f>'TUSD BE'!$P$34*'TUSD BF'!$P$62</f>
        <v>0</v>
      </c>
      <c r="Q34" s="13">
        <f>'TUSD BE'!$Q$34*'TUSD BF'!$Q$62</f>
        <v>0</v>
      </c>
      <c r="R34" s="13">
        <f>'TUSD BE'!$R$34*'TUSD BF'!$R$62</f>
        <v>0</v>
      </c>
      <c r="S34" s="13">
        <f>'TUSD BE'!$R$34*'TUSD BF'!$S$62</f>
        <v>0</v>
      </c>
      <c r="T34" s="13">
        <f ca="1">SUM($L$34:$S$34)</f>
        <v>0</v>
      </c>
      <c r="U34" s="13">
        <f>'TUSD BE'!$U$34*'TUSD BF'!$U$62</f>
        <v>0</v>
      </c>
      <c r="V34" s="13">
        <f>'TUSD BE'!$V$34*'TUSD BF'!$V$62</f>
        <v>0</v>
      </c>
      <c r="W34" s="13">
        <f>'TUSD BE'!$W$34*'TUSD BF'!$W$62</f>
        <v>0</v>
      </c>
      <c r="X34" s="13">
        <f>'TUSD BE'!$X$34*'TUSD BF'!$X$62</f>
        <v>0</v>
      </c>
      <c r="Y34" s="13">
        <f>'TUSD BE'!$Y$34*'TUSD BF'!$Y$62</f>
        <v>0</v>
      </c>
      <c r="Z34" s="13">
        <f>'TUSD BE'!$Z$34*'TUSD BF'!$Z$62</f>
        <v>0</v>
      </c>
      <c r="AA34" s="13">
        <f>'TUSD BE'!$AA$34*'TUSD BF'!$AA$62</f>
        <v>0</v>
      </c>
      <c r="AB34" s="13">
        <f>SUM($U$34:$AA$34)</f>
        <v>0</v>
      </c>
      <c r="AC34" s="13">
        <f>'TUSD BE'!$AC$34*'TUSD BF'!$AC$62</f>
        <v>0</v>
      </c>
      <c r="AD34" s="13">
        <f>SUM($AC$34:$AC$34)</f>
        <v>0</v>
      </c>
      <c r="AE34" s="13">
        <f ca="1">$AO$34*$AO$59</f>
        <v>0</v>
      </c>
      <c r="AF34" s="13">
        <f ca="1">$AP$34*$AP$59</f>
        <v>0</v>
      </c>
      <c r="AG34" s="13">
        <f ca="1">SUM($AE$34:$AF$34)</f>
        <v>0</v>
      </c>
      <c r="AH34" s="13">
        <f>'TUSD BE'!$AH$34*'TUSD BF'!$AH$62</f>
        <v>0</v>
      </c>
      <c r="AI34" s="13">
        <f>'TUSD BE'!$AI$34*'TUSD BF'!$AI$62</f>
        <v>0</v>
      </c>
      <c r="AJ34" s="13">
        <f ca="1">'TUSD BE'!$AJ$34*'TUSD BF'!$AJ$62</f>
        <v>0</v>
      </c>
      <c r="AK34" s="13">
        <f ca="1">'TUSD BE'!$AK$34*'TUSD BF'!$AK$62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731.86701698135892</v>
      </c>
      <c r="AP34" s="26">
        <f ca="1">+'TUSD BE'!$T$34+'TUSD BE'!$AB$34+'TUSD BE'!$AD$34+'TUSD BE'!$AL$34</f>
        <v>731.86701698135892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>
        <f>'TUSD BE'!$L$35*'TUSD BF'!$L$62</f>
        <v>0</v>
      </c>
      <c r="M35" s="13">
        <f>'TUSD BE'!$M$35*'TUSD BF'!$M$62</f>
        <v>0</v>
      </c>
      <c r="N35" s="13">
        <f ca="1">'TUSD BE'!$N$35*'TUSD BF'!$N$62</f>
        <v>0</v>
      </c>
      <c r="O35" s="13">
        <f>'TUSD BE'!$O$35*'TUSD BF'!$O$62</f>
        <v>0</v>
      </c>
      <c r="P35" s="13">
        <f>'TUSD BE'!$P$35*'TUSD BF'!$P$62</f>
        <v>0</v>
      </c>
      <c r="Q35" s="13">
        <f>'TUSD BE'!$Q$35*'TUSD BF'!$Q$62</f>
        <v>0</v>
      </c>
      <c r="R35" s="13">
        <f>'TUSD BE'!$R$35*'TUSD BF'!$R$62</f>
        <v>0</v>
      </c>
      <c r="S35" s="13">
        <f>'TUSD BE'!$R$35*'TUSD BF'!$S$62</f>
        <v>0</v>
      </c>
      <c r="T35" s="13">
        <f ca="1">SUM($L$35:$S$35)</f>
        <v>0</v>
      </c>
      <c r="U35" s="13">
        <f>'TUSD BE'!$U$35*'TUSD BF'!$U$62</f>
        <v>0</v>
      </c>
      <c r="V35" s="13">
        <f>'TUSD BE'!$V$35*'TUSD BF'!$V$62</f>
        <v>0</v>
      </c>
      <c r="W35" s="13">
        <f>'TUSD BE'!$W$35*'TUSD BF'!$W$62</f>
        <v>0</v>
      </c>
      <c r="X35" s="13">
        <f>'TUSD BE'!$X$35*'TUSD BF'!$X$62</f>
        <v>0</v>
      </c>
      <c r="Y35" s="13">
        <f>'TUSD BE'!$Y$35*'TUSD BF'!$Y$62</f>
        <v>0</v>
      </c>
      <c r="Z35" s="13">
        <f>'TUSD BE'!$Z$35*'TUSD BF'!$Z$62</f>
        <v>0</v>
      </c>
      <c r="AA35" s="13">
        <f>'TUSD BE'!$AA$35*'TUSD BF'!$AA$62</f>
        <v>0</v>
      </c>
      <c r="AB35" s="13">
        <f>SUM($U$35:$AA$35)</f>
        <v>0</v>
      </c>
      <c r="AC35" s="13">
        <f>'TUSD BE'!$AC$35*'TUSD BF'!$AC$62</f>
        <v>0</v>
      </c>
      <c r="AD35" s="13">
        <f>SUM($AC$35:$AC$35)</f>
        <v>0</v>
      </c>
      <c r="AE35" s="13">
        <f ca="1">$AO$35*$AO$59</f>
        <v>0</v>
      </c>
      <c r="AF35" s="13">
        <f ca="1">$AP$35*$AP$59</f>
        <v>0</v>
      </c>
      <c r="AG35" s="13">
        <f ca="1">SUM($AE$35:$AF$35)</f>
        <v>0</v>
      </c>
      <c r="AH35" s="13">
        <f>'TUSD BE'!$AH$35*'TUSD BF'!$AH$62</f>
        <v>0</v>
      </c>
      <c r="AI35" s="13">
        <f>'TUSD BE'!$AI$35*'TUSD BF'!$AI$62</f>
        <v>0</v>
      </c>
      <c r="AJ35" s="13">
        <f ca="1">'TUSD BE'!$AJ$35*'TUSD BF'!$AJ$62</f>
        <v>0</v>
      </c>
      <c r="AK35" s="13">
        <f ca="1">'TUSD BE'!$AK$35*'TUSD BF'!$AK$62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499.27463690547552</v>
      </c>
      <c r="AP35" s="26">
        <f ca="1">+'TUSD BE'!$T$35+'TUSD BE'!$AB$35+'TUSD BE'!$AD$35+'TUSD BE'!$AL$35</f>
        <v>499.27463690547552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>
        <f>'TUSD BE'!$L$36*'TUSD BF'!$L$62</f>
        <v>0</v>
      </c>
      <c r="M36" s="13">
        <f>'TUSD BE'!$M$36*'TUSD BF'!$M$62</f>
        <v>0</v>
      </c>
      <c r="N36" s="13">
        <f ca="1">'TUSD BE'!$N$36*'TUSD BF'!$N$62</f>
        <v>0</v>
      </c>
      <c r="O36" s="13">
        <f>'TUSD BE'!$O$36*'TUSD BF'!$O$62</f>
        <v>0</v>
      </c>
      <c r="P36" s="13">
        <f>'TUSD BE'!$P$36*'TUSD BF'!$P$62</f>
        <v>0</v>
      </c>
      <c r="Q36" s="13">
        <f>'TUSD BE'!$Q$36*'TUSD BF'!$Q$62</f>
        <v>0</v>
      </c>
      <c r="R36" s="13">
        <f>'TUSD BE'!$R$36*'TUSD BF'!$R$62</f>
        <v>0</v>
      </c>
      <c r="S36" s="13">
        <f>'TUSD BE'!$R$36*'TUSD BF'!$S$62</f>
        <v>0</v>
      </c>
      <c r="T36" s="13">
        <f ca="1">SUM($L$36:$S$36)</f>
        <v>0</v>
      </c>
      <c r="U36" s="13">
        <f>'TUSD BE'!$U$36*'TUSD BF'!$U$62</f>
        <v>0</v>
      </c>
      <c r="V36" s="13">
        <f>'TUSD BE'!$V$36*'TUSD BF'!$V$62</f>
        <v>0</v>
      </c>
      <c r="W36" s="13">
        <f>'TUSD BE'!$W$36*'TUSD BF'!$W$62</f>
        <v>0</v>
      </c>
      <c r="X36" s="13">
        <f>'TUSD BE'!$X$36*'TUSD BF'!$X$62</f>
        <v>0</v>
      </c>
      <c r="Y36" s="13">
        <f>'TUSD BE'!$Y$36*'TUSD BF'!$Y$62</f>
        <v>0</v>
      </c>
      <c r="Z36" s="13">
        <f>'TUSD BE'!$Z$36*'TUSD BF'!$Z$62</f>
        <v>0</v>
      </c>
      <c r="AA36" s="13">
        <f>'TUSD BE'!$AA$36*'TUSD BF'!$AA$62</f>
        <v>0</v>
      </c>
      <c r="AB36" s="13">
        <f>SUM($U$36:$AA$36)</f>
        <v>0</v>
      </c>
      <c r="AC36" s="13">
        <f>'TUSD BE'!$AC$36*'TUSD BF'!$AC$62</f>
        <v>0</v>
      </c>
      <c r="AD36" s="13">
        <f>SUM($AC$36:$AC$36)</f>
        <v>0</v>
      </c>
      <c r="AE36" s="13">
        <f ca="1">$AO$36*$AO$59</f>
        <v>0</v>
      </c>
      <c r="AF36" s="13">
        <f ca="1">$AP$36*$AP$59</f>
        <v>0</v>
      </c>
      <c r="AG36" s="13">
        <f ca="1">SUM($AE$36:$AF$36)</f>
        <v>0</v>
      </c>
      <c r="AH36" s="13">
        <f>'TUSD BE'!$AH$36*'TUSD BF'!$AH$62</f>
        <v>0</v>
      </c>
      <c r="AI36" s="13">
        <f>'TUSD BE'!$AI$36*'TUSD BF'!$AI$62</f>
        <v>0</v>
      </c>
      <c r="AJ36" s="13">
        <f ca="1">'TUSD BE'!$AJ$36*'TUSD BF'!$AJ$62</f>
        <v>0</v>
      </c>
      <c r="AK36" s="13">
        <f ca="1">'TUSD BE'!$AK$36*'TUSD BF'!$AK$62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266.68256826987067</v>
      </c>
      <c r="AP36" s="26">
        <f ca="1">+'TUSD BE'!$T$36+'TUSD BE'!$AB$36+'TUSD BE'!$AD$36+'TUSD BE'!$AL$36</f>
        <v>266.68256826987067</v>
      </c>
    </row>
    <row r="37" spans="1:42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>
        <f>'TUSD BE'!$L$37*'TUSD BF'!$L$62</f>
        <v>0</v>
      </c>
      <c r="M37" s="13">
        <f>'TUSD BE'!$M$37*'TUSD BF'!$M$62</f>
        <v>0</v>
      </c>
      <c r="N37" s="13">
        <f ca="1">'TUSD BE'!$N$37*'TUSD BF'!$N$62</f>
        <v>0</v>
      </c>
      <c r="O37" s="13">
        <f>'TUSD BE'!$O$37*'TUSD BF'!$O$62</f>
        <v>0</v>
      </c>
      <c r="P37" s="13">
        <f>'TUSD BE'!$P$37*'TUSD BF'!$P$62</f>
        <v>0</v>
      </c>
      <c r="Q37" s="13">
        <f>'TUSD BE'!$Q$37*'TUSD BF'!$Q$62</f>
        <v>0</v>
      </c>
      <c r="R37" s="13">
        <f>'TUSD BE'!$R$37*'TUSD BF'!$R$62</f>
        <v>0</v>
      </c>
      <c r="S37" s="13">
        <f>'TUSD BE'!$R$37*'TUSD BF'!$S$62</f>
        <v>0</v>
      </c>
      <c r="T37" s="13">
        <f ca="1">SUM($L$37:$S$37)</f>
        <v>0</v>
      </c>
      <c r="U37" s="13">
        <f>'TUSD BE'!$U$37*'TUSD BF'!$U$62</f>
        <v>0</v>
      </c>
      <c r="V37" s="13">
        <f>'TUSD BE'!$V$37*'TUSD BF'!$V$62</f>
        <v>0</v>
      </c>
      <c r="W37" s="13">
        <f>'TUSD BE'!$W$37*'TUSD BF'!$W$62</f>
        <v>0</v>
      </c>
      <c r="X37" s="13">
        <f>'TUSD BE'!$X$37*'TUSD BF'!$X$62</f>
        <v>0</v>
      </c>
      <c r="Y37" s="13">
        <f>'TUSD BE'!$Y$37*'TUSD BF'!$Y$62</f>
        <v>0</v>
      </c>
      <c r="Z37" s="13">
        <f>'TUSD BE'!$Z$37*'TUSD BF'!$Z$62</f>
        <v>0</v>
      </c>
      <c r="AA37" s="13">
        <f>'TUSD BE'!$AA$37*'TUSD BF'!$AA$62</f>
        <v>0</v>
      </c>
      <c r="AB37" s="13">
        <f>SUM($U$37:$AA$37)</f>
        <v>0</v>
      </c>
      <c r="AC37" s="13">
        <f>'TUSD BE'!$AC$37*'TUSD BF'!$AC$62</f>
        <v>0</v>
      </c>
      <c r="AD37" s="13">
        <f>SUM($AC$37:$AC$37)</f>
        <v>0</v>
      </c>
      <c r="AE37" s="13">
        <f ca="1">$AO$37*$AO$59</f>
        <v>0</v>
      </c>
      <c r="AF37" s="13">
        <f ca="1">$AP$37*$AP$59</f>
        <v>0</v>
      </c>
      <c r="AG37" s="13">
        <f ca="1">SUM($AE$37:$AF$37)</f>
        <v>0</v>
      </c>
      <c r="AH37" s="13">
        <f>'TUSD BE'!$AH$37*'TUSD BF'!$AH$62</f>
        <v>0</v>
      </c>
      <c r="AI37" s="13">
        <f>'TUSD BE'!$AI$37*'TUSD BF'!$AI$62</f>
        <v>0</v>
      </c>
      <c r="AJ37" s="13">
        <f ca="1">'TUSD BE'!$AJ$37*'TUSD BF'!$AJ$62</f>
        <v>0</v>
      </c>
      <c r="AK37" s="13">
        <f ca="1">'TUSD BE'!$AK$37*'TUSD BF'!$AK$62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347.4983928142023</v>
      </c>
      <c r="AP37" s="26">
        <f ca="1">+'TUSD BE'!$T$37+'TUSD BE'!$AB$37+'TUSD BE'!$AD$37+'TUSD BE'!$AL$37</f>
        <v>347.4983928142023</v>
      </c>
    </row>
    <row r="38" spans="1:42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>
        <f>'TUSD BE'!$L$38*'TUSD BF'!$L$62</f>
        <v>0</v>
      </c>
      <c r="M38" s="13">
        <f>'TUSD BE'!$M$38*'TUSD BF'!$M$62</f>
        <v>0</v>
      </c>
      <c r="N38" s="13">
        <f ca="1">'TUSD BE'!$N$38*'TUSD BF'!$N$62</f>
        <v>0</v>
      </c>
      <c r="O38" s="13">
        <f>'TUSD BE'!$O$38*'TUSD BF'!$O$62</f>
        <v>0</v>
      </c>
      <c r="P38" s="13">
        <f>'TUSD BE'!$P$38*'TUSD BF'!$P$62</f>
        <v>0</v>
      </c>
      <c r="Q38" s="13">
        <f>'TUSD BE'!$Q$38*'TUSD BF'!$Q$62</f>
        <v>0</v>
      </c>
      <c r="R38" s="13">
        <f>'TUSD BE'!$R$38*'TUSD BF'!$R$62</f>
        <v>0</v>
      </c>
      <c r="S38" s="13">
        <f>'TUSD BE'!$R$38*'TUSD BF'!$S$62</f>
        <v>0</v>
      </c>
      <c r="T38" s="13">
        <f ca="1">SUM($L$38:$S$38)</f>
        <v>0</v>
      </c>
      <c r="U38" s="13">
        <f>'TUSD BE'!$U$38*'TUSD BF'!$U$62</f>
        <v>0</v>
      </c>
      <c r="V38" s="13">
        <f>'TUSD BE'!$V$38*'TUSD BF'!$V$62</f>
        <v>0</v>
      </c>
      <c r="W38" s="13">
        <f>'TUSD BE'!$W$38*'TUSD BF'!$W$62</f>
        <v>0</v>
      </c>
      <c r="X38" s="13">
        <f>'TUSD BE'!$X$38*'TUSD BF'!$X$62</f>
        <v>0</v>
      </c>
      <c r="Y38" s="13">
        <f>'TUSD BE'!$Y$38*'TUSD BF'!$Y$62</f>
        <v>0</v>
      </c>
      <c r="Z38" s="13">
        <f>'TUSD BE'!$Z$38*'TUSD BF'!$Z$62</f>
        <v>0</v>
      </c>
      <c r="AA38" s="13">
        <f>'TUSD BE'!$AA$38*'TUSD BF'!$AA$62</f>
        <v>0</v>
      </c>
      <c r="AB38" s="13">
        <f>SUM($U$38:$AA$38)</f>
        <v>0</v>
      </c>
      <c r="AC38" s="13">
        <f>'TUSD BE'!$AC$38*'TUSD BF'!$AC$62</f>
        <v>0</v>
      </c>
      <c r="AD38" s="13">
        <f>SUM($AC$38:$AC$38)</f>
        <v>0</v>
      </c>
      <c r="AE38" s="13">
        <f ca="1">$AO$38*$AO$59</f>
        <v>0</v>
      </c>
      <c r="AF38" s="13">
        <f ca="1">$AP$38*$AP$59</f>
        <v>0</v>
      </c>
      <c r="AG38" s="13">
        <f ca="1">SUM($AE$38:$AF$38)</f>
        <v>0</v>
      </c>
      <c r="AH38" s="13">
        <f>'TUSD BE'!$AH$38*'TUSD BF'!$AH$62</f>
        <v>0</v>
      </c>
      <c r="AI38" s="13">
        <f>'TUSD BE'!$AI$38*'TUSD BF'!$AI$62</f>
        <v>0</v>
      </c>
      <c r="AJ38" s="13">
        <f ca="1">'TUSD BE'!$AJ$38*'TUSD BF'!$AJ$62</f>
        <v>0</v>
      </c>
      <c r="AK38" s="13">
        <f ca="1">'TUSD BE'!$AK$38*'TUSD BF'!$AK$62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731.86701698135892</v>
      </c>
      <c r="AP38" s="26">
        <f ca="1">+'TUSD BE'!$T$38+'TUSD BE'!$AB$38+'TUSD BE'!$AD$38+'TUSD BE'!$AL$38</f>
        <v>731.86701698135892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>
        <f>'TUSD BE'!$L$39*'TUSD BF'!$L$62</f>
        <v>0</v>
      </c>
      <c r="M39" s="13">
        <f>'TUSD BE'!$M$39*'TUSD BF'!$M$62</f>
        <v>0</v>
      </c>
      <c r="N39" s="13">
        <f ca="1">'TUSD BE'!$N$39*'TUSD BF'!$N$62</f>
        <v>0</v>
      </c>
      <c r="O39" s="13">
        <f>'TUSD BE'!$O$39*'TUSD BF'!$O$62</f>
        <v>0</v>
      </c>
      <c r="P39" s="13">
        <f>'TUSD BE'!$P$39*'TUSD BF'!$P$62</f>
        <v>0</v>
      </c>
      <c r="Q39" s="13">
        <f>'TUSD BE'!$Q$39*'TUSD BF'!$Q$62</f>
        <v>0</v>
      </c>
      <c r="R39" s="13">
        <f>'TUSD BE'!$R$39*'TUSD BF'!$R$62</f>
        <v>0</v>
      </c>
      <c r="S39" s="13">
        <f>'TUSD BE'!$R$39*'TUSD BF'!$S$62</f>
        <v>0</v>
      </c>
      <c r="T39" s="13">
        <f ca="1">SUM($L$39:$S$39)</f>
        <v>0</v>
      </c>
      <c r="U39" s="13">
        <f>'TUSD BE'!$U$39*'TUSD BF'!$U$62</f>
        <v>0</v>
      </c>
      <c r="V39" s="13">
        <f>'TUSD BE'!$V$39*'TUSD BF'!$V$62</f>
        <v>0</v>
      </c>
      <c r="W39" s="13">
        <f>'TUSD BE'!$W$39*'TUSD BF'!$W$62</f>
        <v>0</v>
      </c>
      <c r="X39" s="13">
        <f>'TUSD BE'!$X$39*'TUSD BF'!$X$62</f>
        <v>0</v>
      </c>
      <c r="Y39" s="13">
        <f>'TUSD BE'!$Y$39*'TUSD BF'!$Y$62</f>
        <v>0</v>
      </c>
      <c r="Z39" s="13">
        <f>'TUSD BE'!$Z$39*'TUSD BF'!$Z$62</f>
        <v>0</v>
      </c>
      <c r="AA39" s="13">
        <f>'TUSD BE'!$AA$39*'TUSD BF'!$AA$62</f>
        <v>0</v>
      </c>
      <c r="AB39" s="13">
        <f>SUM($U$39:$AA$39)</f>
        <v>0</v>
      </c>
      <c r="AC39" s="13">
        <f>'TUSD BE'!$AC$39*'TUSD BF'!$AC$62</f>
        <v>0</v>
      </c>
      <c r="AD39" s="13">
        <f>SUM($AC$39:$AC$39)</f>
        <v>0</v>
      </c>
      <c r="AE39" s="13">
        <f ca="1">$AO$39*$AO$59</f>
        <v>0</v>
      </c>
      <c r="AF39" s="13">
        <f ca="1">$AP$39*$AP$59</f>
        <v>0</v>
      </c>
      <c r="AG39" s="13">
        <f ca="1">SUM($AE$39:$AF$39)</f>
        <v>0</v>
      </c>
      <c r="AH39" s="13">
        <f>'TUSD BE'!$AH$39*'TUSD BF'!$AH$62</f>
        <v>0</v>
      </c>
      <c r="AI39" s="13">
        <f>'TUSD BE'!$AI$39*'TUSD BF'!$AI$62</f>
        <v>0</v>
      </c>
      <c r="AJ39" s="13">
        <f ca="1">'TUSD BE'!$AJ$39*'TUSD BF'!$AJ$62</f>
        <v>0</v>
      </c>
      <c r="AK39" s="13">
        <f ca="1">'TUSD BE'!$AK$39*'TUSD BF'!$AK$62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499.27463690547552</v>
      </c>
      <c r="AP39" s="26">
        <f ca="1">+'TUSD BE'!$T$39+'TUSD BE'!$AB$39+'TUSD BE'!$AD$39+'TUSD BE'!$AL$39</f>
        <v>499.27463690547552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>
        <f>'TUSD BE'!$L$40*'TUSD BF'!$L$62</f>
        <v>0</v>
      </c>
      <c r="M40" s="13">
        <f>'TUSD BE'!$M$40*'TUSD BF'!$M$62</f>
        <v>0</v>
      </c>
      <c r="N40" s="13">
        <f ca="1">'TUSD BE'!$N$40*'TUSD BF'!$N$62</f>
        <v>0</v>
      </c>
      <c r="O40" s="13">
        <f>'TUSD BE'!$O$40*'TUSD BF'!$O$62</f>
        <v>0</v>
      </c>
      <c r="P40" s="13">
        <f>'TUSD BE'!$P$40*'TUSD BF'!$P$62</f>
        <v>0</v>
      </c>
      <c r="Q40" s="13">
        <f>'TUSD BE'!$Q$40*'TUSD BF'!$Q$62</f>
        <v>0</v>
      </c>
      <c r="R40" s="13">
        <f>'TUSD BE'!$R$40*'TUSD BF'!$R$62</f>
        <v>0</v>
      </c>
      <c r="S40" s="13">
        <f>'TUSD BE'!$R$40*'TUSD BF'!$S$62</f>
        <v>0</v>
      </c>
      <c r="T40" s="13">
        <f ca="1">SUM($L$40:$S$40)</f>
        <v>0</v>
      </c>
      <c r="U40" s="13">
        <f>'TUSD BE'!$U$40*'TUSD BF'!$U$62</f>
        <v>0</v>
      </c>
      <c r="V40" s="13">
        <f>'TUSD BE'!$V$40*'TUSD BF'!$V$62</f>
        <v>0</v>
      </c>
      <c r="W40" s="13">
        <f>'TUSD BE'!$W$40*'TUSD BF'!$W$62</f>
        <v>0</v>
      </c>
      <c r="X40" s="13">
        <f>'TUSD BE'!$X$40*'TUSD BF'!$X$62</f>
        <v>0</v>
      </c>
      <c r="Y40" s="13">
        <f>'TUSD BE'!$Y$40*'TUSD BF'!$Y$62</f>
        <v>0</v>
      </c>
      <c r="Z40" s="13">
        <f>'TUSD BE'!$Z$40*'TUSD BF'!$Z$62</f>
        <v>0</v>
      </c>
      <c r="AA40" s="13">
        <f>'TUSD BE'!$AA$40*'TUSD BF'!$AA$62</f>
        <v>0</v>
      </c>
      <c r="AB40" s="13">
        <f>SUM($U$40:$AA$40)</f>
        <v>0</v>
      </c>
      <c r="AC40" s="13">
        <f>'TUSD BE'!$AC$40*'TUSD BF'!$AC$62</f>
        <v>0</v>
      </c>
      <c r="AD40" s="13">
        <f>SUM($AC$40:$AC$40)</f>
        <v>0</v>
      </c>
      <c r="AE40" s="13">
        <f ca="1">$AO$40*$AO$59</f>
        <v>0</v>
      </c>
      <c r="AF40" s="13">
        <f ca="1">$AP$40*$AP$59</f>
        <v>0</v>
      </c>
      <c r="AG40" s="13">
        <f ca="1">SUM($AE$40:$AF$40)</f>
        <v>0</v>
      </c>
      <c r="AH40" s="13">
        <f>'TUSD BE'!$AH$40*'TUSD BF'!$AH$62</f>
        <v>0</v>
      </c>
      <c r="AI40" s="13">
        <f>'TUSD BE'!$AI$40*'TUSD BF'!$AI$62</f>
        <v>0</v>
      </c>
      <c r="AJ40" s="13">
        <f ca="1">'TUSD BE'!$AJ$40*'TUSD BF'!$AJ$62</f>
        <v>0</v>
      </c>
      <c r="AK40" s="13">
        <f ca="1">'TUSD BE'!$AK$40*'TUSD BF'!$AK$62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266.68256826987067</v>
      </c>
      <c r="AP40" s="26">
        <f ca="1">+'TUSD BE'!$T$40+'TUSD BE'!$AB$40+'TUSD BE'!$AD$40+'TUSD BE'!$AL$40</f>
        <v>266.68256826987067</v>
      </c>
    </row>
    <row r="41" spans="1:42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>
        <f>'TUSD BE'!$L$41*'TUSD BF'!$L$62</f>
        <v>0</v>
      </c>
      <c r="M41" s="13">
        <f>'TUSD BE'!$M$41*'TUSD BF'!$M$62</f>
        <v>0</v>
      </c>
      <c r="N41" s="13">
        <f ca="1">'TUSD BE'!$N$41*'TUSD BF'!$N$62</f>
        <v>0</v>
      </c>
      <c r="O41" s="13">
        <f>'TUSD BE'!$O$41*'TUSD BF'!$O$62</f>
        <v>0</v>
      </c>
      <c r="P41" s="13">
        <f>'TUSD BE'!$P$41*'TUSD BF'!$P$62</f>
        <v>0</v>
      </c>
      <c r="Q41" s="13">
        <f>'TUSD BE'!$Q$41*'TUSD BF'!$Q$62</f>
        <v>0</v>
      </c>
      <c r="R41" s="13">
        <f>'TUSD BE'!$R$41*'TUSD BF'!$R$62</f>
        <v>0</v>
      </c>
      <c r="S41" s="13">
        <f>'TUSD BE'!$R$41*'TUSD BF'!$S$62</f>
        <v>0</v>
      </c>
      <c r="T41" s="13">
        <f ca="1">SUM($L$41:$S$41)</f>
        <v>0</v>
      </c>
      <c r="U41" s="13">
        <f>'TUSD BE'!$U$41*'TUSD BF'!$U$62</f>
        <v>0</v>
      </c>
      <c r="V41" s="13">
        <f>'TUSD BE'!$V$41*'TUSD BF'!$V$62</f>
        <v>0</v>
      </c>
      <c r="W41" s="13">
        <f>'TUSD BE'!$W$41*'TUSD BF'!$W$62</f>
        <v>0</v>
      </c>
      <c r="X41" s="13">
        <f>'TUSD BE'!$X$41*'TUSD BF'!$X$62</f>
        <v>0</v>
      </c>
      <c r="Y41" s="13">
        <f>'TUSD BE'!$Y$41*'TUSD BF'!$Y$62</f>
        <v>0</v>
      </c>
      <c r="Z41" s="13">
        <f>'TUSD BE'!$Z$41*'TUSD BF'!$Z$62</f>
        <v>0</v>
      </c>
      <c r="AA41" s="13">
        <f>'TUSD BE'!$AA$41*'TUSD BF'!$AA$62</f>
        <v>0</v>
      </c>
      <c r="AB41" s="13">
        <f>SUM($U$41:$AA$41)</f>
        <v>0</v>
      </c>
      <c r="AC41" s="13">
        <f>'TUSD BE'!$AC$41*'TUSD BF'!$AC$62</f>
        <v>0</v>
      </c>
      <c r="AD41" s="13">
        <f>SUM($AC$41:$AC$41)</f>
        <v>0</v>
      </c>
      <c r="AE41" s="13">
        <f ca="1">$AO$41*$AO$59</f>
        <v>0</v>
      </c>
      <c r="AF41" s="13">
        <f ca="1">$AP$41*$AP$59</f>
        <v>0</v>
      </c>
      <c r="AG41" s="13">
        <f ca="1">SUM($AE$41:$AF$41)</f>
        <v>0</v>
      </c>
      <c r="AH41" s="13">
        <f>'TUSD BE'!$AH$41*'TUSD BF'!$AH$62</f>
        <v>0</v>
      </c>
      <c r="AI41" s="13">
        <f>'TUSD BE'!$AI$41*'TUSD BF'!$AI$62</f>
        <v>0</v>
      </c>
      <c r="AJ41" s="13">
        <f ca="1">'TUSD BE'!$AJ$41*'TUSD BF'!$AJ$62</f>
        <v>0</v>
      </c>
      <c r="AK41" s="13">
        <f ca="1">'TUSD BE'!$AK$41*'TUSD BF'!$AK$62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347.4983928142023</v>
      </c>
      <c r="AP41" s="26">
        <f ca="1">+'TUSD BE'!$T$41+'TUSD BE'!$AB$41+'TUSD BE'!$AD$41+'TUSD BE'!$AL$41</f>
        <v>347.4983928142023</v>
      </c>
    </row>
    <row r="42" spans="1:42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>
        <f>'TUSD BE'!$L$42*'TUSD BF'!$L$62</f>
        <v>0</v>
      </c>
      <c r="M42" s="13">
        <f>'TUSD BE'!$M$42*'TUSD BF'!$M$62</f>
        <v>0</v>
      </c>
      <c r="N42" s="13">
        <f ca="1">'TUSD BE'!$N$42*'TUSD BF'!$N$62</f>
        <v>0</v>
      </c>
      <c r="O42" s="13">
        <f>'TUSD BE'!$O$42*'TUSD BF'!$O$62</f>
        <v>0</v>
      </c>
      <c r="P42" s="13">
        <f>'TUSD BE'!$P$42*'TUSD BF'!$P$62</f>
        <v>0</v>
      </c>
      <c r="Q42" s="13">
        <f>'TUSD BE'!$Q$42*'TUSD BF'!$Q$62</f>
        <v>0</v>
      </c>
      <c r="R42" s="13">
        <f>'TUSD BE'!$R$42*'TUSD BF'!$R$62</f>
        <v>0</v>
      </c>
      <c r="S42" s="13">
        <f>'TUSD BE'!$R$42*'TUSD BF'!$S$62</f>
        <v>0</v>
      </c>
      <c r="T42" s="13">
        <f ca="1">SUM($L$42:$S$42)</f>
        <v>0</v>
      </c>
      <c r="U42" s="13">
        <f>'TUSD BE'!$U$42*'TUSD BF'!$U$62</f>
        <v>0</v>
      </c>
      <c r="V42" s="13">
        <f>'TUSD BE'!$V$42*'TUSD BF'!$V$62</f>
        <v>0</v>
      </c>
      <c r="W42" s="13">
        <f>'TUSD BE'!$W$42*'TUSD BF'!$W$62</f>
        <v>0</v>
      </c>
      <c r="X42" s="13">
        <f>'TUSD BE'!$X$42*'TUSD BF'!$X$62</f>
        <v>0</v>
      </c>
      <c r="Y42" s="13">
        <f>'TUSD BE'!$Y$42*'TUSD BF'!$Y$62</f>
        <v>0</v>
      </c>
      <c r="Z42" s="13">
        <f>'TUSD BE'!$Z$42*'TUSD BF'!$Z$62</f>
        <v>0</v>
      </c>
      <c r="AA42" s="13">
        <f>'TUSD BE'!$AA$42*'TUSD BF'!$AA$62</f>
        <v>0</v>
      </c>
      <c r="AB42" s="13">
        <f>SUM($U$42:$AA$42)</f>
        <v>0</v>
      </c>
      <c r="AC42" s="13">
        <f>'TUSD BE'!$AC$42*'TUSD BF'!$AC$62</f>
        <v>0</v>
      </c>
      <c r="AD42" s="13">
        <f>SUM($AC$42:$AC$42)</f>
        <v>0</v>
      </c>
      <c r="AE42" s="13">
        <f ca="1">$AO$42*$AO$59</f>
        <v>0</v>
      </c>
      <c r="AF42" s="13">
        <f ca="1">$AP$42*$AP$59</f>
        <v>0</v>
      </c>
      <c r="AG42" s="13">
        <f ca="1">SUM($AE$42:$AF$42)</f>
        <v>0</v>
      </c>
      <c r="AH42" s="13">
        <f>'TUSD BE'!$AH$42*'TUSD BF'!$AH$62</f>
        <v>0</v>
      </c>
      <c r="AI42" s="13">
        <f>'TUSD BE'!$AI$42*'TUSD BF'!$AI$62</f>
        <v>0</v>
      </c>
      <c r="AJ42" s="13">
        <f ca="1">'TUSD BE'!$AJ$42*'TUSD BF'!$AJ$62</f>
        <v>0</v>
      </c>
      <c r="AK42" s="13">
        <f ca="1">'TUSD BE'!$AK$42*'TUSD BF'!$AK$62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731.86701698135892</v>
      </c>
      <c r="AP42" s="26">
        <f ca="1">+'TUSD BE'!$T$42+'TUSD BE'!$AB$42+'TUSD BE'!$AD$42+'TUSD BE'!$AL$42</f>
        <v>731.86701698135892</v>
      </c>
    </row>
    <row r="43" spans="1:42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>
        <f>'TUSD BE'!$L$43*'TUSD BF'!$L$62</f>
        <v>0</v>
      </c>
      <c r="M43" s="13">
        <f>'TUSD BE'!$M$43*'TUSD BF'!$M$62</f>
        <v>0</v>
      </c>
      <c r="N43" s="13">
        <f ca="1">'TUSD BE'!$N$43*'TUSD BF'!$N$62</f>
        <v>0</v>
      </c>
      <c r="O43" s="13">
        <f>'TUSD BE'!$O$43*'TUSD BF'!$O$62</f>
        <v>0</v>
      </c>
      <c r="P43" s="13">
        <f>'TUSD BE'!$P$43*'TUSD BF'!$P$62</f>
        <v>0</v>
      </c>
      <c r="Q43" s="13">
        <f>'TUSD BE'!$Q$43*'TUSD BF'!$Q$62</f>
        <v>0</v>
      </c>
      <c r="R43" s="13">
        <f>'TUSD BE'!$R$43*'TUSD BF'!$R$62</f>
        <v>0</v>
      </c>
      <c r="S43" s="13">
        <f>'TUSD BE'!$R$43*'TUSD BF'!$S$62</f>
        <v>0</v>
      </c>
      <c r="T43" s="13">
        <f ca="1">SUM($L$43:$S$43)</f>
        <v>0</v>
      </c>
      <c r="U43" s="13">
        <f>'TUSD BE'!$U$43*'TUSD BF'!$U$62</f>
        <v>0</v>
      </c>
      <c r="V43" s="13">
        <f>'TUSD BE'!$V$43*'TUSD BF'!$V$62</f>
        <v>0</v>
      </c>
      <c r="W43" s="13">
        <f>'TUSD BE'!$W$43*'TUSD BF'!$W$62</f>
        <v>0</v>
      </c>
      <c r="X43" s="13">
        <f>'TUSD BE'!$X$43*'TUSD BF'!$X$62</f>
        <v>0</v>
      </c>
      <c r="Y43" s="13">
        <f>'TUSD BE'!$Y$43*'TUSD BF'!$Y$62</f>
        <v>0</v>
      </c>
      <c r="Z43" s="13">
        <f>'TUSD BE'!$Z$43*'TUSD BF'!$Z$62</f>
        <v>0</v>
      </c>
      <c r="AA43" s="13">
        <f>'TUSD BE'!$AA$43*'TUSD BF'!$AA$62</f>
        <v>0</v>
      </c>
      <c r="AB43" s="13">
        <f>SUM($U$43:$AA$43)</f>
        <v>0</v>
      </c>
      <c r="AC43" s="13">
        <f>'TUSD BE'!$AC$43*'TUSD BF'!$AC$62</f>
        <v>0</v>
      </c>
      <c r="AD43" s="13">
        <f>SUM($AC$43:$AC$43)</f>
        <v>0</v>
      </c>
      <c r="AE43" s="13">
        <f ca="1">$AO$43*$AO$59</f>
        <v>0</v>
      </c>
      <c r="AF43" s="13">
        <f ca="1">$AP$43*$AP$59</f>
        <v>0</v>
      </c>
      <c r="AG43" s="13">
        <f ca="1">SUM($AE$43:$AF$43)</f>
        <v>0</v>
      </c>
      <c r="AH43" s="13">
        <f>'TUSD BE'!$AH$43*'TUSD BF'!$AH$62</f>
        <v>0</v>
      </c>
      <c r="AI43" s="13">
        <f>'TUSD BE'!$AI$43*'TUSD BF'!$AI$62</f>
        <v>0</v>
      </c>
      <c r="AJ43" s="13">
        <f ca="1">'TUSD BE'!$AJ$43*'TUSD BF'!$AJ$62</f>
        <v>0</v>
      </c>
      <c r="AK43" s="13">
        <f ca="1">'TUSD BE'!$AK$43*'TUSD BF'!$AK$62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499.27463690547552</v>
      </c>
      <c r="AP43" s="26">
        <f ca="1">+'TUSD BE'!$T$43+'TUSD BE'!$AB$43+'TUSD BE'!$AD$43+'TUSD BE'!$AL$43</f>
        <v>499.27463690547552</v>
      </c>
    </row>
    <row r="44" spans="1:42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>
        <f>'TUSD BE'!$L$44*'TUSD BF'!$L$62</f>
        <v>0</v>
      </c>
      <c r="M44" s="13">
        <f>'TUSD BE'!$M$44*'TUSD BF'!$M$62</f>
        <v>0</v>
      </c>
      <c r="N44" s="13">
        <f ca="1">'TUSD BE'!$N$44*'TUSD BF'!$N$62</f>
        <v>0</v>
      </c>
      <c r="O44" s="13">
        <f>'TUSD BE'!$O$44*'TUSD BF'!$O$62</f>
        <v>0</v>
      </c>
      <c r="P44" s="13">
        <f>'TUSD BE'!$P$44*'TUSD BF'!$P$62</f>
        <v>0</v>
      </c>
      <c r="Q44" s="13">
        <f>'TUSD BE'!$Q$44*'TUSD BF'!$Q$62</f>
        <v>0</v>
      </c>
      <c r="R44" s="13">
        <f>'TUSD BE'!$R$44*'TUSD BF'!$R$62</f>
        <v>0</v>
      </c>
      <c r="S44" s="13">
        <f>'TUSD BE'!$R$44*'TUSD BF'!$S$62</f>
        <v>0</v>
      </c>
      <c r="T44" s="13">
        <f ca="1">SUM($L$44:$S$44)</f>
        <v>0</v>
      </c>
      <c r="U44" s="13">
        <f>'TUSD BE'!$U$44*'TUSD BF'!$U$62</f>
        <v>0</v>
      </c>
      <c r="V44" s="13">
        <f>'TUSD BE'!$V$44*'TUSD BF'!$V$62</f>
        <v>0</v>
      </c>
      <c r="W44" s="13">
        <f>'TUSD BE'!$W$44*'TUSD BF'!$W$62</f>
        <v>0</v>
      </c>
      <c r="X44" s="13">
        <f>'TUSD BE'!$X$44*'TUSD BF'!$X$62</f>
        <v>0</v>
      </c>
      <c r="Y44" s="13">
        <f>'TUSD BE'!$Y$44*'TUSD BF'!$Y$62</f>
        <v>0</v>
      </c>
      <c r="Z44" s="13">
        <f>'TUSD BE'!$Z$44*'TUSD BF'!$Z$62</f>
        <v>0</v>
      </c>
      <c r="AA44" s="13">
        <f>'TUSD BE'!$AA$44*'TUSD BF'!$AA$62</f>
        <v>0</v>
      </c>
      <c r="AB44" s="13">
        <f>SUM($U$44:$AA$44)</f>
        <v>0</v>
      </c>
      <c r="AC44" s="13">
        <f>'TUSD BE'!$AC$44*'TUSD BF'!$AC$62</f>
        <v>0</v>
      </c>
      <c r="AD44" s="13">
        <f>SUM($AC$44:$AC$44)</f>
        <v>0</v>
      </c>
      <c r="AE44" s="13">
        <f ca="1">$AO$44*$AO$59</f>
        <v>0</v>
      </c>
      <c r="AF44" s="13">
        <f ca="1">$AP$44*$AP$59</f>
        <v>0</v>
      </c>
      <c r="AG44" s="13">
        <f ca="1">SUM($AE$44:$AF$44)</f>
        <v>0</v>
      </c>
      <c r="AH44" s="13">
        <f>'TUSD BE'!$AH$44*'TUSD BF'!$AH$62</f>
        <v>0</v>
      </c>
      <c r="AI44" s="13">
        <f>'TUSD BE'!$AI$44*'TUSD BF'!$AI$62</f>
        <v>0</v>
      </c>
      <c r="AJ44" s="13">
        <f ca="1">'TUSD BE'!$AJ$44*'TUSD BF'!$AJ$62</f>
        <v>0</v>
      </c>
      <c r="AK44" s="13">
        <f ca="1">'TUSD BE'!$AK$44*'TUSD BF'!$AK$62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266.68256826987067</v>
      </c>
      <c r="AP44" s="26">
        <f ca="1">+'TUSD BE'!$T$44+'TUSD BE'!$AB$44+'TUSD BE'!$AD$44+'TUSD BE'!$AL$44</f>
        <v>266.68256826987067</v>
      </c>
    </row>
    <row r="45" spans="1:42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>
        <f>'TUSD BE'!$L$45*'TUSD BF'!$L$62</f>
        <v>0</v>
      </c>
      <c r="M45" s="13">
        <f>'TUSD BE'!$M$45*'TUSD BF'!$M$62</f>
        <v>0</v>
      </c>
      <c r="N45" s="13">
        <f ca="1">'TUSD BE'!$N$45*'TUSD BF'!$N$62</f>
        <v>0</v>
      </c>
      <c r="O45" s="13">
        <f>'TUSD BE'!$O$45*'TUSD BF'!$O$62</f>
        <v>0</v>
      </c>
      <c r="P45" s="13">
        <f>'TUSD BE'!$P$45*'TUSD BF'!$P$62</f>
        <v>0</v>
      </c>
      <c r="Q45" s="13">
        <f>'TUSD BE'!$Q$45*'TUSD BF'!$Q$62</f>
        <v>0</v>
      </c>
      <c r="R45" s="13">
        <f>'TUSD BE'!$R$45*'TUSD BF'!$R$62</f>
        <v>0</v>
      </c>
      <c r="S45" s="13">
        <f>'TUSD BE'!$R$45*'TUSD BF'!$S$62</f>
        <v>0</v>
      </c>
      <c r="T45" s="13">
        <f ca="1">SUM($L$45:$S$45)</f>
        <v>0</v>
      </c>
      <c r="U45" s="13">
        <f>'TUSD BE'!$U$45*'TUSD BF'!$U$62</f>
        <v>0</v>
      </c>
      <c r="V45" s="13">
        <f>'TUSD BE'!$V$45*'TUSD BF'!$V$62</f>
        <v>0</v>
      </c>
      <c r="W45" s="13">
        <f>'TUSD BE'!$W$45*'TUSD BF'!$W$62</f>
        <v>0</v>
      </c>
      <c r="X45" s="13">
        <f>'TUSD BE'!$X$45*'TUSD BF'!$X$62</f>
        <v>0</v>
      </c>
      <c r="Y45" s="13">
        <f>'TUSD BE'!$Y$45*'TUSD BF'!$Y$62</f>
        <v>0</v>
      </c>
      <c r="Z45" s="13">
        <f>'TUSD BE'!$Z$45*'TUSD BF'!$Z$62</f>
        <v>0</v>
      </c>
      <c r="AA45" s="13">
        <f>'TUSD BE'!$AA$45*'TUSD BF'!$AA$62</f>
        <v>0</v>
      </c>
      <c r="AB45" s="13">
        <f>SUM($U$45:$AA$45)</f>
        <v>0</v>
      </c>
      <c r="AC45" s="13">
        <f>'TUSD BE'!$AC$45*'TUSD BF'!$AC$62</f>
        <v>0</v>
      </c>
      <c r="AD45" s="13">
        <f>SUM($AC$45:$AC$45)</f>
        <v>0</v>
      </c>
      <c r="AE45" s="13">
        <f ca="1">$AO$45*$AO$59</f>
        <v>0</v>
      </c>
      <c r="AF45" s="13">
        <f ca="1">$AP$45*$AP$59</f>
        <v>0</v>
      </c>
      <c r="AG45" s="13">
        <f ca="1">SUM($AE$45:$AF$45)</f>
        <v>0</v>
      </c>
      <c r="AH45" s="13">
        <f>'TUSD BE'!$AH$45*'TUSD BF'!$AH$62</f>
        <v>0</v>
      </c>
      <c r="AI45" s="13">
        <f>'TUSD BE'!$AI$45*'TUSD BF'!$AI$62</f>
        <v>0</v>
      </c>
      <c r="AJ45" s="13">
        <f ca="1">'TUSD BE'!$AJ$45*'TUSD BF'!$AJ$62</f>
        <v>0</v>
      </c>
      <c r="AK45" s="13">
        <f ca="1">'TUSD BE'!$AK$45*'TUSD BF'!$AK$62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347.4983928142023</v>
      </c>
      <c r="AP45" s="26">
        <f ca="1">+'TUSD BE'!$T$45+'TUSD BE'!$AB$45+'TUSD BE'!$AD$45+'TUSD BE'!$AL$45</f>
        <v>347.4983928142023</v>
      </c>
    </row>
    <row r="46" spans="1:42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>
        <f>'TUSD BE'!$L$46*'TUSD BF'!$L$62</f>
        <v>0</v>
      </c>
      <c r="M46" s="13">
        <f>'TUSD BE'!$M$46*'TUSD BF'!$M$62</f>
        <v>0</v>
      </c>
      <c r="N46" s="13">
        <f ca="1">'TUSD BE'!$N$46*'TUSD BF'!$N$62</f>
        <v>0</v>
      </c>
      <c r="O46" s="13">
        <f>'TUSD BE'!$O$46*'TUSD BF'!$O$62</f>
        <v>0</v>
      </c>
      <c r="P46" s="13">
        <f>'TUSD BE'!$P$46*'TUSD BF'!$P$62</f>
        <v>0</v>
      </c>
      <c r="Q46" s="13">
        <f>'TUSD BE'!$Q$46*'TUSD BF'!$Q$62</f>
        <v>0</v>
      </c>
      <c r="R46" s="13">
        <f>'TUSD BE'!$R$46*'TUSD BF'!$R$62</f>
        <v>0</v>
      </c>
      <c r="S46" s="13">
        <f>'TUSD BE'!$R$46*'TUSD BF'!$S$62</f>
        <v>0</v>
      </c>
      <c r="T46" s="13">
        <f ca="1">SUM($L$46:$S$46)</f>
        <v>0</v>
      </c>
      <c r="U46" s="13">
        <f>'TUSD BE'!$U$46*'TUSD BF'!$U$62</f>
        <v>0</v>
      </c>
      <c r="V46" s="13">
        <f>'TUSD BE'!$V$46*'TUSD BF'!$V$62</f>
        <v>0</v>
      </c>
      <c r="W46" s="13">
        <f>'TUSD BE'!$W$46*'TUSD BF'!$W$62</f>
        <v>0</v>
      </c>
      <c r="X46" s="13">
        <f>'TUSD BE'!$X$46*'TUSD BF'!$X$62</f>
        <v>0</v>
      </c>
      <c r="Y46" s="13">
        <f>'TUSD BE'!$Y$46*'TUSD BF'!$Y$62</f>
        <v>0</v>
      </c>
      <c r="Z46" s="13">
        <f>'TUSD BE'!$Z$46*'TUSD BF'!$Z$62</f>
        <v>0</v>
      </c>
      <c r="AA46" s="13">
        <f>'TUSD BE'!$AA$46*'TUSD BF'!$AA$62</f>
        <v>0</v>
      </c>
      <c r="AB46" s="13">
        <f>SUM($U$46:$AA$46)</f>
        <v>0</v>
      </c>
      <c r="AC46" s="13">
        <f>'TUSD BE'!$AC$46*'TUSD BF'!$AC$62</f>
        <v>0</v>
      </c>
      <c r="AD46" s="13">
        <f>SUM($AC$46:$AC$46)</f>
        <v>0</v>
      </c>
      <c r="AE46" s="13">
        <f ca="1">$AO$46*$AO$59</f>
        <v>0</v>
      </c>
      <c r="AF46" s="13">
        <f ca="1">$AP$46*$AP$59</f>
        <v>0</v>
      </c>
      <c r="AG46" s="13">
        <f ca="1">SUM($AE$46:$AF$46)</f>
        <v>0</v>
      </c>
      <c r="AH46" s="13">
        <f>'TUSD BE'!$AH$46*'TUSD BF'!$AH$62</f>
        <v>0</v>
      </c>
      <c r="AI46" s="13">
        <f>'TUSD BE'!$AI$46*'TUSD BF'!$AI$62</f>
        <v>0</v>
      </c>
      <c r="AJ46" s="13">
        <f ca="1">'TUSD BE'!$AJ$46*'TUSD BF'!$AJ$62</f>
        <v>0</v>
      </c>
      <c r="AK46" s="13">
        <f ca="1">'TUSD BE'!$AK$46*'TUSD BF'!$AK$62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347.4983928142023</v>
      </c>
      <c r="AP46" s="26">
        <f ca="1">+'TUSD BE'!$T$46+'TUSD BE'!$AB$46+'TUSD BE'!$AD$46+'TUSD BE'!$AL$46</f>
        <v>347.4983928142023</v>
      </c>
    </row>
    <row r="47" spans="1:42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>
        <f>'TUSD BE'!$L$47*'TUSD BF'!$L$62</f>
        <v>0</v>
      </c>
      <c r="M47" s="13">
        <f>'TUSD BE'!$M$47*'TUSD BF'!$M$62</f>
        <v>0</v>
      </c>
      <c r="N47" s="13">
        <f ca="1">'TUSD BE'!$N$47*'TUSD BF'!$N$62</f>
        <v>0</v>
      </c>
      <c r="O47" s="13">
        <f>'TUSD BE'!$O$47*'TUSD BF'!$O$62</f>
        <v>0</v>
      </c>
      <c r="P47" s="13">
        <f>'TUSD BE'!$P$47*'TUSD BF'!$P$62</f>
        <v>0</v>
      </c>
      <c r="Q47" s="13">
        <f>'TUSD BE'!$Q$47*'TUSD BF'!$Q$62</f>
        <v>0</v>
      </c>
      <c r="R47" s="13">
        <f>'TUSD BE'!$R$47*'TUSD BF'!$R$62</f>
        <v>0</v>
      </c>
      <c r="S47" s="13">
        <f>'TUSD BE'!$R$47*'TUSD BF'!$S$62</f>
        <v>0</v>
      </c>
      <c r="T47" s="13">
        <f ca="1">SUM($L$47:$S$47)</f>
        <v>0</v>
      </c>
      <c r="U47" s="13">
        <f>'TUSD BE'!$U$47*'TUSD BF'!$U$62</f>
        <v>0</v>
      </c>
      <c r="V47" s="13">
        <f>'TUSD BE'!$V$47*'TUSD BF'!$V$62</f>
        <v>0</v>
      </c>
      <c r="W47" s="13">
        <f>'TUSD BE'!$W$47*'TUSD BF'!$W$62</f>
        <v>0</v>
      </c>
      <c r="X47" s="13">
        <f>'TUSD BE'!$X$47*'TUSD BF'!$X$62</f>
        <v>0</v>
      </c>
      <c r="Y47" s="13">
        <f>'TUSD BE'!$Y$47*'TUSD BF'!$Y$62</f>
        <v>0</v>
      </c>
      <c r="Z47" s="13">
        <f>'TUSD BE'!$Z$47*'TUSD BF'!$Z$62</f>
        <v>0</v>
      </c>
      <c r="AA47" s="13">
        <f>'TUSD BE'!$AA$47*'TUSD BF'!$AA$62</f>
        <v>0</v>
      </c>
      <c r="AB47" s="13">
        <f>SUM($U$47:$AA$47)</f>
        <v>0</v>
      </c>
      <c r="AC47" s="13">
        <f>'TUSD BE'!$AC$47*'TUSD BF'!$AC$62</f>
        <v>0</v>
      </c>
      <c r="AD47" s="13">
        <f>SUM($AC$47:$AC$47)</f>
        <v>0</v>
      </c>
      <c r="AE47" s="13">
        <f ca="1">$AO$47*$AO$59</f>
        <v>0</v>
      </c>
      <c r="AF47" s="13">
        <f ca="1">$AP$47*$AP$59</f>
        <v>0</v>
      </c>
      <c r="AG47" s="13">
        <f ca="1">SUM($AE$47:$AF$47)</f>
        <v>0</v>
      </c>
      <c r="AH47" s="13">
        <f>'TUSD BE'!$AH$47*'TUSD BF'!$AH$62</f>
        <v>0</v>
      </c>
      <c r="AI47" s="13">
        <f>'TUSD BE'!$AI$47*'TUSD BF'!$AI$62</f>
        <v>0</v>
      </c>
      <c r="AJ47" s="13">
        <f ca="1">'TUSD BE'!$AJ$47*'TUSD BF'!$AJ$62</f>
        <v>0</v>
      </c>
      <c r="AK47" s="13">
        <f ca="1">'TUSD BE'!$AK$47*'TUSD BF'!$AK$62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347.4983928142023</v>
      </c>
      <c r="AP47" s="26">
        <f ca="1">+'TUSD BE'!$T$47+'TUSD BE'!$AB$47+'TUSD BE'!$AD$47+'TUSD BE'!$AL$47</f>
        <v>347.4983928142023</v>
      </c>
    </row>
    <row r="48" spans="1:42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>
        <f>'TUSD BE'!$L$48*'TUSD BF'!$L$62</f>
        <v>0</v>
      </c>
      <c r="M48" s="13">
        <f>'TUSD BE'!$M$48*'TUSD BF'!$M$62</f>
        <v>0</v>
      </c>
      <c r="N48" s="13">
        <f ca="1">'TUSD BE'!$N$48*'TUSD BF'!$N$62</f>
        <v>0</v>
      </c>
      <c r="O48" s="13">
        <f>'TUSD BE'!$O$48*'TUSD BF'!$O$62</f>
        <v>0</v>
      </c>
      <c r="P48" s="13">
        <f>'TUSD BE'!$P$48*'TUSD BF'!$P$62</f>
        <v>0</v>
      </c>
      <c r="Q48" s="13">
        <f>'TUSD BE'!$Q$48*'TUSD BF'!$Q$62</f>
        <v>0</v>
      </c>
      <c r="R48" s="13">
        <f>'TUSD BE'!$R$48*'TUSD BF'!$R$62</f>
        <v>0</v>
      </c>
      <c r="S48" s="13">
        <f>'TUSD BE'!$R$48*'TUSD BF'!$S$62</f>
        <v>0</v>
      </c>
      <c r="T48" s="13">
        <f ca="1">SUM($L$48:$S$48)</f>
        <v>0</v>
      </c>
      <c r="U48" s="13">
        <f>'TUSD BE'!$U$48*'TUSD BF'!$U$62</f>
        <v>0</v>
      </c>
      <c r="V48" s="13">
        <f>'TUSD BE'!$V$48*'TUSD BF'!$V$62</f>
        <v>0</v>
      </c>
      <c r="W48" s="13">
        <f>'TUSD BE'!$W$48*'TUSD BF'!$W$62</f>
        <v>0</v>
      </c>
      <c r="X48" s="13">
        <f>'TUSD BE'!$X$48*'TUSD BF'!$X$62</f>
        <v>0</v>
      </c>
      <c r="Y48" s="13">
        <f>'TUSD BE'!$Y$48*'TUSD BF'!$Y$62</f>
        <v>0</v>
      </c>
      <c r="Z48" s="13">
        <f>'TUSD BE'!$Z$48*'TUSD BF'!$Z$62</f>
        <v>0</v>
      </c>
      <c r="AA48" s="13">
        <f>'TUSD BE'!$AA$48*'TUSD BF'!$AA$62</f>
        <v>0</v>
      </c>
      <c r="AB48" s="13">
        <f>SUM($U$48:$AA$48)</f>
        <v>0</v>
      </c>
      <c r="AC48" s="13">
        <f>'TUSD BE'!$AC$48*'TUSD BF'!$AC$62</f>
        <v>0</v>
      </c>
      <c r="AD48" s="13">
        <f>SUM($AC$48:$AC$48)</f>
        <v>0</v>
      </c>
      <c r="AE48" s="13">
        <f ca="1">$AO$48*$AO$59</f>
        <v>0</v>
      </c>
      <c r="AF48" s="13">
        <f ca="1">$AP$48*$AP$59</f>
        <v>0</v>
      </c>
      <c r="AG48" s="13">
        <f ca="1">SUM($AE$48:$AF$48)</f>
        <v>0</v>
      </c>
      <c r="AH48" s="13">
        <f>'TUSD BE'!$AH$48*'TUSD BF'!$AH$62</f>
        <v>0</v>
      </c>
      <c r="AI48" s="13">
        <f>'TUSD BE'!$AI$48*'TUSD BF'!$AI$62</f>
        <v>0</v>
      </c>
      <c r="AJ48" s="13">
        <f ca="1">'TUSD BE'!$AJ$48*'TUSD BF'!$AJ$62</f>
        <v>0</v>
      </c>
      <c r="AK48" s="13">
        <f ca="1">'TUSD BE'!$AK$48*'TUSD BF'!$AK$62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347.4983928142023</v>
      </c>
      <c r="AP48" s="26">
        <f ca="1">+'TUSD BE'!$T$48+'TUSD BE'!$AB$48+'TUSD BE'!$AD$48+'TUSD BE'!$AL$48</f>
        <v>347.4983928142023</v>
      </c>
    </row>
    <row r="49" spans="1:42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>
        <f>'TUSD BE'!$L$49*'TUSD BF'!$L$62</f>
        <v>0</v>
      </c>
      <c r="M49" s="13">
        <f>'TUSD BE'!$M$49*'TUSD BF'!$M$62</f>
        <v>0</v>
      </c>
      <c r="N49" s="13">
        <f ca="1">'TUSD BE'!$N$49*'TUSD BF'!$N$62</f>
        <v>0</v>
      </c>
      <c r="O49" s="13">
        <f>'TUSD BE'!$O$49*'TUSD BF'!$O$62</f>
        <v>0</v>
      </c>
      <c r="P49" s="13">
        <f>'TUSD BE'!$P$49*'TUSD BF'!$P$62</f>
        <v>0</v>
      </c>
      <c r="Q49" s="13">
        <f>'TUSD BE'!$Q$49*'TUSD BF'!$Q$62</f>
        <v>0</v>
      </c>
      <c r="R49" s="13">
        <f>'TUSD BE'!$R$49*'TUSD BF'!$R$62</f>
        <v>0</v>
      </c>
      <c r="S49" s="13">
        <f>'TUSD BE'!$R$49*'TUSD BF'!$S$62</f>
        <v>0</v>
      </c>
      <c r="T49" s="13">
        <f ca="1">SUM($L$49:$S$49)</f>
        <v>0</v>
      </c>
      <c r="U49" s="13">
        <f>'TUSD BE'!$U$49*'TUSD BF'!$U$62</f>
        <v>0</v>
      </c>
      <c r="V49" s="13">
        <f>'TUSD BE'!$V$49*'TUSD BF'!$V$62</f>
        <v>0</v>
      </c>
      <c r="W49" s="13">
        <f>'TUSD BE'!$W$49*'TUSD BF'!$W$62</f>
        <v>0</v>
      </c>
      <c r="X49" s="13">
        <f>'TUSD BE'!$X$49*'TUSD BF'!$X$62</f>
        <v>0</v>
      </c>
      <c r="Y49" s="13">
        <f>'TUSD BE'!$Y$49*'TUSD BF'!$Y$62</f>
        <v>0</v>
      </c>
      <c r="Z49" s="13">
        <f>'TUSD BE'!$Z$49*'TUSD BF'!$Z$62</f>
        <v>0</v>
      </c>
      <c r="AA49" s="13">
        <f>'TUSD BE'!$AA$49*'TUSD BF'!$AA$62</f>
        <v>0</v>
      </c>
      <c r="AB49" s="13">
        <f>SUM($U$49:$AA$49)</f>
        <v>0</v>
      </c>
      <c r="AC49" s="13">
        <f>'TUSD BE'!$AC$49*'TUSD BF'!$AC$62</f>
        <v>0</v>
      </c>
      <c r="AD49" s="13">
        <f>SUM($AC$49:$AC$49)</f>
        <v>0</v>
      </c>
      <c r="AE49" s="13">
        <f ca="1">$AO$49*$AO$59</f>
        <v>0</v>
      </c>
      <c r="AF49" s="13">
        <f ca="1">$AP$49*$AP$59</f>
        <v>0</v>
      </c>
      <c r="AG49" s="13">
        <f ca="1">SUM($AE$49:$AF$49)</f>
        <v>0</v>
      </c>
      <c r="AH49" s="13">
        <f>'TUSD BE'!$AH$49*'TUSD BF'!$AH$62</f>
        <v>0</v>
      </c>
      <c r="AI49" s="13">
        <f>'TUSD BE'!$AI$49*'TUSD BF'!$AI$62</f>
        <v>0</v>
      </c>
      <c r="AJ49" s="13">
        <f ca="1">'TUSD BE'!$AJ$49*'TUSD BF'!$AJ$62</f>
        <v>0</v>
      </c>
      <c r="AK49" s="13">
        <f ca="1">'TUSD BE'!$AK$49*'TUSD BF'!$AK$62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830.42291187284798</v>
      </c>
      <c r="AP49" s="26">
        <f ca="1">+'TUSD BE'!$T$49+'TUSD BE'!$AB$49+'TUSD BE'!$AD$49+'TUSD BE'!$AL$49</f>
        <v>830.42291187284798</v>
      </c>
    </row>
    <row r="50" spans="1:42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>
        <f>'TUSD BE'!$L$50*'TUSD BF'!$L$62</f>
        <v>0</v>
      </c>
      <c r="M50" s="13">
        <f>'TUSD BE'!$M$50*'TUSD BF'!$M$62</f>
        <v>0</v>
      </c>
      <c r="N50" s="13">
        <f ca="1">'TUSD BE'!$N$50*'TUSD BF'!$N$62</f>
        <v>0</v>
      </c>
      <c r="O50" s="13">
        <f>'TUSD BE'!$O$50*'TUSD BF'!$O$62</f>
        <v>0</v>
      </c>
      <c r="P50" s="13">
        <f>'TUSD BE'!$P$50*'TUSD BF'!$P$62</f>
        <v>0</v>
      </c>
      <c r="Q50" s="13">
        <f>'TUSD BE'!$Q$50*'TUSD BF'!$Q$62</f>
        <v>0</v>
      </c>
      <c r="R50" s="13">
        <f>'TUSD BE'!$R$50*'TUSD BF'!$R$62</f>
        <v>0</v>
      </c>
      <c r="S50" s="13">
        <f>'TUSD BE'!$R$50*'TUSD BF'!$S$62</f>
        <v>0</v>
      </c>
      <c r="T50" s="13">
        <f ca="1">SUM($L$50:$S$50)</f>
        <v>0</v>
      </c>
      <c r="U50" s="13">
        <f>'TUSD BE'!$U$50*'TUSD BF'!$U$62</f>
        <v>0</v>
      </c>
      <c r="V50" s="13">
        <f>'TUSD BE'!$V$50*'TUSD BF'!$V$62</f>
        <v>0</v>
      </c>
      <c r="W50" s="13">
        <f>'TUSD BE'!$W$50*'TUSD BF'!$W$62</f>
        <v>0</v>
      </c>
      <c r="X50" s="13">
        <f>'TUSD BE'!$X$50*'TUSD BF'!$X$62</f>
        <v>0</v>
      </c>
      <c r="Y50" s="13">
        <f>'TUSD BE'!$Y$50*'TUSD BF'!$Y$62</f>
        <v>0</v>
      </c>
      <c r="Z50" s="13">
        <f>'TUSD BE'!$Z$50*'TUSD BF'!$Z$62</f>
        <v>0</v>
      </c>
      <c r="AA50" s="13">
        <f>'TUSD BE'!$AA$50*'TUSD BF'!$AA$62</f>
        <v>0</v>
      </c>
      <c r="AB50" s="13">
        <f>SUM($U$50:$AA$50)</f>
        <v>0</v>
      </c>
      <c r="AC50" s="13">
        <f>'TUSD BE'!$AC$50*'TUSD BF'!$AC$62</f>
        <v>0</v>
      </c>
      <c r="AD50" s="13">
        <f>SUM($AC$50:$AC$50)</f>
        <v>0</v>
      </c>
      <c r="AE50" s="13">
        <f ca="1">$AO$50*$AO$59</f>
        <v>0</v>
      </c>
      <c r="AF50" s="13">
        <f ca="1">$AP$50*$AP$59</f>
        <v>0</v>
      </c>
      <c r="AG50" s="13">
        <f ca="1">SUM($AE$50:$AF$50)</f>
        <v>0</v>
      </c>
      <c r="AH50" s="13">
        <f>'TUSD BE'!$AH$50*'TUSD BF'!$AH$62</f>
        <v>0</v>
      </c>
      <c r="AI50" s="13">
        <f>'TUSD BE'!$AI$50*'TUSD BF'!$AI$62</f>
        <v>0</v>
      </c>
      <c r="AJ50" s="13">
        <f ca="1">'TUSD BE'!$AJ$50*'TUSD BF'!$AJ$62</f>
        <v>0</v>
      </c>
      <c r="AK50" s="13">
        <f ca="1">'TUSD BE'!$AK$50*'TUSD BF'!$AK$62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558.40851037457367</v>
      </c>
      <c r="AP50" s="26">
        <f ca="1">+'TUSD BE'!$T$50+'TUSD BE'!$AB$50+'TUSD BE'!$AD$50+'TUSD BE'!$AL$50</f>
        <v>558.40851037457367</v>
      </c>
    </row>
    <row r="51" spans="1:42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>
        <f>'TUSD BE'!$L$51*'TUSD BF'!$L$62</f>
        <v>0</v>
      </c>
      <c r="M51" s="13">
        <f>'TUSD BE'!$M$51*'TUSD BF'!$M$62</f>
        <v>0</v>
      </c>
      <c r="N51" s="13">
        <f ca="1">'TUSD BE'!$N$51*'TUSD BF'!$N$62</f>
        <v>0</v>
      </c>
      <c r="O51" s="13">
        <f>'TUSD BE'!$O$51*'TUSD BF'!$O$62</f>
        <v>0</v>
      </c>
      <c r="P51" s="13">
        <f>'TUSD BE'!$P$51*'TUSD BF'!$P$62</f>
        <v>0</v>
      </c>
      <c r="Q51" s="13">
        <f>'TUSD BE'!$Q$51*'TUSD BF'!$Q$62</f>
        <v>0</v>
      </c>
      <c r="R51" s="13">
        <f>'TUSD BE'!$R$51*'TUSD BF'!$R$62</f>
        <v>0</v>
      </c>
      <c r="S51" s="13">
        <f>'TUSD BE'!$R$51*'TUSD BF'!$S$62</f>
        <v>0</v>
      </c>
      <c r="T51" s="13">
        <f ca="1">SUM($L$51:$S$51)</f>
        <v>0</v>
      </c>
      <c r="U51" s="13">
        <f>'TUSD BE'!$U$51*'TUSD BF'!$U$62</f>
        <v>0</v>
      </c>
      <c r="V51" s="13">
        <f>'TUSD BE'!$V$51*'TUSD BF'!$V$62</f>
        <v>0</v>
      </c>
      <c r="W51" s="13">
        <f>'TUSD BE'!$W$51*'TUSD BF'!$W$62</f>
        <v>0</v>
      </c>
      <c r="X51" s="13">
        <f>'TUSD BE'!$X$51*'TUSD BF'!$X$62</f>
        <v>0</v>
      </c>
      <c r="Y51" s="13">
        <f>'TUSD BE'!$Y$51*'TUSD BF'!$Y$62</f>
        <v>0</v>
      </c>
      <c r="Z51" s="13">
        <f>'TUSD BE'!$Z$51*'TUSD BF'!$Z$62</f>
        <v>0</v>
      </c>
      <c r="AA51" s="13">
        <f>'TUSD BE'!$AA$51*'TUSD BF'!$AA$62</f>
        <v>0</v>
      </c>
      <c r="AB51" s="13">
        <f>SUM($U$51:$AA$51)</f>
        <v>0</v>
      </c>
      <c r="AC51" s="13">
        <f>'TUSD BE'!$AC$51*'TUSD BF'!$AC$62</f>
        <v>0</v>
      </c>
      <c r="AD51" s="13">
        <f>SUM($AC$51:$AC$51)</f>
        <v>0</v>
      </c>
      <c r="AE51" s="13">
        <f ca="1">$AO$51*$AO$59</f>
        <v>0</v>
      </c>
      <c r="AF51" s="13">
        <f ca="1">$AP$51*$AP$59</f>
        <v>0</v>
      </c>
      <c r="AG51" s="13">
        <f ca="1">SUM($AE$51:$AF$51)</f>
        <v>0</v>
      </c>
      <c r="AH51" s="13">
        <f>'TUSD BE'!$AH$51*'TUSD BF'!$AH$62</f>
        <v>0</v>
      </c>
      <c r="AI51" s="13">
        <f>'TUSD BE'!$AI$51*'TUSD BF'!$AI$62</f>
        <v>0</v>
      </c>
      <c r="AJ51" s="13">
        <f ca="1">'TUSD BE'!$AJ$51*'TUSD BF'!$AJ$62</f>
        <v>0</v>
      </c>
      <c r="AK51" s="13">
        <f ca="1">'TUSD BE'!$AK$51*'TUSD BF'!$AK$62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286.39388213912946</v>
      </c>
      <c r="AP51" s="26">
        <f ca="1">+'TUSD BE'!$T$51+'TUSD BE'!$AB$51+'TUSD BE'!$AD$51+'TUSD BE'!$AL$51</f>
        <v>286.39388213912946</v>
      </c>
    </row>
    <row r="52" spans="1:42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>
        <f>'TUSD BE'!$L$52*'TUSD BF'!$L$62</f>
        <v>0</v>
      </c>
      <c r="M52" s="13">
        <f>'TUSD BE'!$M$52*'TUSD BF'!$M$62</f>
        <v>0</v>
      </c>
      <c r="N52" s="13">
        <f ca="1">'TUSD BE'!$N$52*'TUSD BF'!$N$62</f>
        <v>0</v>
      </c>
      <c r="O52" s="13">
        <f>'TUSD BE'!$O$52*'TUSD BF'!$O$62</f>
        <v>0</v>
      </c>
      <c r="P52" s="13">
        <f>'TUSD BE'!$P$52*'TUSD BF'!$P$62</f>
        <v>0</v>
      </c>
      <c r="Q52" s="13">
        <f>'TUSD BE'!$Q$52*'TUSD BF'!$Q$62</f>
        <v>0</v>
      </c>
      <c r="R52" s="13">
        <f>'TUSD BE'!$R$52*'TUSD BF'!$R$62</f>
        <v>0</v>
      </c>
      <c r="S52" s="13">
        <f>'TUSD BE'!$R$52*'TUSD BF'!$S$62</f>
        <v>0</v>
      </c>
      <c r="T52" s="13">
        <f ca="1">SUM($L$52:$S$52)</f>
        <v>0</v>
      </c>
      <c r="U52" s="13">
        <f>'TUSD BE'!$U$52*'TUSD BF'!$U$62</f>
        <v>0</v>
      </c>
      <c r="V52" s="13">
        <f>'TUSD BE'!$V$52*'TUSD BF'!$V$62</f>
        <v>0</v>
      </c>
      <c r="W52" s="13">
        <f>'TUSD BE'!$W$52*'TUSD BF'!$W$62</f>
        <v>0</v>
      </c>
      <c r="X52" s="13">
        <f>'TUSD BE'!$X$52*'TUSD BF'!$X$62</f>
        <v>0</v>
      </c>
      <c r="Y52" s="13">
        <f>'TUSD BE'!$Y$52*'TUSD BF'!$Y$62</f>
        <v>0</v>
      </c>
      <c r="Z52" s="13">
        <f>'TUSD BE'!$Z$52*'TUSD BF'!$Z$62</f>
        <v>0</v>
      </c>
      <c r="AA52" s="13">
        <f>'TUSD BE'!$AA$52*'TUSD BF'!$AA$62</f>
        <v>0</v>
      </c>
      <c r="AB52" s="13">
        <f>SUM($U$52:$AA$52)</f>
        <v>0</v>
      </c>
      <c r="AC52" s="13">
        <f>'TUSD BE'!$AC$52*'TUSD BF'!$AC$62</f>
        <v>0</v>
      </c>
      <c r="AD52" s="13">
        <f>SUM($AC$52:$AC$52)</f>
        <v>0</v>
      </c>
      <c r="AE52" s="13">
        <f ca="1">$AO$52*$AO$59</f>
        <v>0</v>
      </c>
      <c r="AF52" s="13">
        <f ca="1">$AP$52*$AP$59</f>
        <v>0</v>
      </c>
      <c r="AG52" s="13">
        <f ca="1">SUM($AE$52:$AF$52)</f>
        <v>0</v>
      </c>
      <c r="AH52" s="13">
        <f>'TUSD BE'!$AH$52*'TUSD BF'!$AH$62</f>
        <v>0</v>
      </c>
      <c r="AI52" s="13">
        <f>'TUSD BE'!$AI$52*'TUSD BF'!$AI$62</f>
        <v>0</v>
      </c>
      <c r="AJ52" s="13">
        <f ca="1">'TUSD BE'!$AJ$52*'TUSD BF'!$AJ$62</f>
        <v>0</v>
      </c>
      <c r="AK52" s="13">
        <f ca="1">'TUSD BE'!$AK$52*'TUSD BF'!$AK$62</f>
        <v>0</v>
      </c>
      <c r="AL52" s="13">
        <f ca="1">SUM($AH$52:$AK$52)</f>
        <v>0</v>
      </c>
      <c r="AM52" s="13">
        <f ca="1">SUMIF($L$4:$AL$4,"SUBTOTAL",$L$52:$AL$52)</f>
        <v>0</v>
      </c>
      <c r="AO52" s="26">
        <f ca="1">+'TUSD BE'!$T$52+'TUSD BE'!$AB$52+'TUSD BE'!$AD$52+'TUSD BE'!$AL$52</f>
        <v>347.4983928142023</v>
      </c>
      <c r="AP52" s="26">
        <f ca="1">+'TUSD BE'!$T$52+'TUSD BE'!$AB$52+'TUSD BE'!$AD$52+'TUSD BE'!$AL$52</f>
        <v>347.4983928142023</v>
      </c>
    </row>
    <row r="53" spans="1:42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>
        <f>'TUSD BE'!$L$53*'TUSD BF'!$L$62</f>
        <v>0</v>
      </c>
      <c r="M53" s="13">
        <f>'TUSD BE'!$M$53*'TUSD BF'!$M$62</f>
        <v>0</v>
      </c>
      <c r="N53" s="13">
        <f ca="1">'TUSD BE'!$N$53*'TUSD BF'!$N$62</f>
        <v>0</v>
      </c>
      <c r="O53" s="13">
        <f>'TUSD BE'!$O$53*'TUSD BF'!$O$62</f>
        <v>0</v>
      </c>
      <c r="P53" s="13">
        <f>'TUSD BE'!$P$53*'TUSD BF'!$P$62</f>
        <v>0</v>
      </c>
      <c r="Q53" s="13">
        <f>'TUSD BE'!$Q$53*'TUSD BF'!$Q$62</f>
        <v>0</v>
      </c>
      <c r="R53" s="13">
        <f>'TUSD BE'!$R$53*'TUSD BF'!$R$62</f>
        <v>0</v>
      </c>
      <c r="S53" s="13">
        <f>'TUSD BE'!$R$53*'TUSD BF'!$S$62</f>
        <v>0</v>
      </c>
      <c r="T53" s="13">
        <f ca="1">SUM($L$53:$S$53)</f>
        <v>0</v>
      </c>
      <c r="U53" s="13">
        <f>'TUSD BE'!$U$53*'TUSD BF'!$U$62</f>
        <v>0</v>
      </c>
      <c r="V53" s="13">
        <f>'TUSD BE'!$V$53*'TUSD BF'!$V$62</f>
        <v>0</v>
      </c>
      <c r="W53" s="13">
        <f>'TUSD BE'!$W$53*'TUSD BF'!$W$62</f>
        <v>0</v>
      </c>
      <c r="X53" s="13">
        <f>'TUSD BE'!$X$53*'TUSD BF'!$X$62</f>
        <v>0</v>
      </c>
      <c r="Y53" s="13">
        <f>'TUSD BE'!$Y$53*'TUSD BF'!$Y$62</f>
        <v>0</v>
      </c>
      <c r="Z53" s="13">
        <f>'TUSD BE'!$Z$53*'TUSD BF'!$Z$62</f>
        <v>0</v>
      </c>
      <c r="AA53" s="13">
        <f>'TUSD BE'!$AA$53*'TUSD BF'!$AA$62</f>
        <v>0</v>
      </c>
      <c r="AB53" s="13">
        <f>SUM($U$53:$AA$53)</f>
        <v>0</v>
      </c>
      <c r="AC53" s="13">
        <f>'TUSD BE'!$AC$53*'TUSD BF'!$AC$62</f>
        <v>0</v>
      </c>
      <c r="AD53" s="13">
        <f>SUM($AC$53:$AC$53)</f>
        <v>0</v>
      </c>
      <c r="AE53" s="13">
        <f ca="1">$AO$53*$AO$59</f>
        <v>0</v>
      </c>
      <c r="AF53" s="13">
        <f ca="1">$AP$53*$AP$59</f>
        <v>0</v>
      </c>
      <c r="AG53" s="13">
        <f ca="1">SUM($AE$53:$AF$53)</f>
        <v>0</v>
      </c>
      <c r="AH53" s="13">
        <f>'TUSD BE'!$AH$53*'TUSD BF'!$AH$62</f>
        <v>0</v>
      </c>
      <c r="AI53" s="13">
        <f>'TUSD BE'!$AI$53*'TUSD BF'!$AI$62</f>
        <v>0</v>
      </c>
      <c r="AJ53" s="13">
        <f ca="1">'TUSD BE'!$AJ$53*'TUSD BF'!$AJ$62</f>
        <v>0</v>
      </c>
      <c r="AK53" s="13">
        <f ca="1">'TUSD BE'!$AK$53*'TUSD BF'!$AK$62</f>
        <v>0</v>
      </c>
      <c r="AL53" s="13">
        <f ca="1">SUM($AH$53:$AK$53)</f>
        <v>0</v>
      </c>
      <c r="AM53" s="13">
        <f ca="1">SUMIF($L$4:$AL$4,"SUBTOTAL",$L$53:$AL$53)</f>
        <v>0</v>
      </c>
      <c r="AO53" s="26">
        <f ca="1">+'TUSD BE'!$T$53+'TUSD BE'!$AB$53+'TUSD BE'!$AD$53+'TUSD BE'!$AL$53</f>
        <v>347.4983928142023</v>
      </c>
      <c r="AP53" s="26">
        <f ca="1">+'TUSD BE'!$T$53+'TUSD BE'!$AB$53+'TUSD BE'!$AD$53+'TUSD BE'!$AL$53</f>
        <v>347.4983928142023</v>
      </c>
    </row>
    <row r="54" spans="1:42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>
        <f>'TUSD BE'!$L$54*'TUSD BF'!$L$62</f>
        <v>0</v>
      </c>
      <c r="M54" s="13">
        <f>'TUSD BE'!$M$54*'TUSD BF'!$M$62</f>
        <v>0</v>
      </c>
      <c r="N54" s="13">
        <f ca="1">'TUSD BE'!$N$54*'TUSD BF'!$N$62</f>
        <v>0</v>
      </c>
      <c r="O54" s="13">
        <f>'TUSD BE'!$O$54*'TUSD BF'!$O$62</f>
        <v>0</v>
      </c>
      <c r="P54" s="13">
        <f>'TUSD BE'!$P$54*'TUSD BF'!$P$62</f>
        <v>0</v>
      </c>
      <c r="Q54" s="13">
        <f>'TUSD BE'!$Q$54*'TUSD BF'!$Q$62</f>
        <v>0</v>
      </c>
      <c r="R54" s="13">
        <f>'TUSD BE'!$R$54*'TUSD BF'!$R$62</f>
        <v>0</v>
      </c>
      <c r="S54" s="13">
        <f>'TUSD BE'!$R$54*'TUSD BF'!$S$62</f>
        <v>0</v>
      </c>
      <c r="T54" s="13">
        <f ca="1">SUM($L$54:$S$54)</f>
        <v>0</v>
      </c>
      <c r="U54" s="13">
        <f>'TUSD BE'!$U$54*'TUSD BF'!$U$62</f>
        <v>0</v>
      </c>
      <c r="V54" s="13">
        <f>'TUSD BE'!$V$54*'TUSD BF'!$V$62</f>
        <v>0</v>
      </c>
      <c r="W54" s="13">
        <f>'TUSD BE'!$W$54*'TUSD BF'!$W$62</f>
        <v>0</v>
      </c>
      <c r="X54" s="13">
        <f>'TUSD BE'!$X$54*'TUSD BF'!$X$62</f>
        <v>0</v>
      </c>
      <c r="Y54" s="13">
        <f>'TUSD BE'!$Y$54*'TUSD BF'!$Y$62</f>
        <v>0</v>
      </c>
      <c r="Z54" s="13">
        <f>'TUSD BE'!$Z$54*'TUSD BF'!$Z$62</f>
        <v>0</v>
      </c>
      <c r="AA54" s="13">
        <f>'TUSD BE'!$AA$54*'TUSD BF'!$AA$62</f>
        <v>0</v>
      </c>
      <c r="AB54" s="13">
        <f>SUM($U$54:$AA$54)</f>
        <v>0</v>
      </c>
      <c r="AC54" s="13">
        <f>'TUSD BE'!$AC$54*'TUSD BF'!$AC$62</f>
        <v>0</v>
      </c>
      <c r="AD54" s="13">
        <f>SUM($AC$54:$AC$54)</f>
        <v>0</v>
      </c>
      <c r="AE54" s="13">
        <f ca="1">$AO$54*$AO$59</f>
        <v>0</v>
      </c>
      <c r="AF54" s="13">
        <f ca="1">$AP$54*$AP$59</f>
        <v>0</v>
      </c>
      <c r="AG54" s="13">
        <f ca="1">SUM($AE$54:$AF$54)</f>
        <v>0</v>
      </c>
      <c r="AH54" s="13">
        <f>'TUSD BE'!$AH$54*'TUSD BF'!$AH$62</f>
        <v>0</v>
      </c>
      <c r="AI54" s="13">
        <f>'TUSD BE'!$AI$54*'TUSD BF'!$AI$62</f>
        <v>0</v>
      </c>
      <c r="AJ54" s="13">
        <f ca="1">'TUSD BE'!$AJ$54*'TUSD BF'!$AJ$62</f>
        <v>0</v>
      </c>
      <c r="AK54" s="13">
        <f ca="1">'TUSD BE'!$AK$54*'TUSD BF'!$AK$62</f>
        <v>0</v>
      </c>
      <c r="AL54" s="13">
        <f ca="1">SUM($AH$54:$AK$54)</f>
        <v>0</v>
      </c>
      <c r="AM54" s="13">
        <f ca="1">SUMIF($L$4:$AL$4,"SUBTOTAL",$L$54:$AL$54)</f>
        <v>0</v>
      </c>
      <c r="AO54" s="26">
        <f ca="1">+'TUSD BE'!$T$54+'TUSD BE'!$AB$54+'TUSD BE'!$AD$54+'TUSD BE'!$AL$54</f>
        <v>191.12411604781127</v>
      </c>
      <c r="AP54" s="26">
        <f ca="1">+'TUSD BE'!$T$54+'TUSD BE'!$AB$54+'TUSD BE'!$AD$54+'TUSD BE'!$AL$54</f>
        <v>191.12411604781127</v>
      </c>
    </row>
    <row r="55" spans="1:42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>
        <f>'TUSD BE'!$L$55*'TUSD BF'!$L$62</f>
        <v>0</v>
      </c>
      <c r="M55" s="13">
        <f>'TUSD BE'!$M$55*'TUSD BF'!$M$62</f>
        <v>0</v>
      </c>
      <c r="N55" s="13">
        <f ca="1">'TUSD BE'!$N$55*'TUSD BF'!$N$62</f>
        <v>0</v>
      </c>
      <c r="O55" s="13">
        <f>'TUSD BE'!$O$55*'TUSD BF'!$O$62</f>
        <v>0</v>
      </c>
      <c r="P55" s="13">
        <f>'TUSD BE'!$P$55*'TUSD BF'!$P$62</f>
        <v>0</v>
      </c>
      <c r="Q55" s="13">
        <f>'TUSD BE'!$Q$55*'TUSD BF'!$Q$62</f>
        <v>0</v>
      </c>
      <c r="R55" s="13">
        <f>'TUSD BE'!$R$55*'TUSD BF'!$R$62</f>
        <v>0</v>
      </c>
      <c r="S55" s="13">
        <f>'TUSD BE'!$R$55*'TUSD BF'!$S$62</f>
        <v>0</v>
      </c>
      <c r="T55" s="13">
        <f ca="1">SUM($L$55:$S$55)</f>
        <v>0</v>
      </c>
      <c r="U55" s="13">
        <f>'TUSD BE'!$U$55*'TUSD BF'!$U$62</f>
        <v>0</v>
      </c>
      <c r="V55" s="13">
        <f>'TUSD BE'!$V$55*'TUSD BF'!$V$62</f>
        <v>0</v>
      </c>
      <c r="W55" s="13">
        <f>'TUSD BE'!$W$55*'TUSD BF'!$W$62</f>
        <v>0</v>
      </c>
      <c r="X55" s="13">
        <f>'TUSD BE'!$X$55*'TUSD BF'!$X$62</f>
        <v>0</v>
      </c>
      <c r="Y55" s="13">
        <f>'TUSD BE'!$Y$55*'TUSD BF'!$Y$62</f>
        <v>0</v>
      </c>
      <c r="Z55" s="13">
        <f>'TUSD BE'!$Z$55*'TUSD BF'!$Z$62</f>
        <v>0</v>
      </c>
      <c r="AA55" s="13">
        <f>'TUSD BE'!$AA$55*'TUSD BF'!$AA$62</f>
        <v>0</v>
      </c>
      <c r="AB55" s="13">
        <f>SUM($U$55:$AA$55)</f>
        <v>0</v>
      </c>
      <c r="AC55" s="13">
        <f>'TUSD BE'!$AC$55*'TUSD BF'!$AC$62</f>
        <v>0</v>
      </c>
      <c r="AD55" s="13">
        <f>SUM($AC$55:$AC$55)</f>
        <v>0</v>
      </c>
      <c r="AE55" s="13">
        <f ca="1">$AO$55*$AO$59</f>
        <v>0</v>
      </c>
      <c r="AF55" s="13">
        <f ca="1">$AP$55*$AP$59</f>
        <v>0</v>
      </c>
      <c r="AG55" s="13">
        <f ca="1">SUM($AE$55:$AF$55)</f>
        <v>0</v>
      </c>
      <c r="AH55" s="13">
        <f>'TUSD BE'!$AH$55*'TUSD BF'!$AH$62</f>
        <v>0</v>
      </c>
      <c r="AI55" s="13">
        <f>'TUSD BE'!$AI$55*'TUSD BF'!$AI$62</f>
        <v>0</v>
      </c>
      <c r="AJ55" s="13">
        <f ca="1">'TUSD BE'!$AJ$55*'TUSD BF'!$AJ$62</f>
        <v>0</v>
      </c>
      <c r="AK55" s="13">
        <f ca="1">'TUSD BE'!$AK$55*'TUSD BF'!$AK$62</f>
        <v>0</v>
      </c>
      <c r="AL55" s="13">
        <f ca="1">SUM($AH$55:$AK$55)</f>
        <v>0</v>
      </c>
      <c r="AM55" s="13">
        <f ca="1">SUMIF($L$4:$AL$4,"SUBTOTAL",$L$55:$AL$55)</f>
        <v>0</v>
      </c>
      <c r="AO55" s="26">
        <f ca="1">+'TUSD BE'!$T$55+'TUSD BE'!$AB$55+'TUSD BE'!$AD$55+'TUSD BE'!$AL$55</f>
        <v>208.49903568852133</v>
      </c>
      <c r="AP55" s="26">
        <f ca="1">+'TUSD BE'!$T$55+'TUSD BE'!$AB$55+'TUSD BE'!$AD$55+'TUSD BE'!$AL$55</f>
        <v>208.49903568852133</v>
      </c>
    </row>
    <row r="57" spans="1:42" ht="11.25" customHeight="1" x14ac:dyDescent="0.25">
      <c r="K57" s="16" t="s">
        <v>558</v>
      </c>
      <c r="L57" s="13">
        <f>SUMPRODUCT($I$5:$I55,$L$5:$L55)</f>
        <v>0</v>
      </c>
      <c r="M57" s="13">
        <f>SUMPRODUCT($I$5:$I55,$M$5:$M55)</f>
        <v>0</v>
      </c>
      <c r="N57" s="13">
        <f ca="1">SUMPRODUCT($I$5:$I55,$N$5:$N55)</f>
        <v>0</v>
      </c>
      <c r="O57" s="13">
        <f>SUMPRODUCT($I$5:$I55,$O$5:$O55)</f>
        <v>0</v>
      </c>
      <c r="P57" s="13">
        <f>SUMPRODUCT($I$5:$I55,$P$5:$P55)</f>
        <v>0</v>
      </c>
      <c r="Q57" s="13">
        <f>SUMPRODUCT($I$5:$I55,$Q$5:$Q55)</f>
        <v>0</v>
      </c>
      <c r="R57" s="13">
        <f>SUMPRODUCT($I$5:$I55,$R$5:$R55)</f>
        <v>0</v>
      </c>
      <c r="S57" s="13">
        <f>SUMPRODUCT($I$5:$I55,$S$5:$S55)</f>
        <v>0</v>
      </c>
      <c r="T57" s="13">
        <f ca="1">SUMPRODUCT($I$5:$I55,$T$5:$T55)</f>
        <v>0</v>
      </c>
      <c r="U57" s="13">
        <f>SUMPRODUCT($I$5:$I55,$U$5:$U55)</f>
        <v>0</v>
      </c>
      <c r="V57" s="13">
        <f>SUMPRODUCT($I$5:$I55,$V$5:$V55)</f>
        <v>0</v>
      </c>
      <c r="W57" s="13">
        <f>SUMPRODUCT($I$5:$I55,$W$5:$W55)</f>
        <v>0</v>
      </c>
      <c r="X57" s="13">
        <f>SUMPRODUCT($I$5:$I55,$X$5:$X55)</f>
        <v>0</v>
      </c>
      <c r="Y57" s="13">
        <f>SUMPRODUCT($I$5:$I55,$Y$5:$Y55)</f>
        <v>0</v>
      </c>
      <c r="Z57" s="13">
        <f>SUMPRODUCT($I$5:$I55,$Z$5:$Z55)</f>
        <v>0</v>
      </c>
      <c r="AA57" s="13">
        <f>SUMPRODUCT($I$5:$I55,$AA$5:$AA55)</f>
        <v>0</v>
      </c>
      <c r="AB57" s="13">
        <f>SUMPRODUCT($I$5:$I55,$AB$5:$AB55)</f>
        <v>0</v>
      </c>
      <c r="AC57" s="13">
        <f>SUMPRODUCT($I$5:$I55,$AC$5:$AC55)</f>
        <v>0</v>
      </c>
      <c r="AD57" s="13">
        <f>SUMPRODUCT($I$5:$I55,$AD$5:$AD55)</f>
        <v>0</v>
      </c>
      <c r="AE57" s="13">
        <f ca="1">SUMPRODUCT($I$5:$I55,$AE$5:$AE55)</f>
        <v>0</v>
      </c>
      <c r="AF57" s="13">
        <f ca="1">SUMPRODUCT($I$5:$I55,$AF$5:$AF55)</f>
        <v>0</v>
      </c>
      <c r="AG57" s="13">
        <f ca="1">SUMPRODUCT($I$5:$I55,$AG$5:$AG55)</f>
        <v>0</v>
      </c>
      <c r="AH57" s="13">
        <f>SUMPRODUCT($I$5:$I55,$AH$5:$AH55)</f>
        <v>0</v>
      </c>
      <c r="AI57" s="13">
        <f>SUMPRODUCT($I$5:$I55,$AI$5:$AI55)</f>
        <v>0</v>
      </c>
      <c r="AJ57" s="13">
        <f ca="1">SUMPRODUCT($I$5:$I55,$AJ$5:$AJ55)</f>
        <v>0</v>
      </c>
      <c r="AK57" s="13">
        <f ca="1">SUMPRODUCT($I$5:$I55,$AK$5:$AK55)</f>
        <v>0</v>
      </c>
      <c r="AL57" s="13">
        <f ca="1">SUMPRODUCT($I$5:$I55,$AL$5:$AL55)</f>
        <v>0</v>
      </c>
      <c r="AM57" s="13">
        <f ca="1">SUMPRODUCT($I$5:$I55,$AM$5:$AM55)</f>
        <v>0</v>
      </c>
      <c r="AO57" s="24">
        <f ca="1">SUMPRODUCT($I$5:$I55,$AO$5:$AO55)</f>
        <v>93040827.765487552</v>
      </c>
      <c r="AP57" s="24">
        <f ca="1">SUMPRODUCT($I$5:$I55,$AP$5:$AP55)</f>
        <v>93040827.765487552</v>
      </c>
    </row>
    <row r="58" spans="1:42" ht="11.25" customHeight="1" x14ac:dyDescent="0.25">
      <c r="K58" s="16" t="s">
        <v>490</v>
      </c>
      <c r="L58" s="13">
        <f>'TR TUSD'!$L$60</f>
        <v>9419991.3842511326</v>
      </c>
      <c r="M58" s="13">
        <f>'TR TUSD'!$M$60</f>
        <v>174059.44361910204</v>
      </c>
      <c r="N58" s="13">
        <f>'TR TUSD'!$N$60</f>
        <v>0</v>
      </c>
      <c r="O58" s="13">
        <f>'TR TUSD'!$O$60</f>
        <v>0</v>
      </c>
      <c r="P58" s="13">
        <f>'TR TUSD'!$P$60</f>
        <v>0</v>
      </c>
      <c r="Q58" s="13">
        <f>'TR TUSD'!$Q$60</f>
        <v>26430216.89694</v>
      </c>
      <c r="R58" s="13">
        <f>'TR TUSD'!$R$60</f>
        <v>4738373.3178900015</v>
      </c>
      <c r="S58" s="13">
        <f>'TR TUSD'!$S$60</f>
        <v>0</v>
      </c>
      <c r="T58" s="13">
        <f>'TR TUSD'!$T$60</f>
        <v>40762641.042700239</v>
      </c>
      <c r="U58" s="13">
        <f>'TR TUSD'!$U$60</f>
        <v>9344727</v>
      </c>
      <c r="V58" s="13">
        <f>'TR TUSD'!$V$60</f>
        <v>1309770</v>
      </c>
      <c r="W58" s="13">
        <f>'TR TUSD'!$W$60</f>
        <v>0</v>
      </c>
      <c r="X58" s="13">
        <f>'TR TUSD'!$X$60</f>
        <v>0</v>
      </c>
      <c r="Y58" s="13">
        <f>'TR TUSD'!$Y$60</f>
        <v>0</v>
      </c>
      <c r="Z58" s="13">
        <f>'TR TUSD'!$Z$60</f>
        <v>0</v>
      </c>
      <c r="AA58" s="13">
        <f>'TR TUSD'!$AA$60</f>
        <v>0</v>
      </c>
      <c r="AB58" s="13">
        <f>'TR TUSD'!$AB$60</f>
        <v>10654497</v>
      </c>
      <c r="AC58" s="13">
        <f>'TR TUSD'!$AC$60</f>
        <v>39323417.770000003</v>
      </c>
      <c r="AD58" s="13">
        <f>'TR TUSD'!$AD$60</f>
        <v>39323417.770000003</v>
      </c>
      <c r="AE58" s="13">
        <f>'TR TUSD'!$AE$60</f>
        <v>0</v>
      </c>
      <c r="AF58" s="13">
        <f>'TR TUSD'!$AF$60</f>
        <v>0</v>
      </c>
      <c r="AG58" s="13">
        <f>'TR TUSD'!$AG$60</f>
        <v>0</v>
      </c>
      <c r="AH58" s="13">
        <f>'TR TUSD'!$AH$60</f>
        <v>2300271.9527872917</v>
      </c>
      <c r="AI58" s="13">
        <f>'TR TUSD'!$AI$60</f>
        <v>0</v>
      </c>
      <c r="AJ58" s="13">
        <f>'TR TUSD'!$AJ$60</f>
        <v>0</v>
      </c>
      <c r="AK58" s="13">
        <f>'TR TUSD'!$AK$60</f>
        <v>0</v>
      </c>
      <c r="AL58" s="13">
        <f>'TR TUSD'!$AL$60</f>
        <v>2300271.9527872917</v>
      </c>
      <c r="AM58" s="13">
        <f>CUSTOS!$D$29</f>
        <v>93040827.765487537</v>
      </c>
      <c r="AO58" s="24">
        <f>$AE$60</f>
        <v>0</v>
      </c>
      <c r="AP58" s="24">
        <f>$AF$60</f>
        <v>0</v>
      </c>
    </row>
    <row r="59" spans="1:42" ht="11.25" customHeight="1" x14ac:dyDescent="0.25">
      <c r="K59" s="16" t="s">
        <v>491</v>
      </c>
      <c r="L59" s="13">
        <f>CUSTOS!$E$2</f>
        <v>-128162.06640272774</v>
      </c>
      <c r="M59" s="13">
        <f>CUSTOS!$E$3</f>
        <v>-3549.1525413601648</v>
      </c>
      <c r="N59" s="13">
        <f>CUSTOS!$E$4</f>
        <v>0</v>
      </c>
      <c r="O59" s="13">
        <f>CUSTOS!$E$5</f>
        <v>0</v>
      </c>
      <c r="P59" s="13">
        <f>CUSTOS!$E$6</f>
        <v>0</v>
      </c>
      <c r="Q59" s="13">
        <f>CUSTOS!$E$7</f>
        <v>-245185.61438902293</v>
      </c>
      <c r="R59" s="13">
        <f>CUSTOS!$E$8</f>
        <v>-37884.487566450392</v>
      </c>
      <c r="S59" s="13">
        <f>CUSTOS!$E$9</f>
        <v>0</v>
      </c>
      <c r="T59" s="13">
        <f>CUSTOS!$E$10</f>
        <v>-414781.32089956122</v>
      </c>
      <c r="U59" s="13">
        <f>CUSTOS!$E$11</f>
        <v>977316.44974697579</v>
      </c>
      <c r="V59" s="13">
        <f>CUSTOS!$E$12</f>
        <v>136982.03985895967</v>
      </c>
      <c r="W59" s="13">
        <f>CUSTOS!$E$13</f>
        <v>0</v>
      </c>
      <c r="X59" s="13">
        <f>CUSTOS!$E$14</f>
        <v>0</v>
      </c>
      <c r="Y59" s="13">
        <f>CUSTOS!$E$15</f>
        <v>0</v>
      </c>
      <c r="Z59" s="13">
        <f>CUSTOS!$E$16</f>
        <v>0</v>
      </c>
      <c r="AA59" s="13">
        <f>CUSTOS!$E$17</f>
        <v>0</v>
      </c>
      <c r="AB59" s="13">
        <f>CUSTOS!$E$18</f>
        <v>1114298.4896059355</v>
      </c>
      <c r="AC59" s="13">
        <f>CUSTOS!$E$19</f>
        <v>-1208758.9664889562</v>
      </c>
      <c r="AD59" s="13">
        <f>CUSTOS!$E$20</f>
        <v>-1208758.9664889562</v>
      </c>
      <c r="AE59" s="13">
        <f>CUSTOS!$E$21</f>
        <v>0</v>
      </c>
      <c r="AF59" s="13">
        <f>CUSTOS!$E$22</f>
        <v>0</v>
      </c>
      <c r="AG59" s="13">
        <f>CUSTOS!$E$23</f>
        <v>0</v>
      </c>
      <c r="AH59" s="13">
        <f>CUSTOS!$E$24</f>
        <v>-36049.488240288418</v>
      </c>
      <c r="AI59" s="13">
        <f>CUSTOS!$E$25</f>
        <v>0</v>
      </c>
      <c r="AJ59" s="13">
        <f>CUSTOS!$E$26</f>
        <v>0</v>
      </c>
      <c r="AK59" s="13">
        <f>CUSTOS!$E$27</f>
        <v>0</v>
      </c>
      <c r="AL59" s="13">
        <f>CUSTOS!$E$28</f>
        <v>-36049.488240288418</v>
      </c>
      <c r="AM59" s="13">
        <f>CUSTOS!$E$29</f>
        <v>-545291.28602287045</v>
      </c>
      <c r="AO59" s="24">
        <f ca="1">IF(AO57&lt;&gt;0,AO58/AO57,0)</f>
        <v>0</v>
      </c>
      <c r="AP59" s="24">
        <f ca="1">IF(AP57&lt;&gt;0,AP58/AP57,0)</f>
        <v>0</v>
      </c>
    </row>
    <row r="60" spans="1:42" ht="11.25" customHeight="1" x14ac:dyDescent="0.25">
      <c r="K60" s="16" t="s">
        <v>492</v>
      </c>
      <c r="L60" s="13">
        <f>CUSTOS!$F$2</f>
        <v>0</v>
      </c>
      <c r="M60" s="13">
        <f>CUSTOS!$F$3</f>
        <v>0</v>
      </c>
      <c r="N60" s="13">
        <f>CUSTOS!$F$4</f>
        <v>0</v>
      </c>
      <c r="O60" s="13">
        <f>CUSTOS!$F$5</f>
        <v>0</v>
      </c>
      <c r="P60" s="13">
        <f>CUSTOS!$F$6</f>
        <v>0</v>
      </c>
      <c r="Q60" s="13">
        <f>CUSTOS!$F$7</f>
        <v>0</v>
      </c>
      <c r="R60" s="13">
        <f>CUSTOS!$F$8</f>
        <v>0</v>
      </c>
      <c r="S60" s="13">
        <f>CUSTOS!$F$9</f>
        <v>0</v>
      </c>
      <c r="T60" s="13">
        <f>CUSTOS!$F$10</f>
        <v>0</v>
      </c>
      <c r="U60" s="13">
        <f>CUSTOS!$F$11</f>
        <v>0</v>
      </c>
      <c r="V60" s="13">
        <f>CUSTOS!$F$12</f>
        <v>0</v>
      </c>
      <c r="W60" s="13">
        <f>CUSTOS!$F$13</f>
        <v>0</v>
      </c>
      <c r="X60" s="13">
        <f>CUSTOS!$F$14</f>
        <v>0</v>
      </c>
      <c r="Y60" s="13">
        <f>CUSTOS!$F$15</f>
        <v>0</v>
      </c>
      <c r="Z60" s="13">
        <f>CUSTOS!$F$16</f>
        <v>0</v>
      </c>
      <c r="AA60" s="13">
        <f>CUSTOS!$F$17</f>
        <v>0</v>
      </c>
      <c r="AB60" s="13">
        <f>CUSTOS!$F$18</f>
        <v>0</v>
      </c>
      <c r="AC60" s="13">
        <f>CUSTOS!$F$19</f>
        <v>0</v>
      </c>
      <c r="AD60" s="13">
        <f>CUSTOS!$F$20</f>
        <v>0</v>
      </c>
      <c r="AE60" s="13">
        <f>CUSTOS!$F$21</f>
        <v>0</v>
      </c>
      <c r="AF60" s="13">
        <f>CUSTOS!$F$22</f>
        <v>0</v>
      </c>
      <c r="AG60" s="13">
        <f>CUSTOS!$F$23</f>
        <v>0</v>
      </c>
      <c r="AH60" s="13">
        <f>CUSTOS!$F$24</f>
        <v>0</v>
      </c>
      <c r="AI60" s="13">
        <f>CUSTOS!$F$25</f>
        <v>0</v>
      </c>
      <c r="AJ60" s="13">
        <f>CUSTOS!$F$26</f>
        <v>0</v>
      </c>
      <c r="AK60" s="13">
        <f>CUSTOS!$F$27</f>
        <v>0</v>
      </c>
      <c r="AL60" s="13">
        <f>CUSTOS!$F$28</f>
        <v>0</v>
      </c>
      <c r="AM60" s="13">
        <f>CUSTOS!$F$29</f>
        <v>0</v>
      </c>
    </row>
    <row r="61" spans="1:42" ht="11.25" customHeight="1" x14ac:dyDescent="0.25">
      <c r="K61" s="16" t="s">
        <v>555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/>
      <c r="AC61" s="13">
        <v>0</v>
      </c>
      <c r="AD61" s="13"/>
      <c r="AE61" s="13">
        <v>0</v>
      </c>
      <c r="AF61" s="13">
        <v>0</v>
      </c>
      <c r="AG61" s="13"/>
      <c r="AH61" s="13">
        <v>0</v>
      </c>
      <c r="AI61" s="13">
        <v>0</v>
      </c>
      <c r="AJ61" s="13">
        <v>0</v>
      </c>
      <c r="AK61" s="13">
        <v>0</v>
      </c>
      <c r="AL61" s="13"/>
      <c r="AM61" s="13"/>
    </row>
  </sheetData>
  <mergeCells count="79">
    <mergeCell ref="B1:B4"/>
    <mergeCell ref="C1:C4"/>
    <mergeCell ref="D1:D4"/>
    <mergeCell ref="E1:E4"/>
    <mergeCell ref="F1:F4"/>
    <mergeCell ref="AP1:AP4"/>
    <mergeCell ref="L2:AM2"/>
    <mergeCell ref="L3:T3"/>
    <mergeCell ref="U3:AB3"/>
    <mergeCell ref="AC3:AD3"/>
    <mergeCell ref="E14:E16"/>
    <mergeCell ref="AE3:AG3"/>
    <mergeCell ref="AH3:AL3"/>
    <mergeCell ref="AM3:AM4"/>
    <mergeCell ref="A5:A8"/>
    <mergeCell ref="B5:B8"/>
    <mergeCell ref="C5:C8"/>
    <mergeCell ref="D5:D8"/>
    <mergeCell ref="E5:E7"/>
    <mergeCell ref="F5:F7"/>
    <mergeCell ref="G1:G4"/>
    <mergeCell ref="H1:H4"/>
    <mergeCell ref="I1:I4"/>
    <mergeCell ref="J1:J4"/>
    <mergeCell ref="L1:AM1"/>
    <mergeCell ref="A1:A4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F21:F23"/>
    <mergeCell ref="B24:B28"/>
    <mergeCell ref="C24:C28"/>
    <mergeCell ref="B29:B33"/>
    <mergeCell ref="C29:C33"/>
    <mergeCell ref="A21:A33"/>
    <mergeCell ref="B21:B23"/>
    <mergeCell ref="C21:C23"/>
    <mergeCell ref="D21:D23"/>
    <mergeCell ref="E21:E23"/>
    <mergeCell ref="D42:D44"/>
    <mergeCell ref="E42:E44"/>
    <mergeCell ref="F42:F44"/>
    <mergeCell ref="D34:D36"/>
    <mergeCell ref="E34:E36"/>
    <mergeCell ref="F34:F36"/>
    <mergeCell ref="D38:D40"/>
    <mergeCell ref="E38:E40"/>
    <mergeCell ref="F38:F40"/>
    <mergeCell ref="B46:B48"/>
    <mergeCell ref="C46:C48"/>
    <mergeCell ref="A49:A53"/>
    <mergeCell ref="B49:B51"/>
    <mergeCell ref="C49:C51"/>
    <mergeCell ref="A34:A48"/>
    <mergeCell ref="B34:B36"/>
    <mergeCell ref="C34:C36"/>
    <mergeCell ref="B42:B44"/>
    <mergeCell ref="C42:C44"/>
    <mergeCell ref="B38:B40"/>
    <mergeCell ref="C38:C40"/>
    <mergeCell ref="E49:E51"/>
    <mergeCell ref="F49:F51"/>
    <mergeCell ref="A54:A55"/>
    <mergeCell ref="B54:B55"/>
    <mergeCell ref="C54:C55"/>
    <mergeCell ref="D49:D51"/>
  </mergeCells>
  <conditionalFormatting sqref="L57">
    <cfRule type="cellIs" dxfId="672" priority="55" operator="notEqual">
      <formula>$L$60</formula>
    </cfRule>
    <cfRule type="cellIs" dxfId="671" priority="56" operator="equal">
      <formula>$L$60</formula>
    </cfRule>
  </conditionalFormatting>
  <conditionalFormatting sqref="M57">
    <cfRule type="cellIs" dxfId="670" priority="53" operator="notEqual">
      <formula>$M$60</formula>
    </cfRule>
    <cfRule type="cellIs" dxfId="669" priority="54" operator="equal">
      <formula>$M$60</formula>
    </cfRule>
  </conditionalFormatting>
  <conditionalFormatting sqref="N57">
    <cfRule type="cellIs" dxfId="668" priority="51" operator="notEqual">
      <formula>$N$60</formula>
    </cfRule>
    <cfRule type="cellIs" dxfId="667" priority="52" operator="equal">
      <formula>$N$60</formula>
    </cfRule>
  </conditionalFormatting>
  <conditionalFormatting sqref="O57">
    <cfRule type="cellIs" dxfId="666" priority="49" operator="notEqual">
      <formula>$O$60</formula>
    </cfRule>
    <cfRule type="cellIs" dxfId="665" priority="50" operator="equal">
      <formula>$O$60</formula>
    </cfRule>
  </conditionalFormatting>
  <conditionalFormatting sqref="P57">
    <cfRule type="cellIs" dxfId="664" priority="47" operator="notEqual">
      <formula>$P$60</formula>
    </cfRule>
    <cfRule type="cellIs" dxfId="663" priority="48" operator="equal">
      <formula>$P$60</formula>
    </cfRule>
  </conditionalFormatting>
  <conditionalFormatting sqref="Q57">
    <cfRule type="cellIs" dxfId="662" priority="45" operator="notEqual">
      <formula>$Q$60</formula>
    </cfRule>
    <cfRule type="cellIs" dxfId="661" priority="46" operator="equal">
      <formula>$Q$60</formula>
    </cfRule>
  </conditionalFormatting>
  <conditionalFormatting sqref="R57">
    <cfRule type="cellIs" dxfId="660" priority="43" operator="notEqual">
      <formula>$R$60</formula>
    </cfRule>
    <cfRule type="cellIs" dxfId="659" priority="44" operator="equal">
      <formula>$R$60</formula>
    </cfRule>
  </conditionalFormatting>
  <conditionalFormatting sqref="S57">
    <cfRule type="cellIs" dxfId="658" priority="41" operator="notEqual">
      <formula>$S$60</formula>
    </cfRule>
    <cfRule type="cellIs" dxfId="657" priority="42" operator="equal">
      <formula>$S$60</formula>
    </cfRule>
  </conditionalFormatting>
  <conditionalFormatting sqref="T57">
    <cfRule type="cellIs" dxfId="656" priority="39" operator="notEqual">
      <formula>$T$60</formula>
    </cfRule>
    <cfRule type="cellIs" dxfId="655" priority="40" operator="equal">
      <formula>$T$60</formula>
    </cfRule>
  </conditionalFormatting>
  <conditionalFormatting sqref="U57">
    <cfRule type="cellIs" dxfId="654" priority="37" operator="notEqual">
      <formula>$U$60</formula>
    </cfRule>
    <cfRule type="cellIs" dxfId="653" priority="38" operator="equal">
      <formula>$U$60</formula>
    </cfRule>
  </conditionalFormatting>
  <conditionalFormatting sqref="V57">
    <cfRule type="cellIs" dxfId="652" priority="35" operator="notEqual">
      <formula>$V$60</formula>
    </cfRule>
    <cfRule type="cellIs" dxfId="651" priority="36" operator="equal">
      <formula>$V$60</formula>
    </cfRule>
  </conditionalFormatting>
  <conditionalFormatting sqref="W57">
    <cfRule type="cellIs" dxfId="650" priority="33" operator="notEqual">
      <formula>$W$60</formula>
    </cfRule>
    <cfRule type="cellIs" dxfId="649" priority="34" operator="equal">
      <formula>$W$60</formula>
    </cfRule>
  </conditionalFormatting>
  <conditionalFormatting sqref="X57">
    <cfRule type="cellIs" dxfId="648" priority="31" operator="notEqual">
      <formula>$X$60</formula>
    </cfRule>
    <cfRule type="cellIs" dxfId="647" priority="32" operator="equal">
      <formula>$X$60</formula>
    </cfRule>
  </conditionalFormatting>
  <conditionalFormatting sqref="Y57">
    <cfRule type="cellIs" dxfId="646" priority="29" operator="notEqual">
      <formula>$Y$60</formula>
    </cfRule>
    <cfRule type="cellIs" dxfId="645" priority="30" operator="equal">
      <formula>$Y$60</formula>
    </cfRule>
  </conditionalFormatting>
  <conditionalFormatting sqref="Z57">
    <cfRule type="cellIs" dxfId="644" priority="27" operator="notEqual">
      <formula>$Z$60</formula>
    </cfRule>
    <cfRule type="cellIs" dxfId="643" priority="28" operator="equal">
      <formula>$Z$60</formula>
    </cfRule>
  </conditionalFormatting>
  <conditionalFormatting sqref="AA57">
    <cfRule type="cellIs" dxfId="642" priority="25" operator="notEqual">
      <formula>$AA$60</formula>
    </cfRule>
    <cfRule type="cellIs" dxfId="641" priority="26" operator="equal">
      <formula>$AA$60</formula>
    </cfRule>
  </conditionalFormatting>
  <conditionalFormatting sqref="AB57">
    <cfRule type="cellIs" dxfId="640" priority="23" operator="notEqual">
      <formula>$AB$60</formula>
    </cfRule>
    <cfRule type="cellIs" dxfId="639" priority="24" operator="equal">
      <formula>$AB$60</formula>
    </cfRule>
  </conditionalFormatting>
  <conditionalFormatting sqref="AC57">
    <cfRule type="cellIs" dxfId="638" priority="21" operator="notEqual">
      <formula>$AC$60</formula>
    </cfRule>
    <cfRule type="cellIs" dxfId="637" priority="22" operator="equal">
      <formula>$AC$60</formula>
    </cfRule>
  </conditionalFormatting>
  <conditionalFormatting sqref="AD57">
    <cfRule type="cellIs" dxfId="636" priority="19" operator="notEqual">
      <formula>$AD$60</formula>
    </cfRule>
    <cfRule type="cellIs" dxfId="635" priority="20" operator="equal">
      <formula>$AD$60</formula>
    </cfRule>
  </conditionalFormatting>
  <conditionalFormatting sqref="AE57">
    <cfRule type="cellIs" dxfId="634" priority="17" operator="notEqual">
      <formula>$AE$60</formula>
    </cfRule>
    <cfRule type="cellIs" dxfId="633" priority="18" operator="equal">
      <formula>$AE$60</formula>
    </cfRule>
  </conditionalFormatting>
  <conditionalFormatting sqref="AF57">
    <cfRule type="cellIs" dxfId="632" priority="16" operator="equal">
      <formula>$AF$60</formula>
    </cfRule>
  </conditionalFormatting>
  <conditionalFormatting sqref="AF57">
    <cfRule type="cellIs" dxfId="631" priority="15" operator="notEqual">
      <formula>$AF$60</formula>
    </cfRule>
  </conditionalFormatting>
  <conditionalFormatting sqref="AG57">
    <cfRule type="cellIs" dxfId="630" priority="14" operator="equal">
      <formula>$AG$60</formula>
    </cfRule>
  </conditionalFormatting>
  <conditionalFormatting sqref="AG57">
    <cfRule type="cellIs" dxfId="629" priority="13" operator="notEqual">
      <formula>$AG$60</formula>
    </cfRule>
  </conditionalFormatting>
  <conditionalFormatting sqref="AH57">
    <cfRule type="cellIs" dxfId="628" priority="12" operator="equal">
      <formula>$AH$60</formula>
    </cfRule>
  </conditionalFormatting>
  <conditionalFormatting sqref="AH57">
    <cfRule type="cellIs" dxfId="627" priority="11" operator="notEqual">
      <formula>$AH$60</formula>
    </cfRule>
  </conditionalFormatting>
  <conditionalFormatting sqref="AI57">
    <cfRule type="cellIs" dxfId="626" priority="10" operator="equal">
      <formula>$AI$60</formula>
    </cfRule>
  </conditionalFormatting>
  <conditionalFormatting sqref="AI57">
    <cfRule type="cellIs" dxfId="625" priority="9" operator="notEqual">
      <formula>$AI$60</formula>
    </cfRule>
  </conditionalFormatting>
  <conditionalFormatting sqref="AJ57">
    <cfRule type="cellIs" dxfId="624" priority="8" operator="equal">
      <formula>$AJ$60</formula>
    </cfRule>
  </conditionalFormatting>
  <conditionalFormatting sqref="AJ57">
    <cfRule type="cellIs" dxfId="623" priority="7" operator="notEqual">
      <formula>$AJ$60</formula>
    </cfRule>
  </conditionalFormatting>
  <conditionalFormatting sqref="AK57">
    <cfRule type="cellIs" dxfId="622" priority="6" operator="equal">
      <formula>$AK$60</formula>
    </cfRule>
  </conditionalFormatting>
  <conditionalFormatting sqref="AK57">
    <cfRule type="cellIs" dxfId="621" priority="5" operator="notEqual">
      <formula>$AK$60</formula>
    </cfRule>
  </conditionalFormatting>
  <conditionalFormatting sqref="AL57">
    <cfRule type="cellIs" dxfId="620" priority="4" operator="equal">
      <formula>$AL$60</formula>
    </cfRule>
  </conditionalFormatting>
  <conditionalFormatting sqref="AL57">
    <cfRule type="cellIs" dxfId="619" priority="3" operator="notEqual">
      <formula>$AL$60</formula>
    </cfRule>
  </conditionalFormatting>
  <conditionalFormatting sqref="AM57">
    <cfRule type="cellIs" dxfId="618" priority="2" operator="equal">
      <formula>$AM$60</formula>
    </cfRule>
  </conditionalFormatting>
  <conditionalFormatting sqref="AM57">
    <cfRule type="cellIs" dxfId="617" priority="1" operator="notEqual">
      <formula>$AM$60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327A-EEE8-4027-8D9A-50A7C33261AD}">
  <dimension ref="A1:AB51"/>
  <sheetViews>
    <sheetView showGridLines="0" workbookViewId="0">
      <selection activeCell="K45" sqref="K45:AB51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82"/>
      <c r="L1" s="101" t="s">
        <v>570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476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449</v>
      </c>
      <c r="M3" s="101"/>
      <c r="N3" s="101"/>
      <c r="O3" s="101"/>
      <c r="P3" s="101"/>
      <c r="Q3" s="101"/>
      <c r="R3" s="101" t="s">
        <v>480</v>
      </c>
      <c r="S3" s="101"/>
      <c r="T3" s="101" t="s">
        <v>458</v>
      </c>
      <c r="U3" s="101"/>
      <c r="V3" s="101"/>
      <c r="W3" s="101"/>
      <c r="X3" s="101" t="s">
        <v>468</v>
      </c>
      <c r="Y3" s="101"/>
      <c r="Z3" s="101" t="s">
        <v>471</v>
      </c>
      <c r="AA3" s="101"/>
      <c r="AB3" s="101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451</v>
      </c>
      <c r="M4" s="30" t="s">
        <v>477</v>
      </c>
      <c r="N4" s="30" t="s">
        <v>478</v>
      </c>
      <c r="O4" s="30" t="s">
        <v>537</v>
      </c>
      <c r="P4" s="30" t="s">
        <v>479</v>
      </c>
      <c r="Q4" s="30" t="s">
        <v>457</v>
      </c>
      <c r="R4" s="30" t="s">
        <v>481</v>
      </c>
      <c r="S4" s="30" t="s">
        <v>457</v>
      </c>
      <c r="T4" s="30" t="s">
        <v>482</v>
      </c>
      <c r="U4" s="30" t="s">
        <v>483</v>
      </c>
      <c r="V4" s="30" t="s">
        <v>484</v>
      </c>
      <c r="W4" s="30" t="s">
        <v>457</v>
      </c>
      <c r="X4" s="30" t="s">
        <v>469</v>
      </c>
      <c r="Y4" s="30" t="s">
        <v>457</v>
      </c>
      <c r="Z4" s="30" t="s">
        <v>485</v>
      </c>
      <c r="AA4" s="30" t="s">
        <v>457</v>
      </c>
      <c r="AB4" s="102"/>
    </row>
    <row r="5" spans="1:28" ht="11.25" customHeight="1" x14ac:dyDescent="0.25">
      <c r="A5" s="99" t="s">
        <v>35</v>
      </c>
      <c r="B5" s="99" t="s">
        <v>73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75</v>
      </c>
      <c r="H5" s="29" t="s">
        <v>74</v>
      </c>
      <c r="I5" s="29">
        <f>'MERCADO TE'!$U$2</f>
        <v>1179.2529999999999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76</v>
      </c>
      <c r="H6" s="29" t="s">
        <v>74</v>
      </c>
      <c r="I6" s="29">
        <f>'MERCADO TE'!$U$3</f>
        <v>12180.129000000001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99" t="s">
        <v>39</v>
      </c>
      <c r="B7" s="99" t="s">
        <v>73</v>
      </c>
      <c r="C7" s="99" t="s">
        <v>25</v>
      </c>
      <c r="D7" s="99" t="s">
        <v>25</v>
      </c>
      <c r="E7" s="99" t="s">
        <v>25</v>
      </c>
      <c r="F7" s="99" t="s">
        <v>25</v>
      </c>
      <c r="G7" s="29" t="s">
        <v>75</v>
      </c>
      <c r="H7" s="29" t="s">
        <v>74</v>
      </c>
      <c r="I7" s="29">
        <f>'MERCADO TE'!$U$4</f>
        <v>14718.998999999998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76</v>
      </c>
      <c r="H8" s="29" t="s">
        <v>74</v>
      </c>
      <c r="I8" s="29">
        <f>'MERCADO TE'!$U$5</f>
        <v>200745.10000000003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99" t="s">
        <v>22</v>
      </c>
      <c r="B9" s="99" t="s">
        <v>73</v>
      </c>
      <c r="C9" s="99" t="s">
        <v>24</v>
      </c>
      <c r="D9" s="99" t="s">
        <v>24</v>
      </c>
      <c r="E9" s="99" t="s">
        <v>25</v>
      </c>
      <c r="F9" s="99" t="s">
        <v>25</v>
      </c>
      <c r="G9" s="29" t="s">
        <v>75</v>
      </c>
      <c r="H9" s="29" t="s">
        <v>74</v>
      </c>
      <c r="I9" s="29">
        <f>'MERCADO TE'!$U$6</f>
        <v>0.154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99"/>
      <c r="B10" s="99"/>
      <c r="C10" s="99"/>
      <c r="D10" s="99"/>
      <c r="E10" s="99"/>
      <c r="F10" s="99"/>
      <c r="G10" s="29" t="s">
        <v>86</v>
      </c>
      <c r="H10" s="29" t="s">
        <v>74</v>
      </c>
      <c r="I10" s="29">
        <f>'MERCADO TE'!$U$7</f>
        <v>8.5999999999999993E-2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99"/>
      <c r="B11" s="99"/>
      <c r="C11" s="99"/>
      <c r="D11" s="99"/>
      <c r="E11" s="99"/>
      <c r="F11" s="99"/>
      <c r="G11" s="29" t="s">
        <v>76</v>
      </c>
      <c r="H11" s="29" t="s">
        <v>74</v>
      </c>
      <c r="I11" s="29">
        <f>'MERCADO TE'!$U$8</f>
        <v>0.95099999999999996</v>
      </c>
      <c r="J11" s="15"/>
      <c r="L11" s="26">
        <v>1</v>
      </c>
      <c r="M11" s="26">
        <v>1</v>
      </c>
      <c r="N11" s="26">
        <v>1</v>
      </c>
      <c r="O11" s="26">
        <v>1</v>
      </c>
      <c r="P11" s="26">
        <v>1</v>
      </c>
      <c r="Q11" s="26"/>
      <c r="R11" s="26">
        <v>1</v>
      </c>
      <c r="S11" s="26"/>
      <c r="T11" s="26">
        <v>1</v>
      </c>
      <c r="U11" s="26">
        <v>1</v>
      </c>
      <c r="V11" s="26">
        <v>1</v>
      </c>
      <c r="W11" s="26"/>
      <c r="X11" s="26"/>
      <c r="Y11" s="26"/>
      <c r="Z11" s="26">
        <v>1</v>
      </c>
      <c r="AA11" s="26"/>
      <c r="AB11" s="26"/>
    </row>
    <row r="12" spans="1:28" ht="11.25" customHeight="1" x14ac:dyDescent="0.25">
      <c r="A12" s="99"/>
      <c r="B12" s="99" t="s">
        <v>87</v>
      </c>
      <c r="C12" s="99" t="s">
        <v>24</v>
      </c>
      <c r="D12" s="28" t="s">
        <v>24</v>
      </c>
      <c r="E12" s="28" t="s">
        <v>25</v>
      </c>
      <c r="F12" s="28" t="s">
        <v>25</v>
      </c>
      <c r="G12" s="29" t="s">
        <v>80</v>
      </c>
      <c r="H12" s="29" t="s">
        <v>74</v>
      </c>
      <c r="I12" s="29">
        <f>'MERCADO TE'!$U$9</f>
        <v>58542.483</v>
      </c>
      <c r="J12" s="15"/>
      <c r="L12" s="26">
        <v>1</v>
      </c>
      <c r="M12" s="26">
        <v>1</v>
      </c>
      <c r="N12" s="26">
        <v>1</v>
      </c>
      <c r="O12" s="26">
        <v>1</v>
      </c>
      <c r="P12" s="26">
        <v>1</v>
      </c>
      <c r="Q12" s="26"/>
      <c r="R12" s="26">
        <v>1</v>
      </c>
      <c r="S12" s="26"/>
      <c r="T12" s="26">
        <v>1</v>
      </c>
      <c r="U12" s="26">
        <v>1</v>
      </c>
      <c r="V12" s="26">
        <v>1</v>
      </c>
      <c r="W12" s="26"/>
      <c r="X12" s="26"/>
      <c r="Y12" s="26"/>
      <c r="Z12" s="26">
        <v>1</v>
      </c>
      <c r="AA12" s="26"/>
      <c r="AB12" s="26"/>
    </row>
    <row r="13" spans="1:28" ht="11.25" customHeight="1" x14ac:dyDescent="0.25">
      <c r="A13" s="99"/>
      <c r="B13" s="99"/>
      <c r="C13" s="99"/>
      <c r="D13" s="28" t="s">
        <v>29</v>
      </c>
      <c r="E13" s="28" t="s">
        <v>25</v>
      </c>
      <c r="F13" s="28" t="s">
        <v>25</v>
      </c>
      <c r="G13" s="29" t="s">
        <v>80</v>
      </c>
      <c r="H13" s="29" t="s">
        <v>74</v>
      </c>
      <c r="I13" s="29">
        <f>'MERCADO TE'!$U$10</f>
        <v>209.435</v>
      </c>
      <c r="J13" s="15"/>
      <c r="L13" s="26">
        <f>1 - CUSTOS!$M$24</f>
        <v>1</v>
      </c>
      <c r="M13" s="26">
        <f>1 - CUSTOS!$M$24</f>
        <v>1</v>
      </c>
      <c r="N13" s="26">
        <f>1 - CUSTOS!$M$24</f>
        <v>1</v>
      </c>
      <c r="O13" s="26">
        <f>1 - CUSTOS!$M$24</f>
        <v>1</v>
      </c>
      <c r="P13" s="26">
        <f>1 - CUSTOS!$M$24</f>
        <v>1</v>
      </c>
      <c r="Q13" s="26"/>
      <c r="R13" s="26">
        <f>(1 - CUSTOS!$M$24)*1</f>
        <v>1</v>
      </c>
      <c r="S13" s="26"/>
      <c r="T13" s="26">
        <f>1 - CUSTOS!$M$24</f>
        <v>1</v>
      </c>
      <c r="U13" s="26">
        <f>1 - CUSTOS!$M$24</f>
        <v>1</v>
      </c>
      <c r="V13" s="26">
        <f>1 - CUSTOS!$M$24</f>
        <v>1</v>
      </c>
      <c r="W13" s="26"/>
      <c r="X13" s="26"/>
      <c r="Y13" s="26"/>
      <c r="Z13" s="26">
        <f>1 - CUSTOS!$M$24</f>
        <v>1</v>
      </c>
      <c r="AA13" s="26"/>
      <c r="AB13" s="26"/>
    </row>
    <row r="14" spans="1:28" ht="11.25" customHeight="1" x14ac:dyDescent="0.25">
      <c r="A14" s="99"/>
      <c r="B14" s="99"/>
      <c r="C14" s="99"/>
      <c r="D14" s="28" t="s">
        <v>30</v>
      </c>
      <c r="E14" s="28" t="s">
        <v>25</v>
      </c>
      <c r="F14" s="28" t="s">
        <v>25</v>
      </c>
      <c r="G14" s="29" t="s">
        <v>80</v>
      </c>
      <c r="H14" s="29" t="s">
        <v>74</v>
      </c>
      <c r="I14" s="29">
        <f>'MERCADO TE'!$U$11</f>
        <v>450.29900000000004</v>
      </c>
      <c r="J14" s="15"/>
      <c r="L14" s="26">
        <f>1 - CUSTOS!$M$25</f>
        <v>1</v>
      </c>
      <c r="M14" s="26">
        <f>1 - CUSTOS!$M$25</f>
        <v>1</v>
      </c>
      <c r="N14" s="26">
        <f>1 - CUSTOS!$M$25</f>
        <v>1</v>
      </c>
      <c r="O14" s="26">
        <f>1 - CUSTOS!$M$25</f>
        <v>1</v>
      </c>
      <c r="P14" s="26">
        <f>1 - CUSTOS!$M$25</f>
        <v>1</v>
      </c>
      <c r="Q14" s="26"/>
      <c r="R14" s="26">
        <f>(1 - CUSTOS!$M$25)*1</f>
        <v>1</v>
      </c>
      <c r="S14" s="26"/>
      <c r="T14" s="26">
        <f>1 - CUSTOS!$M$25</f>
        <v>1</v>
      </c>
      <c r="U14" s="26">
        <f>1 - CUSTOS!$M$25</f>
        <v>1</v>
      </c>
      <c r="V14" s="26">
        <f>1 - CUSTOS!$M$25</f>
        <v>1</v>
      </c>
      <c r="W14" s="26"/>
      <c r="X14" s="26"/>
      <c r="Y14" s="26"/>
      <c r="Z14" s="26">
        <f>1 - CUSTOS!$M$25</f>
        <v>1</v>
      </c>
      <c r="AA14" s="26"/>
      <c r="AB14" s="26"/>
    </row>
    <row r="15" spans="1:28" ht="11.25" customHeight="1" x14ac:dyDescent="0.25">
      <c r="A15" s="99"/>
      <c r="B15" s="99"/>
      <c r="C15" s="99"/>
      <c r="D15" s="28" t="s">
        <v>31</v>
      </c>
      <c r="E15" s="28" t="s">
        <v>25</v>
      </c>
      <c r="F15" s="28" t="s">
        <v>25</v>
      </c>
      <c r="G15" s="29" t="s">
        <v>80</v>
      </c>
      <c r="H15" s="29" t="s">
        <v>74</v>
      </c>
      <c r="I15" s="29">
        <f>'MERCADO TE'!$U$12</f>
        <v>514.49699999999996</v>
      </c>
      <c r="J15" s="15"/>
      <c r="L15" s="26">
        <f>1 - CUSTOS!$M$26</f>
        <v>1</v>
      </c>
      <c r="M15" s="26">
        <f>1 - CUSTOS!$M$26</f>
        <v>1</v>
      </c>
      <c r="N15" s="26">
        <f>1 - CUSTOS!$M$26</f>
        <v>1</v>
      </c>
      <c r="O15" s="26">
        <f>1 - CUSTOS!$M$26</f>
        <v>1</v>
      </c>
      <c r="P15" s="26">
        <f>1 - CUSTOS!$M$26</f>
        <v>1</v>
      </c>
      <c r="Q15" s="26"/>
      <c r="R15" s="26">
        <f>(1 - CUSTOS!$M$26)*1</f>
        <v>1</v>
      </c>
      <c r="S15" s="26"/>
      <c r="T15" s="26">
        <f>1 - CUSTOS!$M$26</f>
        <v>1</v>
      </c>
      <c r="U15" s="26">
        <f>1 - CUSTOS!$M$26</f>
        <v>1</v>
      </c>
      <c r="V15" s="26">
        <f>1 - CUSTOS!$M$26</f>
        <v>1</v>
      </c>
      <c r="W15" s="26"/>
      <c r="X15" s="26"/>
      <c r="Y15" s="26"/>
      <c r="Z15" s="26">
        <f>1 - CUSTOS!$M$26</f>
        <v>1</v>
      </c>
      <c r="AA15" s="26"/>
      <c r="AB15" s="26"/>
    </row>
    <row r="16" spans="1:28" ht="11.25" customHeight="1" x14ac:dyDescent="0.25">
      <c r="A16" s="99"/>
      <c r="B16" s="99"/>
      <c r="C16" s="99"/>
      <c r="D16" s="28" t="s">
        <v>32</v>
      </c>
      <c r="E16" s="28" t="s">
        <v>25</v>
      </c>
      <c r="F16" s="28" t="s">
        <v>25</v>
      </c>
      <c r="G16" s="29" t="s">
        <v>80</v>
      </c>
      <c r="H16" s="29" t="s">
        <v>74</v>
      </c>
      <c r="I16" s="29">
        <f>'MERCADO TE'!$U$13</f>
        <v>277.88899999999995</v>
      </c>
      <c r="J16" s="15"/>
      <c r="L16" s="26">
        <f>1 - CUSTOS!$M$27</f>
        <v>1</v>
      </c>
      <c r="M16" s="26">
        <f>1 - CUSTOS!$M$27</f>
        <v>1</v>
      </c>
      <c r="N16" s="26">
        <f>1 - CUSTOS!$M$27</f>
        <v>1</v>
      </c>
      <c r="O16" s="26">
        <f>1 - CUSTOS!$M$27</f>
        <v>1</v>
      </c>
      <c r="P16" s="26">
        <f>1 - CUSTOS!$M$27</f>
        <v>1</v>
      </c>
      <c r="Q16" s="26"/>
      <c r="R16" s="26">
        <f>(1 - CUSTOS!$M$27)*1</f>
        <v>1</v>
      </c>
      <c r="S16" s="26"/>
      <c r="T16" s="26">
        <f>1 - CUSTOS!$M$27</f>
        <v>1</v>
      </c>
      <c r="U16" s="26">
        <f>1 - CUSTOS!$M$27</f>
        <v>1</v>
      </c>
      <c r="V16" s="26">
        <f>1 - CUSTOS!$M$27</f>
        <v>1</v>
      </c>
      <c r="W16" s="26"/>
      <c r="X16" s="26"/>
      <c r="Y16" s="26"/>
      <c r="Z16" s="26">
        <f>1 - CUSTOS!$M$27</f>
        <v>1</v>
      </c>
      <c r="AA16" s="26"/>
      <c r="AB16" s="26"/>
    </row>
    <row r="17" spans="1:28" ht="11.25" customHeight="1" x14ac:dyDescent="0.25">
      <c r="A17" s="99"/>
      <c r="B17" s="99" t="s">
        <v>88</v>
      </c>
      <c r="C17" s="99" t="s">
        <v>24</v>
      </c>
      <c r="D17" s="28" t="s">
        <v>24</v>
      </c>
      <c r="E17" s="28" t="s">
        <v>25</v>
      </c>
      <c r="F17" s="28" t="s">
        <v>25</v>
      </c>
      <c r="G17" s="29" t="s">
        <v>80</v>
      </c>
      <c r="H17" s="29" t="s">
        <v>74</v>
      </c>
      <c r="I17" s="29">
        <f>'MERCADO TE'!$U$14</f>
        <v>0</v>
      </c>
      <c r="J17" s="15"/>
      <c r="L17" s="26">
        <v>1</v>
      </c>
      <c r="M17" s="26">
        <v>1</v>
      </c>
      <c r="N17" s="26">
        <v>1</v>
      </c>
      <c r="O17" s="26">
        <v>1</v>
      </c>
      <c r="P17" s="26">
        <v>1</v>
      </c>
      <c r="Q17" s="26"/>
      <c r="R17" s="26">
        <v>1</v>
      </c>
      <c r="S17" s="26"/>
      <c r="T17" s="26">
        <v>1</v>
      </c>
      <c r="U17" s="26">
        <v>1</v>
      </c>
      <c r="V17" s="26">
        <v>1</v>
      </c>
      <c r="W17" s="26"/>
      <c r="X17" s="26"/>
      <c r="Y17" s="26"/>
      <c r="Z17" s="26">
        <v>1</v>
      </c>
      <c r="AA17" s="26"/>
      <c r="AB17" s="26"/>
    </row>
    <row r="18" spans="1:28" ht="11.25" customHeight="1" x14ac:dyDescent="0.25">
      <c r="A18" s="99"/>
      <c r="B18" s="99"/>
      <c r="C18" s="99"/>
      <c r="D18" s="28" t="s">
        <v>29</v>
      </c>
      <c r="E18" s="28" t="s">
        <v>25</v>
      </c>
      <c r="F18" s="28" t="s">
        <v>25</v>
      </c>
      <c r="G18" s="29" t="s">
        <v>80</v>
      </c>
      <c r="H18" s="29" t="s">
        <v>74</v>
      </c>
      <c r="I18" s="29">
        <f>'MERCADO TE'!$U$15</f>
        <v>0</v>
      </c>
      <c r="J18" s="15"/>
      <c r="L18" s="26">
        <f>1 - CUSTOS!$M$24</f>
        <v>1</v>
      </c>
      <c r="M18" s="26">
        <f>1 - CUSTOS!$M$24</f>
        <v>1</v>
      </c>
      <c r="N18" s="26">
        <f>1 - CUSTOS!$M$24</f>
        <v>1</v>
      </c>
      <c r="O18" s="26">
        <f>1 - CUSTOS!$M$24</f>
        <v>1</v>
      </c>
      <c r="P18" s="26">
        <f>1 - CUSTOS!$M$24</f>
        <v>1</v>
      </c>
      <c r="Q18" s="26"/>
      <c r="R18" s="26">
        <f>(1 - CUSTOS!$M$24)*1</f>
        <v>1</v>
      </c>
      <c r="S18" s="26"/>
      <c r="T18" s="26">
        <f>1 - CUSTOS!$M$24</f>
        <v>1</v>
      </c>
      <c r="U18" s="26">
        <f>1 - CUSTOS!$M$24</f>
        <v>1</v>
      </c>
      <c r="V18" s="26">
        <f>1 - CUSTOS!$M$24</f>
        <v>1</v>
      </c>
      <c r="W18" s="26"/>
      <c r="X18" s="26"/>
      <c r="Y18" s="26"/>
      <c r="Z18" s="26">
        <f>1 - CUSTOS!$M$24</f>
        <v>1</v>
      </c>
      <c r="AA18" s="26"/>
      <c r="AB18" s="26"/>
    </row>
    <row r="19" spans="1:28" ht="11.25" customHeight="1" x14ac:dyDescent="0.25">
      <c r="A19" s="99"/>
      <c r="B19" s="99"/>
      <c r="C19" s="99"/>
      <c r="D19" s="28" t="s">
        <v>30</v>
      </c>
      <c r="E19" s="28" t="s">
        <v>25</v>
      </c>
      <c r="F19" s="28" t="s">
        <v>25</v>
      </c>
      <c r="G19" s="29" t="s">
        <v>80</v>
      </c>
      <c r="H19" s="29" t="s">
        <v>74</v>
      </c>
      <c r="I19" s="29">
        <f>'MERCADO TE'!$U$16</f>
        <v>0</v>
      </c>
      <c r="J19" s="15"/>
      <c r="L19" s="26">
        <f>1 - CUSTOS!$M$25</f>
        <v>1</v>
      </c>
      <c r="M19" s="26">
        <f>1 - CUSTOS!$M$25</f>
        <v>1</v>
      </c>
      <c r="N19" s="26">
        <f>1 - CUSTOS!$M$25</f>
        <v>1</v>
      </c>
      <c r="O19" s="26">
        <f>1 - CUSTOS!$M$25</f>
        <v>1</v>
      </c>
      <c r="P19" s="26">
        <f>1 - CUSTOS!$M$25</f>
        <v>1</v>
      </c>
      <c r="Q19" s="26"/>
      <c r="R19" s="26">
        <f>(1 - CUSTOS!$M$25)*1</f>
        <v>1</v>
      </c>
      <c r="S19" s="26"/>
      <c r="T19" s="26">
        <f>1 - CUSTOS!$M$25</f>
        <v>1</v>
      </c>
      <c r="U19" s="26">
        <f>1 - CUSTOS!$M$25</f>
        <v>1</v>
      </c>
      <c r="V19" s="26">
        <f>1 - CUSTOS!$M$25</f>
        <v>1</v>
      </c>
      <c r="W19" s="26"/>
      <c r="X19" s="26"/>
      <c r="Y19" s="26"/>
      <c r="Z19" s="26">
        <f>1 - CUSTOS!$M$25</f>
        <v>1</v>
      </c>
      <c r="AA19" s="26"/>
      <c r="AB19" s="26"/>
    </row>
    <row r="20" spans="1:28" ht="11.25" customHeight="1" x14ac:dyDescent="0.25">
      <c r="A20" s="99"/>
      <c r="B20" s="99"/>
      <c r="C20" s="99"/>
      <c r="D20" s="28" t="s">
        <v>31</v>
      </c>
      <c r="E20" s="28" t="s">
        <v>25</v>
      </c>
      <c r="F20" s="28" t="s">
        <v>25</v>
      </c>
      <c r="G20" s="29" t="s">
        <v>80</v>
      </c>
      <c r="H20" s="29" t="s">
        <v>74</v>
      </c>
      <c r="I20" s="29">
        <f>'MERCADO TE'!$U$17</f>
        <v>0</v>
      </c>
      <c r="J20" s="15"/>
      <c r="L20" s="26">
        <f>1 - CUSTOS!$M$26</f>
        <v>1</v>
      </c>
      <c r="M20" s="26">
        <f>1 - CUSTOS!$M$26</f>
        <v>1</v>
      </c>
      <c r="N20" s="26">
        <f>1 - CUSTOS!$M$26</f>
        <v>1</v>
      </c>
      <c r="O20" s="26">
        <f>1 - CUSTOS!$M$26</f>
        <v>1</v>
      </c>
      <c r="P20" s="26">
        <f>1 - CUSTOS!$M$26</f>
        <v>1</v>
      </c>
      <c r="Q20" s="26"/>
      <c r="R20" s="26">
        <f>(1 - CUSTOS!$M$26)*1</f>
        <v>1</v>
      </c>
      <c r="S20" s="26"/>
      <c r="T20" s="26">
        <f>1 - CUSTOS!$M$26</f>
        <v>1</v>
      </c>
      <c r="U20" s="26">
        <f>1 - CUSTOS!$M$26</f>
        <v>1</v>
      </c>
      <c r="V20" s="26">
        <f>1 - CUSTOS!$M$26</f>
        <v>1</v>
      </c>
      <c r="W20" s="26"/>
      <c r="X20" s="26"/>
      <c r="Y20" s="26"/>
      <c r="Z20" s="26">
        <f>1 - CUSTOS!$M$26</f>
        <v>1</v>
      </c>
      <c r="AA20" s="26"/>
      <c r="AB20" s="26"/>
    </row>
    <row r="21" spans="1:28" ht="11.25" customHeight="1" x14ac:dyDescent="0.25">
      <c r="A21" s="99"/>
      <c r="B21" s="99"/>
      <c r="C21" s="99"/>
      <c r="D21" s="28" t="s">
        <v>32</v>
      </c>
      <c r="E21" s="28" t="s">
        <v>25</v>
      </c>
      <c r="F21" s="28" t="s">
        <v>25</v>
      </c>
      <c r="G21" s="29" t="s">
        <v>80</v>
      </c>
      <c r="H21" s="29" t="s">
        <v>74</v>
      </c>
      <c r="I21" s="29">
        <f>'MERCADO TE'!$U$18</f>
        <v>0</v>
      </c>
      <c r="J21" s="15"/>
      <c r="L21" s="26">
        <f>1 - CUSTOS!$M$27</f>
        <v>1</v>
      </c>
      <c r="M21" s="26">
        <f>1 - CUSTOS!$M$27</f>
        <v>1</v>
      </c>
      <c r="N21" s="26">
        <f>1 - CUSTOS!$M$27</f>
        <v>1</v>
      </c>
      <c r="O21" s="26">
        <f>1 - CUSTOS!$M$27</f>
        <v>1</v>
      </c>
      <c r="P21" s="26">
        <f>1 - CUSTOS!$M$27</f>
        <v>1</v>
      </c>
      <c r="Q21" s="26"/>
      <c r="R21" s="26">
        <f>(1 - CUSTOS!$M$27)*1</f>
        <v>1</v>
      </c>
      <c r="S21" s="26"/>
      <c r="T21" s="26">
        <f>1 - CUSTOS!$M$27</f>
        <v>1</v>
      </c>
      <c r="U21" s="26">
        <f>1 - CUSTOS!$M$27</f>
        <v>1</v>
      </c>
      <c r="V21" s="26">
        <f>1 - CUSTOS!$M$27</f>
        <v>1</v>
      </c>
      <c r="W21" s="26"/>
      <c r="X21" s="26"/>
      <c r="Y21" s="26"/>
      <c r="Z21" s="26">
        <f>1 - CUSTOS!$M$27</f>
        <v>1</v>
      </c>
      <c r="AA21" s="26"/>
      <c r="AB21" s="26"/>
    </row>
    <row r="22" spans="1:28" ht="11.25" customHeight="1" x14ac:dyDescent="0.25">
      <c r="A22" s="99" t="s">
        <v>42</v>
      </c>
      <c r="B22" s="99" t="s">
        <v>73</v>
      </c>
      <c r="C22" s="99" t="s">
        <v>43</v>
      </c>
      <c r="D22" s="99" t="s">
        <v>25</v>
      </c>
      <c r="E22" s="99" t="s">
        <v>25</v>
      </c>
      <c r="F22" s="99" t="s">
        <v>25</v>
      </c>
      <c r="G22" s="29" t="s">
        <v>75</v>
      </c>
      <c r="H22" s="29" t="s">
        <v>74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99"/>
      <c r="B23" s="99"/>
      <c r="C23" s="99"/>
      <c r="D23" s="99"/>
      <c r="E23" s="99"/>
      <c r="F23" s="99"/>
      <c r="G23" s="29" t="s">
        <v>86</v>
      </c>
      <c r="H23" s="29" t="s">
        <v>74</v>
      </c>
      <c r="I23" s="29">
        <f>'MERCADO TE'!$U$20</f>
        <v>0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99"/>
      <c r="B24" s="99"/>
      <c r="C24" s="99"/>
      <c r="D24" s="99"/>
      <c r="E24" s="99"/>
      <c r="F24" s="99"/>
      <c r="G24" s="29" t="s">
        <v>76</v>
      </c>
      <c r="H24" s="29" t="s">
        <v>74</v>
      </c>
      <c r="I24" s="29">
        <f>'MERCADO TE'!$U$21</f>
        <v>0</v>
      </c>
      <c r="J24" s="15"/>
      <c r="L24" s="26">
        <f>1 - CUSTOS!$M$28</f>
        <v>1</v>
      </c>
      <c r="M24" s="26">
        <f>1 - CUSTOS!$M$28</f>
        <v>1</v>
      </c>
      <c r="N24" s="26">
        <f>1 - CUSTOS!$M$28</f>
        <v>1</v>
      </c>
      <c r="O24" s="26">
        <f>1 - CUSTOS!$M$28</f>
        <v>1</v>
      </c>
      <c r="P24" s="26">
        <f>1 - CUSTOS!$M$28</f>
        <v>1</v>
      </c>
      <c r="Q24" s="26"/>
      <c r="R24" s="26">
        <f>(1 - CUSTOS!$M$28)*1</f>
        <v>1</v>
      </c>
      <c r="S24" s="26"/>
      <c r="T24" s="26">
        <f>1 - CUSTOS!$M$28</f>
        <v>1</v>
      </c>
      <c r="U24" s="26">
        <f>1 - CUSTOS!$M$28</f>
        <v>1</v>
      </c>
      <c r="V24" s="26">
        <f>1 - CUSTOS!$M$28</f>
        <v>1</v>
      </c>
      <c r="W24" s="26"/>
      <c r="X24" s="26"/>
      <c r="Y24" s="26"/>
      <c r="Z24" s="26">
        <f>1 - CUSTOS!$M$28</f>
        <v>1</v>
      </c>
      <c r="AA24" s="26"/>
      <c r="AB24" s="26"/>
    </row>
    <row r="25" spans="1:28" ht="11.25" customHeight="1" x14ac:dyDescent="0.25">
      <c r="A25" s="99"/>
      <c r="B25" s="28" t="s">
        <v>87</v>
      </c>
      <c r="C25" s="28" t="s">
        <v>43</v>
      </c>
      <c r="D25" s="28" t="s">
        <v>25</v>
      </c>
      <c r="E25" s="28" t="s">
        <v>25</v>
      </c>
      <c r="F25" s="28" t="s">
        <v>25</v>
      </c>
      <c r="G25" s="29" t="s">
        <v>80</v>
      </c>
      <c r="H25" s="29" t="s">
        <v>74</v>
      </c>
      <c r="I25" s="29">
        <f>'MERCADO TE'!$U$22</f>
        <v>15992.407000000001</v>
      </c>
      <c r="J25" s="15"/>
      <c r="L25" s="26">
        <f>1 - CUSTOS!$M$28</f>
        <v>1</v>
      </c>
      <c r="M25" s="26">
        <f>1 - CUSTOS!$M$28</f>
        <v>1</v>
      </c>
      <c r="N25" s="26">
        <f>1 - CUSTOS!$M$28</f>
        <v>1</v>
      </c>
      <c r="O25" s="26">
        <f>1 - CUSTOS!$M$28</f>
        <v>1</v>
      </c>
      <c r="P25" s="26">
        <f>1 - CUSTOS!$M$28</f>
        <v>1</v>
      </c>
      <c r="Q25" s="26"/>
      <c r="R25" s="26">
        <f>(1 - CUSTOS!$M$28)*1</f>
        <v>1</v>
      </c>
      <c r="S25" s="26"/>
      <c r="T25" s="26">
        <f>1 - CUSTOS!$M$28</f>
        <v>1</v>
      </c>
      <c r="U25" s="26">
        <f>1 - CUSTOS!$M$28</f>
        <v>1</v>
      </c>
      <c r="V25" s="26">
        <f>1 - CUSTOS!$M$28</f>
        <v>1</v>
      </c>
      <c r="W25" s="26"/>
      <c r="X25" s="26"/>
      <c r="Y25" s="26"/>
      <c r="Z25" s="26">
        <f>1 - CUSTOS!$M$28</f>
        <v>1</v>
      </c>
      <c r="AA25" s="26"/>
      <c r="AB25" s="26"/>
    </row>
    <row r="26" spans="1:28" ht="11.25" customHeight="1" x14ac:dyDescent="0.25">
      <c r="A26" s="99"/>
      <c r="B26" s="99" t="s">
        <v>73</v>
      </c>
      <c r="C26" s="99" t="s">
        <v>43</v>
      </c>
      <c r="D26" s="99" t="s">
        <v>90</v>
      </c>
      <c r="E26" s="99" t="s">
        <v>25</v>
      </c>
      <c r="F26" s="99" t="s">
        <v>25</v>
      </c>
      <c r="G26" s="29" t="s">
        <v>75</v>
      </c>
      <c r="H26" s="29" t="s">
        <v>74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99"/>
      <c r="B27" s="99"/>
      <c r="C27" s="99"/>
      <c r="D27" s="99"/>
      <c r="E27" s="99"/>
      <c r="F27" s="99"/>
      <c r="G27" s="29" t="s">
        <v>86</v>
      </c>
      <c r="H27" s="29" t="s">
        <v>74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99"/>
      <c r="B28" s="99"/>
      <c r="C28" s="99"/>
      <c r="D28" s="99"/>
      <c r="E28" s="99"/>
      <c r="F28" s="99"/>
      <c r="G28" s="29" t="s">
        <v>76</v>
      </c>
      <c r="H28" s="29" t="s">
        <v>74</v>
      </c>
      <c r="I28" s="29">
        <f>'MERCADO TE'!$U$25</f>
        <v>0</v>
      </c>
      <c r="J28" s="15"/>
      <c r="L28" s="26">
        <f>1 - CUSTOS!$M$29</f>
        <v>1</v>
      </c>
      <c r="M28" s="26">
        <f>1 - CUSTOS!$M$29</f>
        <v>1</v>
      </c>
      <c r="N28" s="26">
        <f>1 - CUSTOS!$M$29</f>
        <v>1</v>
      </c>
      <c r="O28" s="26">
        <f>1 - CUSTOS!$M$29</f>
        <v>1</v>
      </c>
      <c r="P28" s="26">
        <f>1 - CUSTOS!$M$29</f>
        <v>1</v>
      </c>
      <c r="Q28" s="26"/>
      <c r="R28" s="26">
        <f>(1 - CUSTOS!$M$29)*1</f>
        <v>1</v>
      </c>
      <c r="S28" s="26"/>
      <c r="T28" s="26">
        <f>1 - CUSTOS!$M$29</f>
        <v>1</v>
      </c>
      <c r="U28" s="26">
        <f>1 - CUSTOS!$M$29</f>
        <v>1</v>
      </c>
      <c r="V28" s="26">
        <f>1 - CUSTOS!$M$29</f>
        <v>1</v>
      </c>
      <c r="W28" s="26"/>
      <c r="X28" s="26"/>
      <c r="Y28" s="26"/>
      <c r="Z28" s="26">
        <f>1 - CUSTOS!$M$29</f>
        <v>1</v>
      </c>
      <c r="AA28" s="26"/>
      <c r="AB28" s="26"/>
    </row>
    <row r="29" spans="1:28" ht="11.25" customHeight="1" x14ac:dyDescent="0.25">
      <c r="A29" s="99"/>
      <c r="B29" s="28" t="s">
        <v>87</v>
      </c>
      <c r="C29" s="28" t="s">
        <v>43</v>
      </c>
      <c r="D29" s="28" t="s">
        <v>90</v>
      </c>
      <c r="E29" s="28" t="s">
        <v>25</v>
      </c>
      <c r="F29" s="28" t="s">
        <v>25</v>
      </c>
      <c r="G29" s="29" t="s">
        <v>80</v>
      </c>
      <c r="H29" s="29" t="s">
        <v>74</v>
      </c>
      <c r="I29" s="29">
        <f>'MERCADO TE'!$U$26</f>
        <v>0</v>
      </c>
      <c r="J29" s="15"/>
      <c r="L29" s="26">
        <f>1 - CUSTOS!$M$29</f>
        <v>1</v>
      </c>
      <c r="M29" s="26">
        <f>1 - CUSTOS!$M$29</f>
        <v>1</v>
      </c>
      <c r="N29" s="26">
        <f>1 - CUSTOS!$M$29</f>
        <v>1</v>
      </c>
      <c r="O29" s="26">
        <f>1 - CUSTOS!$M$29</f>
        <v>1</v>
      </c>
      <c r="P29" s="26">
        <f>1 - CUSTOS!$M$29</f>
        <v>1</v>
      </c>
      <c r="Q29" s="26"/>
      <c r="R29" s="26">
        <f>(1 - CUSTOS!$M$29)*1</f>
        <v>1</v>
      </c>
      <c r="S29" s="26"/>
      <c r="T29" s="26">
        <f>1 - CUSTOS!$M$29</f>
        <v>1</v>
      </c>
      <c r="U29" s="26">
        <f>1 - CUSTOS!$M$29</f>
        <v>1</v>
      </c>
      <c r="V29" s="26">
        <f>1 - CUSTOS!$M$29</f>
        <v>1</v>
      </c>
      <c r="W29" s="26"/>
      <c r="X29" s="26"/>
      <c r="Y29" s="26"/>
      <c r="Z29" s="26">
        <f>1 - CUSTOS!$M$29</f>
        <v>1</v>
      </c>
      <c r="AA29" s="26"/>
      <c r="AB29" s="26"/>
    </row>
    <row r="30" spans="1:28" ht="11.25" customHeight="1" x14ac:dyDescent="0.25">
      <c r="A30" s="99"/>
      <c r="B30" s="99" t="s">
        <v>73</v>
      </c>
      <c r="C30" s="99" t="s">
        <v>43</v>
      </c>
      <c r="D30" s="99" t="s">
        <v>91</v>
      </c>
      <c r="E30" s="99" t="s">
        <v>25</v>
      </c>
      <c r="F30" s="99" t="s">
        <v>25</v>
      </c>
      <c r="G30" s="29" t="s">
        <v>75</v>
      </c>
      <c r="H30" s="29" t="s">
        <v>74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99"/>
      <c r="B31" s="99"/>
      <c r="C31" s="99"/>
      <c r="D31" s="99"/>
      <c r="E31" s="99"/>
      <c r="F31" s="99"/>
      <c r="G31" s="29" t="s">
        <v>86</v>
      </c>
      <c r="H31" s="29" t="s">
        <v>74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99"/>
      <c r="B32" s="99"/>
      <c r="C32" s="99"/>
      <c r="D32" s="99"/>
      <c r="E32" s="99"/>
      <c r="F32" s="99"/>
      <c r="G32" s="29" t="s">
        <v>76</v>
      </c>
      <c r="H32" s="29" t="s">
        <v>74</v>
      </c>
      <c r="I32" s="29">
        <f>'MERCADO TE'!$U$29</f>
        <v>0</v>
      </c>
      <c r="J32" s="15"/>
      <c r="L32" s="26">
        <f>1 - CUSTOS!$M$30</f>
        <v>1</v>
      </c>
      <c r="M32" s="26">
        <f>1 - CUSTOS!$M$30</f>
        <v>1</v>
      </c>
      <c r="N32" s="26">
        <f>1 - CUSTOS!$M$30</f>
        <v>1</v>
      </c>
      <c r="O32" s="26">
        <f>1 - CUSTOS!$M$30</f>
        <v>1</v>
      </c>
      <c r="P32" s="26">
        <f>1 - CUSTOS!$M$30</f>
        <v>1</v>
      </c>
      <c r="Q32" s="26"/>
      <c r="R32" s="26">
        <f>(1 - CUSTOS!$M$30)*1</f>
        <v>1</v>
      </c>
      <c r="S32" s="26"/>
      <c r="T32" s="26">
        <f>1 - CUSTOS!$M$30</f>
        <v>1</v>
      </c>
      <c r="U32" s="26">
        <f>1 - CUSTOS!$M$30</f>
        <v>1</v>
      </c>
      <c r="V32" s="26">
        <f>1 - CUSTOS!$M$30</f>
        <v>1</v>
      </c>
      <c r="W32" s="26"/>
      <c r="X32" s="26"/>
      <c r="Y32" s="26"/>
      <c r="Z32" s="26">
        <f>1 - CUSTOS!$M$30</f>
        <v>1</v>
      </c>
      <c r="AA32" s="26"/>
      <c r="AB32" s="26"/>
    </row>
    <row r="33" spans="1:28" ht="11.25" customHeight="1" x14ac:dyDescent="0.25">
      <c r="A33" s="99"/>
      <c r="B33" s="28" t="s">
        <v>87</v>
      </c>
      <c r="C33" s="28" t="s">
        <v>43</v>
      </c>
      <c r="D33" s="28" t="s">
        <v>91</v>
      </c>
      <c r="E33" s="28" t="s">
        <v>25</v>
      </c>
      <c r="F33" s="28" t="s">
        <v>25</v>
      </c>
      <c r="G33" s="29" t="s">
        <v>80</v>
      </c>
      <c r="H33" s="29" t="s">
        <v>74</v>
      </c>
      <c r="I33" s="29">
        <f>'MERCADO TE'!$U$30</f>
        <v>0</v>
      </c>
      <c r="J33" s="15"/>
      <c r="L33" s="26">
        <f>1 - CUSTOS!$M$30</f>
        <v>1</v>
      </c>
      <c r="M33" s="26">
        <f>1 - CUSTOS!$M$30</f>
        <v>1</v>
      </c>
      <c r="N33" s="26">
        <f>1 - CUSTOS!$M$30</f>
        <v>1</v>
      </c>
      <c r="O33" s="26">
        <f>1 - CUSTOS!$M$30</f>
        <v>1</v>
      </c>
      <c r="P33" s="26">
        <f>1 - CUSTOS!$M$30</f>
        <v>1</v>
      </c>
      <c r="Q33" s="26"/>
      <c r="R33" s="26">
        <f>(1 - CUSTOS!$M$30)*1</f>
        <v>1</v>
      </c>
      <c r="S33" s="26"/>
      <c r="T33" s="26">
        <f>1 - CUSTOS!$M$30</f>
        <v>1</v>
      </c>
      <c r="U33" s="26">
        <f>1 - CUSTOS!$M$30</f>
        <v>1</v>
      </c>
      <c r="V33" s="26">
        <f>1 - CUSTOS!$M$30</f>
        <v>1</v>
      </c>
      <c r="W33" s="26"/>
      <c r="X33" s="26"/>
      <c r="Y33" s="26"/>
      <c r="Z33" s="26">
        <f>1 - CUSTOS!$M$30</f>
        <v>1</v>
      </c>
      <c r="AA33" s="26"/>
      <c r="AB33" s="26"/>
    </row>
    <row r="34" spans="1:28" ht="11.25" customHeight="1" x14ac:dyDescent="0.25">
      <c r="A34" s="99"/>
      <c r="B34" s="99" t="s">
        <v>88</v>
      </c>
      <c r="C34" s="99" t="s">
        <v>43</v>
      </c>
      <c r="D34" s="28" t="s">
        <v>25</v>
      </c>
      <c r="E34" s="28" t="s">
        <v>25</v>
      </c>
      <c r="F34" s="28" t="s">
        <v>25</v>
      </c>
      <c r="G34" s="29" t="s">
        <v>80</v>
      </c>
      <c r="H34" s="29" t="s">
        <v>74</v>
      </c>
      <c r="I34" s="29">
        <f>'MERCADO TE'!$U$31</f>
        <v>0</v>
      </c>
      <c r="J34" s="15"/>
      <c r="L34" s="26">
        <f>1 - CUSTOS!$M$28</f>
        <v>1</v>
      </c>
      <c r="M34" s="26">
        <f>1 - CUSTOS!$M$28</f>
        <v>1</v>
      </c>
      <c r="N34" s="26">
        <f>1 - CUSTOS!$M$28</f>
        <v>1</v>
      </c>
      <c r="O34" s="26">
        <f>1 - CUSTOS!$M$28</f>
        <v>1</v>
      </c>
      <c r="P34" s="26">
        <f>1 - CUSTOS!$M$28</f>
        <v>1</v>
      </c>
      <c r="Q34" s="26"/>
      <c r="R34" s="26">
        <f>(1 - CUSTOS!$M$28)*1</f>
        <v>1</v>
      </c>
      <c r="S34" s="26"/>
      <c r="T34" s="26">
        <f>1 - CUSTOS!$M$28</f>
        <v>1</v>
      </c>
      <c r="U34" s="26">
        <f>1 - CUSTOS!$M$28</f>
        <v>1</v>
      </c>
      <c r="V34" s="26">
        <f>1 - CUSTOS!$M$28</f>
        <v>1</v>
      </c>
      <c r="W34" s="26"/>
      <c r="X34" s="26"/>
      <c r="Y34" s="26"/>
      <c r="Z34" s="26">
        <f>1 - CUSTOS!$M$28</f>
        <v>1</v>
      </c>
      <c r="AA34" s="26"/>
      <c r="AB34" s="26"/>
    </row>
    <row r="35" spans="1:28" ht="11.25" customHeight="1" x14ac:dyDescent="0.25">
      <c r="A35" s="99"/>
      <c r="B35" s="99"/>
      <c r="C35" s="99"/>
      <c r="D35" s="28" t="s">
        <v>90</v>
      </c>
      <c r="E35" s="28" t="s">
        <v>25</v>
      </c>
      <c r="F35" s="28" t="s">
        <v>25</v>
      </c>
      <c r="G35" s="29" t="s">
        <v>80</v>
      </c>
      <c r="H35" s="29" t="s">
        <v>74</v>
      </c>
      <c r="I35" s="29">
        <f>'MERCADO TE'!$U$32</f>
        <v>0</v>
      </c>
      <c r="J35" s="15"/>
      <c r="L35" s="26">
        <f>1 - CUSTOS!$M$29</f>
        <v>1</v>
      </c>
      <c r="M35" s="26">
        <f>1 - CUSTOS!$M$29</f>
        <v>1</v>
      </c>
      <c r="N35" s="26">
        <f>1 - CUSTOS!$M$29</f>
        <v>1</v>
      </c>
      <c r="O35" s="26">
        <f>1 - CUSTOS!$M$29</f>
        <v>1</v>
      </c>
      <c r="P35" s="26">
        <f>1 - CUSTOS!$M$29</f>
        <v>1</v>
      </c>
      <c r="Q35" s="26"/>
      <c r="R35" s="26">
        <f>(1 - CUSTOS!$M$29)*1</f>
        <v>1</v>
      </c>
      <c r="S35" s="26"/>
      <c r="T35" s="26">
        <f>1 - CUSTOS!$M$29</f>
        <v>1</v>
      </c>
      <c r="U35" s="26">
        <f>1 - CUSTOS!$M$29</f>
        <v>1</v>
      </c>
      <c r="V35" s="26">
        <f>1 - CUSTOS!$M$29</f>
        <v>1</v>
      </c>
      <c r="W35" s="26"/>
      <c r="X35" s="26"/>
      <c r="Y35" s="26"/>
      <c r="Z35" s="26">
        <f>1 - CUSTOS!$M$29</f>
        <v>1</v>
      </c>
      <c r="AA35" s="26"/>
      <c r="AB35" s="26"/>
    </row>
    <row r="36" spans="1:28" ht="11.25" customHeight="1" x14ac:dyDescent="0.25">
      <c r="A36" s="99"/>
      <c r="B36" s="99"/>
      <c r="C36" s="99"/>
      <c r="D36" s="28" t="s">
        <v>91</v>
      </c>
      <c r="E36" s="28" t="s">
        <v>25</v>
      </c>
      <c r="F36" s="28" t="s">
        <v>25</v>
      </c>
      <c r="G36" s="29" t="s">
        <v>80</v>
      </c>
      <c r="H36" s="29" t="s">
        <v>74</v>
      </c>
      <c r="I36" s="29">
        <f>'MERCADO TE'!$U$33</f>
        <v>0</v>
      </c>
      <c r="J36" s="15"/>
      <c r="L36" s="26">
        <f>1 - CUSTOS!$M$30</f>
        <v>1</v>
      </c>
      <c r="M36" s="26">
        <f>1 - CUSTOS!$M$30</f>
        <v>1</v>
      </c>
      <c r="N36" s="26">
        <f>1 - CUSTOS!$M$30</f>
        <v>1</v>
      </c>
      <c r="O36" s="26">
        <f>1 - CUSTOS!$M$30</f>
        <v>1</v>
      </c>
      <c r="P36" s="26">
        <f>1 - CUSTOS!$M$30</f>
        <v>1</v>
      </c>
      <c r="Q36" s="26"/>
      <c r="R36" s="26">
        <f>(1 - CUSTOS!$M$30)*1</f>
        <v>1</v>
      </c>
      <c r="S36" s="26"/>
      <c r="T36" s="26">
        <f>1 - CUSTOS!$M$30</f>
        <v>1</v>
      </c>
      <c r="U36" s="26">
        <f>1 - CUSTOS!$M$30</f>
        <v>1</v>
      </c>
      <c r="V36" s="26">
        <f>1 - CUSTOS!$M$30</f>
        <v>1</v>
      </c>
      <c r="W36" s="26"/>
      <c r="X36" s="26"/>
      <c r="Y36" s="26"/>
      <c r="Z36" s="26">
        <f>1 - CUSTOS!$M$30</f>
        <v>1</v>
      </c>
      <c r="AA36" s="26"/>
      <c r="AB36" s="26"/>
    </row>
    <row r="37" spans="1:28" ht="11.25" customHeight="1" x14ac:dyDescent="0.25">
      <c r="A37" s="99" t="s">
        <v>33</v>
      </c>
      <c r="B37" s="99" t="s">
        <v>73</v>
      </c>
      <c r="C37" s="99" t="s">
        <v>25</v>
      </c>
      <c r="D37" s="99" t="s">
        <v>25</v>
      </c>
      <c r="E37" s="99" t="s">
        <v>25</v>
      </c>
      <c r="F37" s="99" t="s">
        <v>25</v>
      </c>
      <c r="G37" s="29" t="s">
        <v>75</v>
      </c>
      <c r="H37" s="29" t="s">
        <v>74</v>
      </c>
      <c r="I37" s="29">
        <f>'MERCADO TE'!$U$34</f>
        <v>0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99"/>
      <c r="B38" s="99"/>
      <c r="C38" s="99"/>
      <c r="D38" s="99"/>
      <c r="E38" s="99"/>
      <c r="F38" s="99"/>
      <c r="G38" s="29" t="s">
        <v>86</v>
      </c>
      <c r="H38" s="29" t="s">
        <v>74</v>
      </c>
      <c r="I38" s="29">
        <f>'MERCADO TE'!$U$35</f>
        <v>0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99"/>
      <c r="B39" s="99"/>
      <c r="C39" s="99"/>
      <c r="D39" s="99"/>
      <c r="E39" s="99"/>
      <c r="F39" s="99"/>
      <c r="G39" s="29" t="s">
        <v>76</v>
      </c>
      <c r="H39" s="29" t="s">
        <v>74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99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80</v>
      </c>
      <c r="H40" s="29" t="s">
        <v>74</v>
      </c>
      <c r="I40" s="29">
        <f>'MERCADO TE'!$U$37</f>
        <v>21501.073</v>
      </c>
      <c r="J40" s="15"/>
      <c r="L40" s="26">
        <f>1 - CUSTOS!$M$31</f>
        <v>1</v>
      </c>
      <c r="M40" s="26">
        <f>1 - CUSTOS!$M$31</f>
        <v>1</v>
      </c>
      <c r="N40" s="26">
        <f>1 - CUSTOS!$M$31</f>
        <v>1</v>
      </c>
      <c r="O40" s="26">
        <f>1 - CUSTOS!$M$31</f>
        <v>1</v>
      </c>
      <c r="P40" s="26">
        <f>1 - CUSTOS!$M$31</f>
        <v>1</v>
      </c>
      <c r="Q40" s="26"/>
      <c r="R40" s="26">
        <f>(1 - CUSTOS!$M$31)*1</f>
        <v>1</v>
      </c>
      <c r="S40" s="26"/>
      <c r="T40" s="26">
        <f>1 - CUSTOS!$M$31</f>
        <v>1</v>
      </c>
      <c r="U40" s="26">
        <f>1 - CUSTOS!$M$31</f>
        <v>1</v>
      </c>
      <c r="V40" s="26">
        <f>1 - CUSTOS!$M$31</f>
        <v>1</v>
      </c>
      <c r="W40" s="26"/>
      <c r="X40" s="26"/>
      <c r="Y40" s="26"/>
      <c r="Z40" s="26">
        <f>1 - CUSTOS!$M$31</f>
        <v>1</v>
      </c>
      <c r="AA40" s="26"/>
      <c r="AB40" s="26"/>
    </row>
    <row r="41" spans="1:28" ht="11.25" customHeight="1" x14ac:dyDescent="0.25">
      <c r="A41" s="99"/>
      <c r="B41" s="28" t="s">
        <v>88</v>
      </c>
      <c r="C41" s="28" t="s">
        <v>25</v>
      </c>
      <c r="D41" s="28" t="s">
        <v>25</v>
      </c>
      <c r="E41" s="28" t="s">
        <v>25</v>
      </c>
      <c r="F41" s="28" t="s">
        <v>25</v>
      </c>
      <c r="G41" s="29" t="s">
        <v>80</v>
      </c>
      <c r="H41" s="29" t="s">
        <v>74</v>
      </c>
      <c r="I41" s="29">
        <f>'MERCADO TE'!$U$38</f>
        <v>0</v>
      </c>
      <c r="J41" s="15"/>
      <c r="L41" s="26">
        <f>1 - CUSTOS!$M$31</f>
        <v>1</v>
      </c>
      <c r="M41" s="26">
        <f>1 - CUSTOS!$M$31</f>
        <v>1</v>
      </c>
      <c r="N41" s="26">
        <f>1 - CUSTOS!$M$31</f>
        <v>1</v>
      </c>
      <c r="O41" s="26">
        <f>1 - CUSTOS!$M$31</f>
        <v>1</v>
      </c>
      <c r="P41" s="26">
        <f>1 - CUSTOS!$M$31</f>
        <v>1</v>
      </c>
      <c r="Q41" s="26"/>
      <c r="R41" s="26">
        <f>(1 - CUSTOS!$M$31)*1</f>
        <v>1</v>
      </c>
      <c r="S41" s="26"/>
      <c r="T41" s="26">
        <f>1 - CUSTOS!$M$31</f>
        <v>1</v>
      </c>
      <c r="U41" s="26">
        <f>1 - CUSTOS!$M$31</f>
        <v>1</v>
      </c>
      <c r="V41" s="26">
        <f>1 - CUSTOS!$M$31</f>
        <v>1</v>
      </c>
      <c r="W41" s="26"/>
      <c r="X41" s="26"/>
      <c r="Y41" s="26"/>
      <c r="Z41" s="26">
        <f>1 - CUSTOS!$M$31</f>
        <v>1</v>
      </c>
      <c r="AA41" s="26"/>
      <c r="AB41" s="26"/>
    </row>
    <row r="42" spans="1:28" ht="11.25" customHeight="1" x14ac:dyDescent="0.25">
      <c r="A42" s="99" t="s">
        <v>45</v>
      </c>
      <c r="B42" s="99" t="s">
        <v>87</v>
      </c>
      <c r="C42" s="99" t="s">
        <v>46</v>
      </c>
      <c r="D42" s="28" t="s">
        <v>47</v>
      </c>
      <c r="E42" s="28" t="s">
        <v>25</v>
      </c>
      <c r="F42" s="28" t="s">
        <v>25</v>
      </c>
      <c r="G42" s="29" t="s">
        <v>80</v>
      </c>
      <c r="H42" s="29" t="s">
        <v>74</v>
      </c>
      <c r="I42" s="29">
        <f>'MERCADO TE'!$U$39</f>
        <v>10480.718000000001</v>
      </c>
      <c r="J42" s="15"/>
      <c r="L42" s="26">
        <f>1 - CUSTOS!$M$32</f>
        <v>0.55000000000000004</v>
      </c>
      <c r="M42" s="26">
        <f>1 - CUSTOS!$M$32</f>
        <v>0.55000000000000004</v>
      </c>
      <c r="N42" s="26">
        <f>1 - CUSTOS!$M$32</f>
        <v>0.55000000000000004</v>
      </c>
      <c r="O42" s="26">
        <f>1 - CUSTOS!$M$32</f>
        <v>0.55000000000000004</v>
      </c>
      <c r="P42" s="26">
        <f>1 - CUSTOS!$M$32</f>
        <v>0.55000000000000004</v>
      </c>
      <c r="Q42" s="26"/>
      <c r="R42" s="26">
        <f>(1 - CUSTOS!$M$32)*1</f>
        <v>0.55000000000000004</v>
      </c>
      <c r="S42" s="26"/>
      <c r="T42" s="26">
        <f>1 - CUSTOS!$M$32</f>
        <v>0.55000000000000004</v>
      </c>
      <c r="U42" s="26">
        <f>1 - CUSTOS!$M$32</f>
        <v>0.55000000000000004</v>
      </c>
      <c r="V42" s="26">
        <f>1 - CUSTOS!$M$32</f>
        <v>0.55000000000000004</v>
      </c>
      <c r="W42" s="26"/>
      <c r="X42" s="26"/>
      <c r="Y42" s="26"/>
      <c r="Z42" s="26">
        <f>1 - CUSTOS!$M$32</f>
        <v>0.55000000000000004</v>
      </c>
      <c r="AA42" s="26"/>
      <c r="AB42" s="26"/>
    </row>
    <row r="43" spans="1:28" ht="11.25" customHeight="1" x14ac:dyDescent="0.25">
      <c r="A43" s="99"/>
      <c r="B43" s="99"/>
      <c r="C43" s="99"/>
      <c r="D43" s="29" t="s">
        <v>92</v>
      </c>
      <c r="E43" s="29" t="s">
        <v>25</v>
      </c>
      <c r="F43" s="29" t="s">
        <v>25</v>
      </c>
      <c r="G43" s="29" t="s">
        <v>80</v>
      </c>
      <c r="H43" s="29" t="s">
        <v>74</v>
      </c>
      <c r="I43" s="29">
        <f>'MERCADO TE'!$U$40</f>
        <v>0</v>
      </c>
      <c r="J43" s="15"/>
      <c r="L43" s="26">
        <f>1 - CUSTOS!$M$33</f>
        <v>0.6</v>
      </c>
      <c r="M43" s="26">
        <f>1 - CUSTOS!$M$33</f>
        <v>0.6</v>
      </c>
      <c r="N43" s="26">
        <f>1 - CUSTOS!$M$33</f>
        <v>0.6</v>
      </c>
      <c r="O43" s="26">
        <f>1 - CUSTOS!$M$33</f>
        <v>0.6</v>
      </c>
      <c r="P43" s="26">
        <f>1 - CUSTOS!$M$33</f>
        <v>0.6</v>
      </c>
      <c r="Q43" s="26"/>
      <c r="R43" s="26">
        <f>(1 - CUSTOS!$M$33)*1</f>
        <v>0.6</v>
      </c>
      <c r="S43" s="26"/>
      <c r="T43" s="26">
        <f>1 - CUSTOS!$M$33</f>
        <v>0.6</v>
      </c>
      <c r="U43" s="26">
        <f>1 - CUSTOS!$M$33</f>
        <v>0.6</v>
      </c>
      <c r="V43" s="26">
        <f>1 - CUSTOS!$M$33</f>
        <v>0.6</v>
      </c>
      <c r="W43" s="26"/>
      <c r="X43" s="26"/>
      <c r="Y43" s="26"/>
      <c r="Z43" s="26">
        <f>1 - CUSTOS!$M$33</f>
        <v>0.6</v>
      </c>
      <c r="AA43" s="26"/>
      <c r="AB43" s="26"/>
    </row>
    <row r="45" spans="1:28" ht="11.25" customHeight="1" x14ac:dyDescent="0.25">
      <c r="K45" s="31" t="s">
        <v>571</v>
      </c>
      <c r="L45" s="26">
        <f t="shared" ref="L45:AB45" si="0">SUMPRODUCT($I$5:$I$43,L$5:L$43)</f>
        <v>332077.14990000002</v>
      </c>
      <c r="M45" s="26">
        <f t="shared" si="0"/>
        <v>332077.14990000002</v>
      </c>
      <c r="N45" s="26">
        <f t="shared" si="0"/>
        <v>332077.14990000002</v>
      </c>
      <c r="O45" s="26">
        <f t="shared" si="0"/>
        <v>332077.14990000002</v>
      </c>
      <c r="P45" s="26">
        <f t="shared" si="0"/>
        <v>332077.14990000002</v>
      </c>
      <c r="Q45" s="26">
        <f t="shared" si="0"/>
        <v>0</v>
      </c>
      <c r="R45" s="26">
        <f t="shared" si="0"/>
        <v>332077.14990000002</v>
      </c>
      <c r="S45" s="26">
        <f t="shared" si="0"/>
        <v>0</v>
      </c>
      <c r="T45" s="26">
        <f t="shared" si="0"/>
        <v>332077.14990000002</v>
      </c>
      <c r="U45" s="26">
        <f t="shared" si="0"/>
        <v>332077.14990000002</v>
      </c>
      <c r="V45" s="26">
        <f t="shared" si="0"/>
        <v>332077.14990000002</v>
      </c>
      <c r="W45" s="26">
        <f t="shared" si="0"/>
        <v>0</v>
      </c>
      <c r="X45" s="26">
        <f t="shared" si="0"/>
        <v>0</v>
      </c>
      <c r="Y45" s="26">
        <f t="shared" si="0"/>
        <v>0</v>
      </c>
      <c r="Z45" s="26">
        <f t="shared" si="0"/>
        <v>332077.14990000002</v>
      </c>
      <c r="AA45" s="26">
        <f t="shared" si="0"/>
        <v>0</v>
      </c>
      <c r="AB45" s="26">
        <f t="shared" si="0"/>
        <v>0</v>
      </c>
    </row>
    <row r="46" spans="1:28" ht="11.25" customHeight="1" x14ac:dyDescent="0.25">
      <c r="K46" s="31" t="s">
        <v>490</v>
      </c>
      <c r="L46" s="26">
        <f>CUSTOS!$D$30</f>
        <v>0</v>
      </c>
      <c r="M46" s="26">
        <f>CUSTOS!$D$31</f>
        <v>0</v>
      </c>
      <c r="N46" s="26">
        <f>CUSTOS!$D$32</f>
        <v>0</v>
      </c>
      <c r="O46" s="26">
        <f>CUSTOS!$D$33</f>
        <v>0</v>
      </c>
      <c r="P46" s="26">
        <f>CUSTOS!$D$34</f>
        <v>0</v>
      </c>
      <c r="Q46" s="26">
        <f>CUSTOS!$D$35</f>
        <v>0</v>
      </c>
      <c r="R46" s="26">
        <f>CUSTOS!$D$36</f>
        <v>38717711.038305797</v>
      </c>
      <c r="S46" s="26">
        <f>CUSTOS!$D$37</f>
        <v>38717711.038305797</v>
      </c>
      <c r="T46" s="26">
        <f>CUSTOS!$D$38</f>
        <v>0</v>
      </c>
      <c r="U46" s="26">
        <f>CUSTOS!$D$39</f>
        <v>0</v>
      </c>
      <c r="V46" s="26">
        <f>CUSTOS!$D$40</f>
        <v>0</v>
      </c>
      <c r="W46" s="26">
        <f>CUSTOS!$D$41</f>
        <v>0</v>
      </c>
      <c r="X46" s="26">
        <f>CUSTOS!$D$42</f>
        <v>0</v>
      </c>
      <c r="Y46" s="26">
        <f>CUSTOS!$D$43</f>
        <v>0</v>
      </c>
      <c r="Z46" s="26">
        <f>CUSTOS!$D$44</f>
        <v>0</v>
      </c>
      <c r="AA46" s="26">
        <f>CUSTOS!$D$45</f>
        <v>0</v>
      </c>
      <c r="AB46" s="26">
        <f>CUSTOS!$D$46</f>
        <v>38717711.038305797</v>
      </c>
    </row>
    <row r="47" spans="1:28" ht="11.25" customHeight="1" x14ac:dyDescent="0.25">
      <c r="K47" s="31" t="s">
        <v>491</v>
      </c>
      <c r="L47" s="26">
        <f>CUSTOS!$E$30</f>
        <v>0</v>
      </c>
      <c r="M47" s="26">
        <f>CUSTOS!$E$31</f>
        <v>0</v>
      </c>
      <c r="N47" s="26">
        <f>CUSTOS!$E$32</f>
        <v>0</v>
      </c>
      <c r="O47" s="26">
        <f>CUSTOS!$E$33</f>
        <v>0</v>
      </c>
      <c r="P47" s="26">
        <f>CUSTOS!$E$34</f>
        <v>0</v>
      </c>
      <c r="Q47" s="26">
        <f>CUSTOS!$E$35</f>
        <v>0</v>
      </c>
      <c r="R47" s="26">
        <f>CUSTOS!$E$36</f>
        <v>-606777.67560267111</v>
      </c>
      <c r="S47" s="26">
        <f>CUSTOS!$E$37</f>
        <v>-606777.67560267111</v>
      </c>
      <c r="T47" s="26">
        <f>CUSTOS!$E$38</f>
        <v>0</v>
      </c>
      <c r="U47" s="26">
        <f>CUSTOS!$E$39</f>
        <v>0</v>
      </c>
      <c r="V47" s="26">
        <f>CUSTOS!$E$40</f>
        <v>0</v>
      </c>
      <c r="W47" s="26">
        <f>CUSTOS!$E$41</f>
        <v>0</v>
      </c>
      <c r="X47" s="26">
        <f>CUSTOS!$E$42</f>
        <v>0</v>
      </c>
      <c r="Y47" s="26">
        <f>CUSTOS!$E$43</f>
        <v>0</v>
      </c>
      <c r="Z47" s="26">
        <f>CUSTOS!$E$44</f>
        <v>0</v>
      </c>
      <c r="AA47" s="26">
        <f>CUSTOS!$E$45</f>
        <v>0</v>
      </c>
      <c r="AB47" s="26">
        <f>CUSTOS!$E$46</f>
        <v>-606777.67560267111</v>
      </c>
    </row>
    <row r="48" spans="1:28" ht="11.25" customHeight="1" x14ac:dyDescent="0.25">
      <c r="K48" s="31" t="s">
        <v>492</v>
      </c>
      <c r="L48" s="26">
        <f>CUSTOS!$F$30</f>
        <v>0</v>
      </c>
      <c r="M48" s="26">
        <f>CUSTOS!$F$31</f>
        <v>0</v>
      </c>
      <c r="N48" s="26">
        <f>CUSTOS!$F$32</f>
        <v>0</v>
      </c>
      <c r="O48" s="26">
        <f>CUSTOS!$F$33</f>
        <v>0</v>
      </c>
      <c r="P48" s="26">
        <f>CUSTOS!$F$34</f>
        <v>0</v>
      </c>
      <c r="Q48" s="26">
        <f>CUSTOS!$F$35</f>
        <v>0</v>
      </c>
      <c r="R48" s="26">
        <f>CUSTOS!$F$36</f>
        <v>0</v>
      </c>
      <c r="S48" s="26">
        <f>CUSTOS!$F$37</f>
        <v>0</v>
      </c>
      <c r="T48" s="26">
        <f>CUSTOS!$F$38</f>
        <v>0</v>
      </c>
      <c r="U48" s="26">
        <f>CUSTOS!$F$39</f>
        <v>0</v>
      </c>
      <c r="V48" s="26">
        <f>CUSTOS!$F$40</f>
        <v>0</v>
      </c>
      <c r="W48" s="26">
        <f>CUSTOS!$F$41</f>
        <v>0</v>
      </c>
      <c r="X48" s="26">
        <f>CUSTOS!$F$42</f>
        <v>0</v>
      </c>
      <c r="Y48" s="26">
        <f>CUSTOS!$F$43</f>
        <v>0</v>
      </c>
      <c r="Z48" s="26">
        <f>CUSTOS!$F$44</f>
        <v>0</v>
      </c>
      <c r="AA48" s="26">
        <f>CUSTOS!$F$45</f>
        <v>0</v>
      </c>
      <c r="AB48" s="26">
        <f>CUSTOS!$F$46</f>
        <v>0</v>
      </c>
    </row>
    <row r="49" spans="11:28" ht="11.25" customHeight="1" x14ac:dyDescent="0.25">
      <c r="K49" s="31" t="s">
        <v>572</v>
      </c>
      <c r="L49" s="26">
        <f>IF(SUMPRODUCT($I$5:$I$43,$L$5:$L$43)&lt;&gt;0,L46/SUMPRODUCT($I$5:$I$43,$L$5:$L$43),0)</f>
        <v>0</v>
      </c>
      <c r="M49" s="26">
        <f>IF(SUMPRODUCT($I$5:$I$43,$M$5:$M$43)&lt;&gt;0,M46/SUMPRODUCT($I$5:$I$43,$M$5:$M$43),0)</f>
        <v>0</v>
      </c>
      <c r="N49" s="26">
        <f>IF(SUMPRODUCT($I$5:$I$43,$N$5:$N$43)&lt;&gt;0,N46/SUMPRODUCT($I$5:$I$43,$N$5:$N$43),0)</f>
        <v>0</v>
      </c>
      <c r="O49" s="26">
        <f>IF(SUMPRODUCT($I$5:$I$43,$O$5:$O$43)&lt;&gt;0,O46/SUMPRODUCT($I$5:$I$43,$O$5:$O$43),0)</f>
        <v>0</v>
      </c>
      <c r="P49" s="26">
        <f>IF(SUMPRODUCT($I$5:$I$43,$P$5:$P$43)&lt;&gt;0,P46/SUMPRODUCT($I$5:$I$43,$P$5:$P$43),0)</f>
        <v>0</v>
      </c>
      <c r="Q49" s="26"/>
      <c r="R49" s="26">
        <f>IF((CUSTOS!$M$12-CUSTOS!$M$13)&lt;&gt;0,(CUSTOS!$M$12*CUSTOS!$M$14)/(CUSTOS!$M$12-CUSTOS!$M$13),0)</f>
        <v>116.8459</v>
      </c>
      <c r="S49" s="26"/>
      <c r="T49" s="26">
        <f>IF(SUMPRODUCT($I$5:$I$43,$T$5:$T$43)&lt;&gt;0,T46/SUMPRODUCT($I$5:$I$43,$T$5:$T$43),0)</f>
        <v>0</v>
      </c>
      <c r="U49" s="26">
        <f>IF(SUMPRODUCT($I$5:$I$43,$U$5:$U$43)&lt;&gt;0,U46/SUMPRODUCT($I$5:$I$43,$U$5:$U$43),0)</f>
        <v>0</v>
      </c>
      <c r="V49" s="26">
        <f>IF(SUMPRODUCT($I$5:$I$43,$V$5:$V$43)&lt;&gt;0,V46/SUMPRODUCT($I$5:$I$43,$V$5:$V$43),0)</f>
        <v>0</v>
      </c>
      <c r="W49" s="26"/>
      <c r="X49" s="26">
        <f>IF(SUMPRODUCT($I$5:$I$43,$X$5:$X$43)&lt;&gt;0,X46/SUMPRODUCT($I$5:$I$43,$X$5:$X$43),0)</f>
        <v>0</v>
      </c>
      <c r="Y49" s="26"/>
      <c r="Z49" s="26">
        <f>IF(SUMPRODUCT($I$5:$I$43,$Z$5:$Z$43)&lt;&gt;0,Z46/SUMPRODUCT($I$5:$I$43,$Z$5:$Z$43),0)</f>
        <v>0</v>
      </c>
      <c r="AA49" s="26"/>
      <c r="AB49" s="26"/>
    </row>
    <row r="50" spans="11:28" ht="11.25" customHeight="1" x14ac:dyDescent="0.25">
      <c r="K50" s="31" t="s">
        <v>573</v>
      </c>
      <c r="L50" s="26">
        <f>IF(L45&lt;&gt;0,(L46-L49*0)/(L45-0),0)</f>
        <v>0</v>
      </c>
      <c r="M50" s="26">
        <f>IF(M45&lt;&gt;0,(M46-M49*0)/(M45-0),0)</f>
        <v>0</v>
      </c>
      <c r="N50" s="26">
        <f>IF(N45&lt;&gt;0,(N46-N49*0)/(N45-0),0)</f>
        <v>0</v>
      </c>
      <c r="O50" s="26">
        <f>IF(O45&lt;&gt;0,(O46-O49*0)/(O45-0),0)</f>
        <v>0</v>
      </c>
      <c r="P50" s="26">
        <f>IF(P45&lt;&gt;0,(P46-P49*0)/(P45-0),0)</f>
        <v>0</v>
      </c>
      <c r="Q50" s="26"/>
      <c r="R50" s="26">
        <f>IF(R45&lt;&gt;0,(R46-R49*0)/(R45-0),0)</f>
        <v>116.59251788316374</v>
      </c>
      <c r="S50" s="26"/>
      <c r="T50" s="26">
        <f>IF(T45&lt;&gt;0,(T46-T49*0)/(T45-0),0)</f>
        <v>0</v>
      </c>
      <c r="U50" s="26">
        <f>IF(U45&lt;&gt;0,(U46-U49*0)/(U45-0),0)</f>
        <v>0</v>
      </c>
      <c r="V50" s="26">
        <f>IF(V45&lt;&gt;0,(V46-V49*0)/(V45-0),0)</f>
        <v>0</v>
      </c>
      <c r="W50" s="26"/>
      <c r="X50" s="26">
        <f>IF(X45&lt;&gt;0,(X46-X49*0)/(X45-0),0)</f>
        <v>0</v>
      </c>
      <c r="Y50" s="26"/>
      <c r="Z50" s="26">
        <f>IF(Z45&lt;&gt;0,(Z46-Z49*0)/(Z45-0),0)</f>
        <v>0</v>
      </c>
      <c r="AA50" s="26"/>
      <c r="AB50" s="26"/>
    </row>
    <row r="51" spans="11:28" ht="11.25" customHeight="1" x14ac:dyDescent="0.25">
      <c r="K51" s="31" t="s">
        <v>574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</sheetData>
  <mergeCells count="67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7:E39"/>
    <mergeCell ref="F37:F39"/>
    <mergeCell ref="A42:A43"/>
    <mergeCell ref="B42:B43"/>
    <mergeCell ref="C42:C43"/>
    <mergeCell ref="B34:B36"/>
    <mergeCell ref="C34:C36"/>
    <mergeCell ref="A37:A41"/>
    <mergeCell ref="B37:B39"/>
    <mergeCell ref="C37:C39"/>
    <mergeCell ref="D37:D39"/>
    <mergeCell ref="F26:F28"/>
    <mergeCell ref="B30:B32"/>
    <mergeCell ref="C30:C32"/>
    <mergeCell ref="D30:D32"/>
    <mergeCell ref="E30:E32"/>
    <mergeCell ref="F30:F32"/>
    <mergeCell ref="A22:A36"/>
    <mergeCell ref="B22:B24"/>
    <mergeCell ref="C22:C24"/>
    <mergeCell ref="D22:D24"/>
    <mergeCell ref="E22:E24"/>
    <mergeCell ref="F22:F24"/>
    <mergeCell ref="B26:B28"/>
    <mergeCell ref="C26:C28"/>
    <mergeCell ref="D26:D28"/>
    <mergeCell ref="E26:E28"/>
    <mergeCell ref="A9:A21"/>
    <mergeCell ref="B9:B11"/>
    <mergeCell ref="C9:C11"/>
    <mergeCell ref="D9:D11"/>
    <mergeCell ref="E9:E11"/>
    <mergeCell ref="F9:F11"/>
    <mergeCell ref="B12:B16"/>
    <mergeCell ref="C12:C16"/>
    <mergeCell ref="B17:B21"/>
    <mergeCell ref="C17:C21"/>
    <mergeCell ref="F7:F8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CBDC-5E09-4796-BC90-C1C49AA2D7C4}">
  <dimension ref="A1:AB51"/>
  <sheetViews>
    <sheetView showGridLines="0" topLeftCell="L1" workbookViewId="0">
      <selection activeCell="AB45" sqref="AB4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82"/>
      <c r="L1" s="101" t="s">
        <v>575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476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449</v>
      </c>
      <c r="M3" s="101"/>
      <c r="N3" s="101"/>
      <c r="O3" s="101"/>
      <c r="P3" s="101"/>
      <c r="Q3" s="101"/>
      <c r="R3" s="101" t="s">
        <v>480</v>
      </c>
      <c r="S3" s="101"/>
      <c r="T3" s="101" t="s">
        <v>458</v>
      </c>
      <c r="U3" s="101"/>
      <c r="V3" s="101"/>
      <c r="W3" s="101"/>
      <c r="X3" s="101" t="s">
        <v>468</v>
      </c>
      <c r="Y3" s="101"/>
      <c r="Z3" s="101" t="s">
        <v>471</v>
      </c>
      <c r="AA3" s="101"/>
      <c r="AB3" s="101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451</v>
      </c>
      <c r="M4" s="30" t="s">
        <v>477</v>
      </c>
      <c r="N4" s="30" t="s">
        <v>478</v>
      </c>
      <c r="O4" s="30" t="s">
        <v>537</v>
      </c>
      <c r="P4" s="30" t="s">
        <v>479</v>
      </c>
      <c r="Q4" s="30" t="s">
        <v>457</v>
      </c>
      <c r="R4" s="30" t="s">
        <v>481</v>
      </c>
      <c r="S4" s="30" t="s">
        <v>457</v>
      </c>
      <c r="T4" s="30" t="s">
        <v>482</v>
      </c>
      <c r="U4" s="30" t="s">
        <v>483</v>
      </c>
      <c r="V4" s="30" t="s">
        <v>484</v>
      </c>
      <c r="W4" s="30" t="s">
        <v>457</v>
      </c>
      <c r="X4" s="30" t="s">
        <v>469</v>
      </c>
      <c r="Y4" s="30" t="s">
        <v>457</v>
      </c>
      <c r="Z4" s="30" t="s">
        <v>485</v>
      </c>
      <c r="AA4" s="30" t="s">
        <v>457</v>
      </c>
      <c r="AB4" s="102"/>
    </row>
    <row r="5" spans="1:28" ht="11.25" customHeight="1" x14ac:dyDescent="0.25">
      <c r="A5" s="99" t="s">
        <v>35</v>
      </c>
      <c r="B5" s="99" t="s">
        <v>73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75</v>
      </c>
      <c r="H5" s="29" t="s">
        <v>74</v>
      </c>
      <c r="I5" s="29">
        <f>'MERCADO TE'!$U$2</f>
        <v>1179.2529999999999</v>
      </c>
      <c r="J5" s="15"/>
      <c r="L5" s="26">
        <f>'TR TE'!$L$5*'TR TE'!$L$50</f>
        <v>0</v>
      </c>
      <c r="M5" s="26">
        <f>'TR TE'!$M$5*'TR TE'!$M$50</f>
        <v>0</v>
      </c>
      <c r="N5" s="26">
        <f>'TR TE'!$N$5*'TR TE'!$N$50</f>
        <v>0</v>
      </c>
      <c r="O5" s="26">
        <f>'TR TE'!$O$5*'TR TE'!$O$50</f>
        <v>0</v>
      </c>
      <c r="P5" s="26">
        <f>'TR TE'!$P$5*'TR TE'!$P$50</f>
        <v>0</v>
      </c>
      <c r="Q5" s="26">
        <f>SUM($L$5:$P$5)</f>
        <v>0</v>
      </c>
      <c r="R5" s="26">
        <f>'TR TE'!$R$5*'TR TE'!$R$50</f>
        <v>116.59251788316374</v>
      </c>
      <c r="S5" s="26">
        <f>SUM($R$5:$R$5)</f>
        <v>116.59251788316374</v>
      </c>
      <c r="T5" s="26">
        <f>'TR TE'!$T$5*'TR TE'!$T$50</f>
        <v>0</v>
      </c>
      <c r="U5" s="26">
        <f>'TR TE'!$U$5*'TR TE'!$U$50</f>
        <v>0</v>
      </c>
      <c r="V5" s="26">
        <f>'TR TE'!$V$5*'TR TE'!$V$50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TE'!$Z$50</f>
        <v>0</v>
      </c>
      <c r="AA5" s="26">
        <f>SUM($Z$5:$Z$5)</f>
        <v>0</v>
      </c>
      <c r="AB5" s="26">
        <f>SUMIF($L$4:$AA$4,"SUBTOTAL",$L$5:$AA$5)</f>
        <v>116.59251788316374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76</v>
      </c>
      <c r="H6" s="29" t="s">
        <v>74</v>
      </c>
      <c r="I6" s="29">
        <f>'MERCADO TE'!$U$3</f>
        <v>12180.129000000001</v>
      </c>
      <c r="J6" s="15"/>
      <c r="L6" s="26">
        <f>'TR TE'!$L$6*'TR TE'!$L$50</f>
        <v>0</v>
      </c>
      <c r="M6" s="26">
        <f>'TR TE'!$M$6*'TR TE'!$M$50</f>
        <v>0</v>
      </c>
      <c r="N6" s="26">
        <f>'TR TE'!$N$6*'TR TE'!$N$50</f>
        <v>0</v>
      </c>
      <c r="O6" s="26">
        <f>'TR TE'!$O$6*'TR TE'!$O$50</f>
        <v>0</v>
      </c>
      <c r="P6" s="26">
        <f>'TR TE'!$P$6*'TR TE'!$P$50</f>
        <v>0</v>
      </c>
      <c r="Q6" s="26">
        <f>SUM($L$6:$P$6)</f>
        <v>0</v>
      </c>
      <c r="R6" s="26">
        <f>'TR TE'!$R$6*'TR TE'!$R$50</f>
        <v>116.59251788316374</v>
      </c>
      <c r="S6" s="26">
        <f>SUM($R$6:$R$6)</f>
        <v>116.59251788316374</v>
      </c>
      <c r="T6" s="26">
        <f>'TR TE'!$T$6*'TR TE'!$T$50</f>
        <v>0</v>
      </c>
      <c r="U6" s="26">
        <f>'TR TE'!$U$6*'TR TE'!$U$50</f>
        <v>0</v>
      </c>
      <c r="V6" s="26">
        <f>'TR TE'!$V$6*'TR TE'!$V$50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TE'!$Z$50</f>
        <v>0</v>
      </c>
      <c r="AA6" s="26">
        <f>SUM($Z$6:$Z$6)</f>
        <v>0</v>
      </c>
      <c r="AB6" s="26">
        <f>SUMIF($L$4:$AA$4,"SUBTOTAL",$L$6:$AA$6)</f>
        <v>116.59251788316374</v>
      </c>
    </row>
    <row r="7" spans="1:28" ht="11.25" customHeight="1" x14ac:dyDescent="0.25">
      <c r="A7" s="99" t="s">
        <v>39</v>
      </c>
      <c r="B7" s="99" t="s">
        <v>73</v>
      </c>
      <c r="C7" s="99" t="s">
        <v>25</v>
      </c>
      <c r="D7" s="99" t="s">
        <v>25</v>
      </c>
      <c r="E7" s="99" t="s">
        <v>25</v>
      </c>
      <c r="F7" s="99" t="s">
        <v>25</v>
      </c>
      <c r="G7" s="29" t="s">
        <v>75</v>
      </c>
      <c r="H7" s="29" t="s">
        <v>74</v>
      </c>
      <c r="I7" s="29">
        <f>'MERCADO TE'!$U$4</f>
        <v>14718.998999999998</v>
      </c>
      <c r="J7" s="15"/>
      <c r="L7" s="26">
        <f>'TR TE'!$L$7*'TR TE'!$L$50</f>
        <v>0</v>
      </c>
      <c r="M7" s="26">
        <f>'TR TE'!$M$7*'TR TE'!$M$50</f>
        <v>0</v>
      </c>
      <c r="N7" s="26">
        <f>'TR TE'!$N$7*'TR TE'!$N$50</f>
        <v>0</v>
      </c>
      <c r="O7" s="26">
        <f>'TR TE'!$O$7*'TR TE'!$O$50</f>
        <v>0</v>
      </c>
      <c r="P7" s="26">
        <f>'TR TE'!$P$7*'TR TE'!$P$50</f>
        <v>0</v>
      </c>
      <c r="Q7" s="26">
        <f>SUM($L$7:$P$7)</f>
        <v>0</v>
      </c>
      <c r="R7" s="26">
        <f>'TR TE'!$R$7*'TR TE'!$R$50</f>
        <v>116.59251788316374</v>
      </c>
      <c r="S7" s="26">
        <f>SUM($R$7:$R$7)</f>
        <v>116.59251788316374</v>
      </c>
      <c r="T7" s="26">
        <f>'TR TE'!$T$7*'TR TE'!$T$50</f>
        <v>0</v>
      </c>
      <c r="U7" s="26">
        <f>'TR TE'!$U$7*'TR TE'!$U$50</f>
        <v>0</v>
      </c>
      <c r="V7" s="26">
        <f>'TR TE'!$V$7*'TR TE'!$V$50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TE'!$Z$50</f>
        <v>0</v>
      </c>
      <c r="AA7" s="26">
        <f>SUM($Z$7:$Z$7)</f>
        <v>0</v>
      </c>
      <c r="AB7" s="26">
        <f>SUMIF($L$4:$AA$4,"SUBTOTAL",$L$7:$AA$7)</f>
        <v>116.59251788316374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76</v>
      </c>
      <c r="H8" s="29" t="s">
        <v>74</v>
      </c>
      <c r="I8" s="29">
        <f>'MERCADO TE'!$U$5</f>
        <v>200745.10000000003</v>
      </c>
      <c r="J8" s="15"/>
      <c r="L8" s="26">
        <f>'TR TE'!$L$8*'TR TE'!$L$50</f>
        <v>0</v>
      </c>
      <c r="M8" s="26">
        <f>'TR TE'!$M$8*'TR TE'!$M$50</f>
        <v>0</v>
      </c>
      <c r="N8" s="26">
        <f>'TR TE'!$N$8*'TR TE'!$N$50</f>
        <v>0</v>
      </c>
      <c r="O8" s="26">
        <f>'TR TE'!$O$8*'TR TE'!$O$50</f>
        <v>0</v>
      </c>
      <c r="P8" s="26">
        <f>'TR TE'!$P$8*'TR TE'!$P$50</f>
        <v>0</v>
      </c>
      <c r="Q8" s="26">
        <f>SUM($L$8:$P$8)</f>
        <v>0</v>
      </c>
      <c r="R8" s="26">
        <f>'TR TE'!$R$8*'TR TE'!$R$50</f>
        <v>116.59251788316374</v>
      </c>
      <c r="S8" s="26">
        <f>SUM($R$8:$R$8)</f>
        <v>116.59251788316374</v>
      </c>
      <c r="T8" s="26">
        <f>'TR TE'!$T$8*'TR TE'!$T$50</f>
        <v>0</v>
      </c>
      <c r="U8" s="26">
        <f>'TR TE'!$U$8*'TR TE'!$U$50</f>
        <v>0</v>
      </c>
      <c r="V8" s="26">
        <f>'TR TE'!$V$8*'TR TE'!$V$50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TE'!$Z$50</f>
        <v>0</v>
      </c>
      <c r="AA8" s="26">
        <f>SUM($Z$8:$Z$8)</f>
        <v>0</v>
      </c>
      <c r="AB8" s="26">
        <f>SUMIF($L$4:$AA$4,"SUBTOTAL",$L$8:$AA$8)</f>
        <v>116.59251788316374</v>
      </c>
    </row>
    <row r="9" spans="1:28" ht="11.25" customHeight="1" x14ac:dyDescent="0.25">
      <c r="A9" s="99" t="s">
        <v>22</v>
      </c>
      <c r="B9" s="99" t="s">
        <v>73</v>
      </c>
      <c r="C9" s="99" t="s">
        <v>24</v>
      </c>
      <c r="D9" s="99" t="s">
        <v>24</v>
      </c>
      <c r="E9" s="99" t="s">
        <v>25</v>
      </c>
      <c r="F9" s="99" t="s">
        <v>25</v>
      </c>
      <c r="G9" s="29" t="s">
        <v>75</v>
      </c>
      <c r="H9" s="29" t="s">
        <v>74</v>
      </c>
      <c r="I9" s="29">
        <f>'MERCADO TE'!$U$6</f>
        <v>0.154</v>
      </c>
      <c r="J9" s="15"/>
      <c r="L9" s="26">
        <f>'TR TE'!$L$9*'TR TE'!$L$50</f>
        <v>0</v>
      </c>
      <c r="M9" s="26">
        <f>'TR TE'!$M$9*'TR TE'!$M$50</f>
        <v>0</v>
      </c>
      <c r="N9" s="26">
        <f>'TR TE'!$N$9*'TR TE'!$N$50</f>
        <v>0</v>
      </c>
      <c r="O9" s="26">
        <f>'TR TE'!$O$9*'TR TE'!$O$50</f>
        <v>0</v>
      </c>
      <c r="P9" s="26">
        <f>'TR TE'!$P$9*'TR TE'!$P$50</f>
        <v>0</v>
      </c>
      <c r="Q9" s="26">
        <f>SUM($L$9:$P$9)</f>
        <v>0</v>
      </c>
      <c r="R9" s="26">
        <f>'TR TE'!$R$9*'TR TE'!$R$50</f>
        <v>116.59251788316374</v>
      </c>
      <c r="S9" s="26">
        <f>SUM($R$9:$R$9)</f>
        <v>116.59251788316374</v>
      </c>
      <c r="T9" s="26">
        <f>'TR TE'!$T$9*'TR TE'!$T$50</f>
        <v>0</v>
      </c>
      <c r="U9" s="26">
        <f>'TR TE'!$U$9*'TR TE'!$U$50</f>
        <v>0</v>
      </c>
      <c r="V9" s="26">
        <f>'TR TE'!$V$9*'TR TE'!$V$50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TE'!$Z$50</f>
        <v>0</v>
      </c>
      <c r="AA9" s="26">
        <f>SUM($Z$9:$Z$9)</f>
        <v>0</v>
      </c>
      <c r="AB9" s="26">
        <f>SUMIF($L$4:$AA$4,"SUBTOTAL",$L$9:$AA$9)</f>
        <v>116.59251788316374</v>
      </c>
    </row>
    <row r="10" spans="1:28" ht="11.25" customHeight="1" x14ac:dyDescent="0.25">
      <c r="A10" s="99"/>
      <c r="B10" s="99"/>
      <c r="C10" s="99"/>
      <c r="D10" s="99"/>
      <c r="E10" s="99"/>
      <c r="F10" s="99"/>
      <c r="G10" s="29" t="s">
        <v>86</v>
      </c>
      <c r="H10" s="29" t="s">
        <v>74</v>
      </c>
      <c r="I10" s="29">
        <f>'MERCADO TE'!$U$7</f>
        <v>8.5999999999999993E-2</v>
      </c>
      <c r="J10" s="15"/>
      <c r="L10" s="26">
        <f>'TR TE'!$L$10*'TR TE'!$L$50</f>
        <v>0</v>
      </c>
      <c r="M10" s="26">
        <f>'TR TE'!$M$10*'TR TE'!$M$50</f>
        <v>0</v>
      </c>
      <c r="N10" s="26">
        <f>'TR TE'!$N$10*'TR TE'!$N$50</f>
        <v>0</v>
      </c>
      <c r="O10" s="26">
        <f>'TR TE'!$O$10*'TR TE'!$O$50</f>
        <v>0</v>
      </c>
      <c r="P10" s="26">
        <f>'TR TE'!$P$10*'TR TE'!$P$50</f>
        <v>0</v>
      </c>
      <c r="Q10" s="26">
        <f>SUM($L$10:$P$10)</f>
        <v>0</v>
      </c>
      <c r="R10" s="26">
        <f>'TR TE'!$R$10*'TR TE'!$R$50</f>
        <v>116.59251788316374</v>
      </c>
      <c r="S10" s="26">
        <f>SUM($R$10:$R$10)</f>
        <v>116.59251788316374</v>
      </c>
      <c r="T10" s="26">
        <f>'TR TE'!$T$10*'TR TE'!$T$50</f>
        <v>0</v>
      </c>
      <c r="U10" s="26">
        <f>'TR TE'!$U$10*'TR TE'!$U$50</f>
        <v>0</v>
      </c>
      <c r="V10" s="26">
        <f>'TR TE'!$V$10*'TR TE'!$V$50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TE'!$Z$50</f>
        <v>0</v>
      </c>
      <c r="AA10" s="26">
        <f>SUM($Z$10:$Z$10)</f>
        <v>0</v>
      </c>
      <c r="AB10" s="26">
        <f>SUMIF($L$4:$AA$4,"SUBTOTAL",$L$10:$AA$10)</f>
        <v>116.59251788316374</v>
      </c>
    </row>
    <row r="11" spans="1:28" ht="11.25" customHeight="1" x14ac:dyDescent="0.25">
      <c r="A11" s="99"/>
      <c r="B11" s="99"/>
      <c r="C11" s="99"/>
      <c r="D11" s="99"/>
      <c r="E11" s="99"/>
      <c r="F11" s="99"/>
      <c r="G11" s="29" t="s">
        <v>76</v>
      </c>
      <c r="H11" s="29" t="s">
        <v>74</v>
      </c>
      <c r="I11" s="29">
        <f>'MERCADO TE'!$U$8</f>
        <v>0.95099999999999996</v>
      </c>
      <c r="J11" s="15"/>
      <c r="L11" s="26">
        <f>'TR TE'!$L$11*'TR TE'!$L$50</f>
        <v>0</v>
      </c>
      <c r="M11" s="26">
        <f>'TR TE'!$M$11*'TR TE'!$M$50</f>
        <v>0</v>
      </c>
      <c r="N11" s="26">
        <f>'TR TE'!$N$11*'TR TE'!$N$50</f>
        <v>0</v>
      </c>
      <c r="O11" s="26">
        <f>'TR TE'!$O$11*'TR TE'!$O$50</f>
        <v>0</v>
      </c>
      <c r="P11" s="26">
        <f>'TR TE'!$P$11*'TR TE'!$P$50</f>
        <v>0</v>
      </c>
      <c r="Q11" s="26">
        <f>SUM($L$11:$P$11)</f>
        <v>0</v>
      </c>
      <c r="R11" s="26">
        <f>'TR TE'!$R$11*'TR TE'!$R$50</f>
        <v>116.59251788316374</v>
      </c>
      <c r="S11" s="26">
        <f>SUM($R$11:$R$11)</f>
        <v>116.59251788316374</v>
      </c>
      <c r="T11" s="26">
        <f>'TR TE'!$T$11*'TR TE'!$T$50</f>
        <v>0</v>
      </c>
      <c r="U11" s="26">
        <f>'TR TE'!$U$11*'TR TE'!$U$50</f>
        <v>0</v>
      </c>
      <c r="V11" s="26">
        <f>'TR TE'!$V$11*'TR TE'!$V$50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TE'!$Z$50</f>
        <v>0</v>
      </c>
      <c r="AA11" s="26">
        <f>SUM($Z$11:$Z$11)</f>
        <v>0</v>
      </c>
      <c r="AB11" s="26">
        <f>SUMIF($L$4:$AA$4,"SUBTOTAL",$L$11:$AA$11)</f>
        <v>116.59251788316374</v>
      </c>
    </row>
    <row r="12" spans="1:28" ht="11.25" customHeight="1" x14ac:dyDescent="0.25">
      <c r="A12" s="99"/>
      <c r="B12" s="99" t="s">
        <v>87</v>
      </c>
      <c r="C12" s="99" t="s">
        <v>24</v>
      </c>
      <c r="D12" s="28" t="s">
        <v>24</v>
      </c>
      <c r="E12" s="28" t="s">
        <v>25</v>
      </c>
      <c r="F12" s="28" t="s">
        <v>25</v>
      </c>
      <c r="G12" s="29" t="s">
        <v>80</v>
      </c>
      <c r="H12" s="29" t="s">
        <v>74</v>
      </c>
      <c r="I12" s="29">
        <f>'MERCADO TE'!$U$9</f>
        <v>58542.483</v>
      </c>
      <c r="J12" s="15"/>
      <c r="L12" s="26">
        <f>'TR TE'!$L$12*'TR TE'!$L$50</f>
        <v>0</v>
      </c>
      <c r="M12" s="26">
        <f>'TR TE'!$M$12*'TR TE'!$M$50</f>
        <v>0</v>
      </c>
      <c r="N12" s="26">
        <f>'TR TE'!$N$12*'TR TE'!$N$50</f>
        <v>0</v>
      </c>
      <c r="O12" s="26">
        <f>'TR TE'!$O$12*'TR TE'!$O$50</f>
        <v>0</v>
      </c>
      <c r="P12" s="26">
        <f>'TR TE'!$P$12*'TR TE'!$P$50</f>
        <v>0</v>
      </c>
      <c r="Q12" s="26">
        <f>SUM($L$12:$P$12)</f>
        <v>0</v>
      </c>
      <c r="R12" s="26">
        <f>'TR TE'!$R$12*'TR TE'!$R$50</f>
        <v>116.59251788316374</v>
      </c>
      <c r="S12" s="26">
        <f>SUM($R$12:$R$12)</f>
        <v>116.59251788316374</v>
      </c>
      <c r="T12" s="26">
        <f>'TR TE'!$T$12*'TR TE'!$T$50</f>
        <v>0</v>
      </c>
      <c r="U12" s="26">
        <f>'TR TE'!$U$12*'TR TE'!$U$50</f>
        <v>0</v>
      </c>
      <c r="V12" s="26">
        <f>'TR TE'!$V$12*'TR TE'!$V$50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TE'!$Z$50</f>
        <v>0</v>
      </c>
      <c r="AA12" s="26">
        <f>SUM($Z$12:$Z$12)</f>
        <v>0</v>
      </c>
      <c r="AB12" s="26">
        <f>SUMIF($L$4:$AA$4,"SUBTOTAL",$L$12:$AA$12)</f>
        <v>116.59251788316374</v>
      </c>
    </row>
    <row r="13" spans="1:28" ht="11.25" customHeight="1" x14ac:dyDescent="0.25">
      <c r="A13" s="99"/>
      <c r="B13" s="99"/>
      <c r="C13" s="99"/>
      <c r="D13" s="28" t="s">
        <v>29</v>
      </c>
      <c r="E13" s="28" t="s">
        <v>25</v>
      </c>
      <c r="F13" s="28" t="s">
        <v>25</v>
      </c>
      <c r="G13" s="29" t="s">
        <v>80</v>
      </c>
      <c r="H13" s="29" t="s">
        <v>74</v>
      </c>
      <c r="I13" s="29">
        <f>'MERCADO TE'!$U$10</f>
        <v>209.435</v>
      </c>
      <c r="J13" s="15"/>
      <c r="L13" s="26">
        <f>'TR TE'!$L$13*'TR TE'!$L$50</f>
        <v>0</v>
      </c>
      <c r="M13" s="26">
        <f>'TR TE'!$M$13*'TR TE'!$M$50</f>
        <v>0</v>
      </c>
      <c r="N13" s="26">
        <f>'TR TE'!$N$13*'TR TE'!$N$50</f>
        <v>0</v>
      </c>
      <c r="O13" s="26">
        <f>'TR TE'!$O$13*'TR TE'!$O$50</f>
        <v>0</v>
      </c>
      <c r="P13" s="26">
        <f>'TR TE'!$P$13*'TR TE'!$P$50</f>
        <v>0</v>
      </c>
      <c r="Q13" s="26">
        <f>SUM($L$13:$P$13)</f>
        <v>0</v>
      </c>
      <c r="R13" s="26">
        <f>'TR TE'!$R$13*'TR TE'!$R$50</f>
        <v>116.59251788316374</v>
      </c>
      <c r="S13" s="26">
        <f>SUM($R$13:$R$13)</f>
        <v>116.59251788316374</v>
      </c>
      <c r="T13" s="26">
        <f>'TR TE'!$T$13*'TR TE'!$T$50</f>
        <v>0</v>
      </c>
      <c r="U13" s="26">
        <f>'TR TE'!$U$13*'TR TE'!$U$50</f>
        <v>0</v>
      </c>
      <c r="V13" s="26">
        <f>'TR TE'!$V$13*'TR TE'!$V$50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TE'!$Z$50</f>
        <v>0</v>
      </c>
      <c r="AA13" s="26">
        <f>SUM($Z$13:$Z$13)</f>
        <v>0</v>
      </c>
      <c r="AB13" s="26">
        <f>SUMIF($L$4:$AA$4,"SUBTOTAL",$L$13:$AA$13)</f>
        <v>116.59251788316374</v>
      </c>
    </row>
    <row r="14" spans="1:28" ht="11.25" customHeight="1" x14ac:dyDescent="0.25">
      <c r="A14" s="99"/>
      <c r="B14" s="99"/>
      <c r="C14" s="99"/>
      <c r="D14" s="28" t="s">
        <v>30</v>
      </c>
      <c r="E14" s="28" t="s">
        <v>25</v>
      </c>
      <c r="F14" s="28" t="s">
        <v>25</v>
      </c>
      <c r="G14" s="29" t="s">
        <v>80</v>
      </c>
      <c r="H14" s="29" t="s">
        <v>74</v>
      </c>
      <c r="I14" s="29">
        <f>'MERCADO TE'!$U$11</f>
        <v>450.29900000000004</v>
      </c>
      <c r="J14" s="15"/>
      <c r="L14" s="26">
        <f>'TR TE'!$L$14*'TR TE'!$L$50</f>
        <v>0</v>
      </c>
      <c r="M14" s="26">
        <f>'TR TE'!$M$14*'TR TE'!$M$50</f>
        <v>0</v>
      </c>
      <c r="N14" s="26">
        <f>'TR TE'!$N$14*'TR TE'!$N$50</f>
        <v>0</v>
      </c>
      <c r="O14" s="26">
        <f>'TR TE'!$O$14*'TR TE'!$O$50</f>
        <v>0</v>
      </c>
      <c r="P14" s="26">
        <f>'TR TE'!$P$14*'TR TE'!$P$50</f>
        <v>0</v>
      </c>
      <c r="Q14" s="26">
        <f>SUM($L$14:$P$14)</f>
        <v>0</v>
      </c>
      <c r="R14" s="26">
        <f>'TR TE'!$R$14*'TR TE'!$R$50</f>
        <v>116.59251788316374</v>
      </c>
      <c r="S14" s="26">
        <f>SUM($R$14:$R$14)</f>
        <v>116.59251788316374</v>
      </c>
      <c r="T14" s="26">
        <f>'TR TE'!$T$14*'TR TE'!$T$50</f>
        <v>0</v>
      </c>
      <c r="U14" s="26">
        <f>'TR TE'!$U$14*'TR TE'!$U$50</f>
        <v>0</v>
      </c>
      <c r="V14" s="26">
        <f>'TR TE'!$V$14*'TR TE'!$V$50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TE'!$Z$50</f>
        <v>0</v>
      </c>
      <c r="AA14" s="26">
        <f>SUM($Z$14:$Z$14)</f>
        <v>0</v>
      </c>
      <c r="AB14" s="26">
        <f>SUMIF($L$4:$AA$4,"SUBTOTAL",$L$14:$AA$14)</f>
        <v>116.59251788316374</v>
      </c>
    </row>
    <row r="15" spans="1:28" ht="11.25" customHeight="1" x14ac:dyDescent="0.25">
      <c r="A15" s="99"/>
      <c r="B15" s="99"/>
      <c r="C15" s="99"/>
      <c r="D15" s="28" t="s">
        <v>31</v>
      </c>
      <c r="E15" s="28" t="s">
        <v>25</v>
      </c>
      <c r="F15" s="28" t="s">
        <v>25</v>
      </c>
      <c r="G15" s="29" t="s">
        <v>80</v>
      </c>
      <c r="H15" s="29" t="s">
        <v>74</v>
      </c>
      <c r="I15" s="29">
        <f>'MERCADO TE'!$U$12</f>
        <v>514.49699999999996</v>
      </c>
      <c r="J15" s="15"/>
      <c r="L15" s="26">
        <f>'TR TE'!$L$15*'TR TE'!$L$50</f>
        <v>0</v>
      </c>
      <c r="M15" s="26">
        <f>'TR TE'!$M$15*'TR TE'!$M$50</f>
        <v>0</v>
      </c>
      <c r="N15" s="26">
        <f>'TR TE'!$N$15*'TR TE'!$N$50</f>
        <v>0</v>
      </c>
      <c r="O15" s="26">
        <f>'TR TE'!$O$15*'TR TE'!$O$50</f>
        <v>0</v>
      </c>
      <c r="P15" s="26">
        <f>'TR TE'!$P$15*'TR TE'!$P$50</f>
        <v>0</v>
      </c>
      <c r="Q15" s="26">
        <f>SUM($L$15:$P$15)</f>
        <v>0</v>
      </c>
      <c r="R15" s="26">
        <f>'TR TE'!$R$15*'TR TE'!$R$50</f>
        <v>116.59251788316374</v>
      </c>
      <c r="S15" s="26">
        <f>SUM($R$15:$R$15)</f>
        <v>116.59251788316374</v>
      </c>
      <c r="T15" s="26">
        <f>'TR TE'!$T$15*'TR TE'!$T$50</f>
        <v>0</v>
      </c>
      <c r="U15" s="26">
        <f>'TR TE'!$U$15*'TR TE'!$U$50</f>
        <v>0</v>
      </c>
      <c r="V15" s="26">
        <f>'TR TE'!$V$15*'TR TE'!$V$50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TE'!$Z$50</f>
        <v>0</v>
      </c>
      <c r="AA15" s="26">
        <f>SUM($Z$15:$Z$15)</f>
        <v>0</v>
      </c>
      <c r="AB15" s="26">
        <f>SUMIF($L$4:$AA$4,"SUBTOTAL",$L$15:$AA$15)</f>
        <v>116.59251788316374</v>
      </c>
    </row>
    <row r="16" spans="1:28" ht="11.25" customHeight="1" x14ac:dyDescent="0.25">
      <c r="A16" s="99"/>
      <c r="B16" s="99"/>
      <c r="C16" s="99"/>
      <c r="D16" s="28" t="s">
        <v>32</v>
      </c>
      <c r="E16" s="28" t="s">
        <v>25</v>
      </c>
      <c r="F16" s="28" t="s">
        <v>25</v>
      </c>
      <c r="G16" s="29" t="s">
        <v>80</v>
      </c>
      <c r="H16" s="29" t="s">
        <v>74</v>
      </c>
      <c r="I16" s="29">
        <f>'MERCADO TE'!$U$13</f>
        <v>277.88899999999995</v>
      </c>
      <c r="J16" s="15"/>
      <c r="L16" s="26">
        <f>'TR TE'!$L$16*'TR TE'!$L$50</f>
        <v>0</v>
      </c>
      <c r="M16" s="26">
        <f>'TR TE'!$M$16*'TR TE'!$M$50</f>
        <v>0</v>
      </c>
      <c r="N16" s="26">
        <f>'TR TE'!$N$16*'TR TE'!$N$50</f>
        <v>0</v>
      </c>
      <c r="O16" s="26">
        <f>'TR TE'!$O$16*'TR TE'!$O$50</f>
        <v>0</v>
      </c>
      <c r="P16" s="26">
        <f>'TR TE'!$P$16*'TR TE'!$P$50</f>
        <v>0</v>
      </c>
      <c r="Q16" s="26">
        <f>SUM($L$16:$P$16)</f>
        <v>0</v>
      </c>
      <c r="R16" s="26">
        <f>'TR TE'!$R$16*'TR TE'!$R$50</f>
        <v>116.59251788316374</v>
      </c>
      <c r="S16" s="26">
        <f>SUM($R$16:$R$16)</f>
        <v>116.59251788316374</v>
      </c>
      <c r="T16" s="26">
        <f>'TR TE'!$T$16*'TR TE'!$T$50</f>
        <v>0</v>
      </c>
      <c r="U16" s="26">
        <f>'TR TE'!$U$16*'TR TE'!$U$50</f>
        <v>0</v>
      </c>
      <c r="V16" s="26">
        <f>'TR TE'!$V$16*'TR TE'!$V$50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TE'!$Z$50</f>
        <v>0</v>
      </c>
      <c r="AA16" s="26">
        <f>SUM($Z$16:$Z$16)</f>
        <v>0</v>
      </c>
      <c r="AB16" s="26">
        <f>SUMIF($L$4:$AA$4,"SUBTOTAL",$L$16:$AA$16)</f>
        <v>116.59251788316374</v>
      </c>
    </row>
    <row r="17" spans="1:28" ht="11.25" customHeight="1" x14ac:dyDescent="0.25">
      <c r="A17" s="99"/>
      <c r="B17" s="99" t="s">
        <v>88</v>
      </c>
      <c r="C17" s="99" t="s">
        <v>24</v>
      </c>
      <c r="D17" s="28" t="s">
        <v>24</v>
      </c>
      <c r="E17" s="28" t="s">
        <v>25</v>
      </c>
      <c r="F17" s="28" t="s">
        <v>25</v>
      </c>
      <c r="G17" s="29" t="s">
        <v>80</v>
      </c>
      <c r="H17" s="29" t="s">
        <v>74</v>
      </c>
      <c r="I17" s="29">
        <f>'MERCADO TE'!$U$14</f>
        <v>0</v>
      </c>
      <c r="J17" s="15"/>
      <c r="L17" s="26">
        <f>'TR TE'!$L$17*'TR TE'!$L$50</f>
        <v>0</v>
      </c>
      <c r="M17" s="26">
        <f>'TR TE'!$M$17*'TR TE'!$M$50</f>
        <v>0</v>
      </c>
      <c r="N17" s="26">
        <f>'TR TE'!$N$17*'TR TE'!$N$50</f>
        <v>0</v>
      </c>
      <c r="O17" s="26">
        <f>'TR TE'!$O$17*'TR TE'!$O$50</f>
        <v>0</v>
      </c>
      <c r="P17" s="26">
        <f>'TR TE'!$P$17*'TR TE'!$P$50</f>
        <v>0</v>
      </c>
      <c r="Q17" s="26">
        <f>SUM($L$17:$P$17)</f>
        <v>0</v>
      </c>
      <c r="R17" s="26">
        <f>'TR TE'!$R$17*'TR TE'!$R$50</f>
        <v>116.59251788316374</v>
      </c>
      <c r="S17" s="26">
        <f>SUM($R$17:$R$17)</f>
        <v>116.59251788316374</v>
      </c>
      <c r="T17" s="26">
        <f>'TR TE'!$T$17*'TR TE'!$T$50</f>
        <v>0</v>
      </c>
      <c r="U17" s="26">
        <f>'TR TE'!$U$17*'TR TE'!$U$50</f>
        <v>0</v>
      </c>
      <c r="V17" s="26">
        <f>'TR TE'!$V$17*'TR TE'!$V$50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TE'!$Z$50</f>
        <v>0</v>
      </c>
      <c r="AA17" s="26">
        <f>SUM($Z$17:$Z$17)</f>
        <v>0</v>
      </c>
      <c r="AB17" s="26">
        <f>SUMIF($L$4:$AA$4,"SUBTOTAL",$L$17:$AA$17)</f>
        <v>116.59251788316374</v>
      </c>
    </row>
    <row r="18" spans="1:28" ht="11.25" customHeight="1" x14ac:dyDescent="0.25">
      <c r="A18" s="99"/>
      <c r="B18" s="99"/>
      <c r="C18" s="99"/>
      <c r="D18" s="28" t="s">
        <v>29</v>
      </c>
      <c r="E18" s="28" t="s">
        <v>25</v>
      </c>
      <c r="F18" s="28" t="s">
        <v>25</v>
      </c>
      <c r="G18" s="29" t="s">
        <v>80</v>
      </c>
      <c r="H18" s="29" t="s">
        <v>74</v>
      </c>
      <c r="I18" s="29">
        <f>'MERCADO TE'!$U$15</f>
        <v>0</v>
      </c>
      <c r="J18" s="15"/>
      <c r="L18" s="26">
        <f>'TR TE'!$L$18*'TR TE'!$L$50</f>
        <v>0</v>
      </c>
      <c r="M18" s="26">
        <f>'TR TE'!$M$18*'TR TE'!$M$50</f>
        <v>0</v>
      </c>
      <c r="N18" s="26">
        <f>'TR TE'!$N$18*'TR TE'!$N$50</f>
        <v>0</v>
      </c>
      <c r="O18" s="26">
        <f>'TR TE'!$O$18*'TR TE'!$O$50</f>
        <v>0</v>
      </c>
      <c r="P18" s="26">
        <f>'TR TE'!$P$18*'TR TE'!$P$50</f>
        <v>0</v>
      </c>
      <c r="Q18" s="26">
        <f>SUM($L$18:$P$18)</f>
        <v>0</v>
      </c>
      <c r="R18" s="26">
        <f>'TR TE'!$R$18*'TR TE'!$R$50</f>
        <v>116.59251788316374</v>
      </c>
      <c r="S18" s="26">
        <f>SUM($R$18:$R$18)</f>
        <v>116.59251788316374</v>
      </c>
      <c r="T18" s="26">
        <f>'TR TE'!$T$18*'TR TE'!$T$50</f>
        <v>0</v>
      </c>
      <c r="U18" s="26">
        <f>'TR TE'!$U$18*'TR TE'!$U$50</f>
        <v>0</v>
      </c>
      <c r="V18" s="26">
        <f>'TR TE'!$V$18*'TR TE'!$V$50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TE'!$Z$50</f>
        <v>0</v>
      </c>
      <c r="AA18" s="26">
        <f>SUM($Z$18:$Z$18)</f>
        <v>0</v>
      </c>
      <c r="AB18" s="26">
        <f>SUMIF($L$4:$AA$4,"SUBTOTAL",$L$18:$AA$18)</f>
        <v>116.59251788316374</v>
      </c>
    </row>
    <row r="19" spans="1:28" ht="11.25" customHeight="1" x14ac:dyDescent="0.25">
      <c r="A19" s="99"/>
      <c r="B19" s="99"/>
      <c r="C19" s="99"/>
      <c r="D19" s="28" t="s">
        <v>30</v>
      </c>
      <c r="E19" s="28" t="s">
        <v>25</v>
      </c>
      <c r="F19" s="28" t="s">
        <v>25</v>
      </c>
      <c r="G19" s="29" t="s">
        <v>80</v>
      </c>
      <c r="H19" s="29" t="s">
        <v>74</v>
      </c>
      <c r="I19" s="29">
        <f>'MERCADO TE'!$U$16</f>
        <v>0</v>
      </c>
      <c r="J19" s="15"/>
      <c r="L19" s="26">
        <f>'TR TE'!$L$19*'TR TE'!$L$50</f>
        <v>0</v>
      </c>
      <c r="M19" s="26">
        <f>'TR TE'!$M$19*'TR TE'!$M$50</f>
        <v>0</v>
      </c>
      <c r="N19" s="26">
        <f>'TR TE'!$N$19*'TR TE'!$N$50</f>
        <v>0</v>
      </c>
      <c r="O19" s="26">
        <f>'TR TE'!$O$19*'TR TE'!$O$50</f>
        <v>0</v>
      </c>
      <c r="P19" s="26">
        <f>'TR TE'!$P$19*'TR TE'!$P$50</f>
        <v>0</v>
      </c>
      <c r="Q19" s="26">
        <f>SUM($L$19:$P$19)</f>
        <v>0</v>
      </c>
      <c r="R19" s="26">
        <f>'TR TE'!$R$19*'TR TE'!$R$50</f>
        <v>116.59251788316374</v>
      </c>
      <c r="S19" s="26">
        <f>SUM($R$19:$R$19)</f>
        <v>116.59251788316374</v>
      </c>
      <c r="T19" s="26">
        <f>'TR TE'!$T$19*'TR TE'!$T$50</f>
        <v>0</v>
      </c>
      <c r="U19" s="26">
        <f>'TR TE'!$U$19*'TR TE'!$U$50</f>
        <v>0</v>
      </c>
      <c r="V19" s="26">
        <f>'TR TE'!$V$19*'TR TE'!$V$50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TE'!$Z$50</f>
        <v>0</v>
      </c>
      <c r="AA19" s="26">
        <f>SUM($Z$19:$Z$19)</f>
        <v>0</v>
      </c>
      <c r="AB19" s="26">
        <f>SUMIF($L$4:$AA$4,"SUBTOTAL",$L$19:$AA$19)</f>
        <v>116.59251788316374</v>
      </c>
    </row>
    <row r="20" spans="1:28" ht="11.25" customHeight="1" x14ac:dyDescent="0.25">
      <c r="A20" s="99"/>
      <c r="B20" s="99"/>
      <c r="C20" s="99"/>
      <c r="D20" s="28" t="s">
        <v>31</v>
      </c>
      <c r="E20" s="28" t="s">
        <v>25</v>
      </c>
      <c r="F20" s="28" t="s">
        <v>25</v>
      </c>
      <c r="G20" s="29" t="s">
        <v>80</v>
      </c>
      <c r="H20" s="29" t="s">
        <v>74</v>
      </c>
      <c r="I20" s="29">
        <f>'MERCADO TE'!$U$17</f>
        <v>0</v>
      </c>
      <c r="J20" s="15"/>
      <c r="L20" s="26">
        <f>'TR TE'!$L$20*'TR TE'!$L$50</f>
        <v>0</v>
      </c>
      <c r="M20" s="26">
        <f>'TR TE'!$M$20*'TR TE'!$M$50</f>
        <v>0</v>
      </c>
      <c r="N20" s="26">
        <f>'TR TE'!$N$20*'TR TE'!$N$50</f>
        <v>0</v>
      </c>
      <c r="O20" s="26">
        <f>'TR TE'!$O$20*'TR TE'!$O$50</f>
        <v>0</v>
      </c>
      <c r="P20" s="26">
        <f>'TR TE'!$P$20*'TR TE'!$P$50</f>
        <v>0</v>
      </c>
      <c r="Q20" s="26">
        <f>SUM($L$20:$P$20)</f>
        <v>0</v>
      </c>
      <c r="R20" s="26">
        <f>'TR TE'!$R$20*'TR TE'!$R$50</f>
        <v>116.59251788316374</v>
      </c>
      <c r="S20" s="26">
        <f>SUM($R$20:$R$20)</f>
        <v>116.59251788316374</v>
      </c>
      <c r="T20" s="26">
        <f>'TR TE'!$T$20*'TR TE'!$T$50</f>
        <v>0</v>
      </c>
      <c r="U20" s="26">
        <f>'TR TE'!$U$20*'TR TE'!$U$50</f>
        <v>0</v>
      </c>
      <c r="V20" s="26">
        <f>'TR TE'!$V$20*'TR TE'!$V$50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TE'!$Z$50</f>
        <v>0</v>
      </c>
      <c r="AA20" s="26">
        <f>SUM($Z$20:$Z$20)</f>
        <v>0</v>
      </c>
      <c r="AB20" s="26">
        <f>SUMIF($L$4:$AA$4,"SUBTOTAL",$L$20:$AA$20)</f>
        <v>116.59251788316374</v>
      </c>
    </row>
    <row r="21" spans="1:28" ht="11.25" customHeight="1" x14ac:dyDescent="0.25">
      <c r="A21" s="99"/>
      <c r="B21" s="99"/>
      <c r="C21" s="99"/>
      <c r="D21" s="28" t="s">
        <v>32</v>
      </c>
      <c r="E21" s="28" t="s">
        <v>25</v>
      </c>
      <c r="F21" s="28" t="s">
        <v>25</v>
      </c>
      <c r="G21" s="29" t="s">
        <v>80</v>
      </c>
      <c r="H21" s="29" t="s">
        <v>74</v>
      </c>
      <c r="I21" s="29">
        <f>'MERCADO TE'!$U$18</f>
        <v>0</v>
      </c>
      <c r="J21" s="15"/>
      <c r="L21" s="26">
        <f>'TR TE'!$L$21*'TR TE'!$L$50</f>
        <v>0</v>
      </c>
      <c r="M21" s="26">
        <f>'TR TE'!$M$21*'TR TE'!$M$50</f>
        <v>0</v>
      </c>
      <c r="N21" s="26">
        <f>'TR TE'!$N$21*'TR TE'!$N$50</f>
        <v>0</v>
      </c>
      <c r="O21" s="26">
        <f>'TR TE'!$O$21*'TR TE'!$O$50</f>
        <v>0</v>
      </c>
      <c r="P21" s="26">
        <f>'TR TE'!$P$21*'TR TE'!$P$50</f>
        <v>0</v>
      </c>
      <c r="Q21" s="26">
        <f>SUM($L$21:$P$21)</f>
        <v>0</v>
      </c>
      <c r="R21" s="26">
        <f>'TR TE'!$R$21*'TR TE'!$R$50</f>
        <v>116.59251788316374</v>
      </c>
      <c r="S21" s="26">
        <f>SUM($R$21:$R$21)</f>
        <v>116.59251788316374</v>
      </c>
      <c r="T21" s="26">
        <f>'TR TE'!$T$21*'TR TE'!$T$50</f>
        <v>0</v>
      </c>
      <c r="U21" s="26">
        <f>'TR TE'!$U$21*'TR TE'!$U$50</f>
        <v>0</v>
      </c>
      <c r="V21" s="26">
        <f>'TR TE'!$V$21*'TR TE'!$V$50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TE'!$Z$50</f>
        <v>0</v>
      </c>
      <c r="AA21" s="26">
        <f>SUM($Z$21:$Z$21)</f>
        <v>0</v>
      </c>
      <c r="AB21" s="26">
        <f>SUMIF($L$4:$AA$4,"SUBTOTAL",$L$21:$AA$21)</f>
        <v>116.59251788316374</v>
      </c>
    </row>
    <row r="22" spans="1:28" ht="11.25" customHeight="1" x14ac:dyDescent="0.25">
      <c r="A22" s="99" t="s">
        <v>42</v>
      </c>
      <c r="B22" s="99" t="s">
        <v>73</v>
      </c>
      <c r="C22" s="99" t="s">
        <v>43</v>
      </c>
      <c r="D22" s="99" t="s">
        <v>25</v>
      </c>
      <c r="E22" s="99" t="s">
        <v>25</v>
      </c>
      <c r="F22" s="99" t="s">
        <v>25</v>
      </c>
      <c r="G22" s="29" t="s">
        <v>75</v>
      </c>
      <c r="H22" s="29" t="s">
        <v>74</v>
      </c>
      <c r="I22" s="29">
        <f>'MERCADO TE'!$U$19</f>
        <v>0</v>
      </c>
      <c r="J22" s="15"/>
      <c r="L22" s="26">
        <f>'TR TE'!$L$22*'TR TE'!$L$50</f>
        <v>0</v>
      </c>
      <c r="M22" s="26">
        <f>'TR TE'!$M$22*'TR TE'!$M$50</f>
        <v>0</v>
      </c>
      <c r="N22" s="26">
        <f>'TR TE'!$N$22*'TR TE'!$N$50</f>
        <v>0</v>
      </c>
      <c r="O22" s="26">
        <f>'TR TE'!$O$22*'TR TE'!$O$50</f>
        <v>0</v>
      </c>
      <c r="P22" s="26">
        <f>'TR TE'!$P$22*'TR TE'!$P$50</f>
        <v>0</v>
      </c>
      <c r="Q22" s="26">
        <f>SUM($L$22:$P$22)</f>
        <v>0</v>
      </c>
      <c r="R22" s="26">
        <f>'TR TE'!$R$22*'TR TE'!$R$50</f>
        <v>116.59251788316374</v>
      </c>
      <c r="S22" s="26">
        <f>SUM($R$22:$R$22)</f>
        <v>116.59251788316374</v>
      </c>
      <c r="T22" s="26">
        <f>'TR TE'!$T$22*'TR TE'!$T$50</f>
        <v>0</v>
      </c>
      <c r="U22" s="26">
        <f>'TR TE'!$U$22*'TR TE'!$U$50</f>
        <v>0</v>
      </c>
      <c r="V22" s="26">
        <f>'TR TE'!$V$22*'TR TE'!$V$50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TE'!$Z$50</f>
        <v>0</v>
      </c>
      <c r="AA22" s="26">
        <f>SUM($Z$22:$Z$22)</f>
        <v>0</v>
      </c>
      <c r="AB22" s="26">
        <f>SUMIF($L$4:$AA$4,"SUBTOTAL",$L$22:$AA$22)</f>
        <v>116.59251788316374</v>
      </c>
    </row>
    <row r="23" spans="1:28" ht="11.25" customHeight="1" x14ac:dyDescent="0.25">
      <c r="A23" s="99"/>
      <c r="B23" s="99"/>
      <c r="C23" s="99"/>
      <c r="D23" s="99"/>
      <c r="E23" s="99"/>
      <c r="F23" s="99"/>
      <c r="G23" s="29" t="s">
        <v>86</v>
      </c>
      <c r="H23" s="29" t="s">
        <v>74</v>
      </c>
      <c r="I23" s="29">
        <f>'MERCADO TE'!$U$20</f>
        <v>0</v>
      </c>
      <c r="J23" s="15"/>
      <c r="L23" s="26">
        <f>'TR TE'!$L$23*'TR TE'!$L$50</f>
        <v>0</v>
      </c>
      <c r="M23" s="26">
        <f>'TR TE'!$M$23*'TR TE'!$M$50</f>
        <v>0</v>
      </c>
      <c r="N23" s="26">
        <f>'TR TE'!$N$23*'TR TE'!$N$50</f>
        <v>0</v>
      </c>
      <c r="O23" s="26">
        <f>'TR TE'!$O$23*'TR TE'!$O$50</f>
        <v>0</v>
      </c>
      <c r="P23" s="26">
        <f>'TR TE'!$P$23*'TR TE'!$P$50</f>
        <v>0</v>
      </c>
      <c r="Q23" s="26">
        <f>SUM($L$23:$P$23)</f>
        <v>0</v>
      </c>
      <c r="R23" s="26">
        <f>'TR TE'!$R$23*'TR TE'!$R$50</f>
        <v>116.59251788316374</v>
      </c>
      <c r="S23" s="26">
        <f>SUM($R$23:$R$23)</f>
        <v>116.59251788316374</v>
      </c>
      <c r="T23" s="26">
        <f>'TR TE'!$T$23*'TR TE'!$T$50</f>
        <v>0</v>
      </c>
      <c r="U23" s="26">
        <f>'TR TE'!$U$23*'TR TE'!$U$50</f>
        <v>0</v>
      </c>
      <c r="V23" s="26">
        <f>'TR TE'!$V$23*'TR TE'!$V$50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TE'!$Z$50</f>
        <v>0</v>
      </c>
      <c r="AA23" s="26">
        <f>SUM($Z$23:$Z$23)</f>
        <v>0</v>
      </c>
      <c r="AB23" s="26">
        <f>SUMIF($L$4:$AA$4,"SUBTOTAL",$L$23:$AA$23)</f>
        <v>116.59251788316374</v>
      </c>
    </row>
    <row r="24" spans="1:28" ht="11.25" customHeight="1" x14ac:dyDescent="0.25">
      <c r="A24" s="99"/>
      <c r="B24" s="99"/>
      <c r="C24" s="99"/>
      <c r="D24" s="99"/>
      <c r="E24" s="99"/>
      <c r="F24" s="99"/>
      <c r="G24" s="29" t="s">
        <v>76</v>
      </c>
      <c r="H24" s="29" t="s">
        <v>74</v>
      </c>
      <c r="I24" s="29">
        <f>'MERCADO TE'!$U$21</f>
        <v>0</v>
      </c>
      <c r="J24" s="15"/>
      <c r="L24" s="26">
        <f>'TR TE'!$L$24*'TR TE'!$L$50</f>
        <v>0</v>
      </c>
      <c r="M24" s="26">
        <f>'TR TE'!$M$24*'TR TE'!$M$50</f>
        <v>0</v>
      </c>
      <c r="N24" s="26">
        <f>'TR TE'!$N$24*'TR TE'!$N$50</f>
        <v>0</v>
      </c>
      <c r="O24" s="26">
        <f>'TR TE'!$O$24*'TR TE'!$O$50</f>
        <v>0</v>
      </c>
      <c r="P24" s="26">
        <f>'TR TE'!$P$24*'TR TE'!$P$50</f>
        <v>0</v>
      </c>
      <c r="Q24" s="26">
        <f>SUM($L$24:$P$24)</f>
        <v>0</v>
      </c>
      <c r="R24" s="26">
        <f>'TR TE'!$R$24*'TR TE'!$R$50</f>
        <v>116.59251788316374</v>
      </c>
      <c r="S24" s="26">
        <f>SUM($R$24:$R$24)</f>
        <v>116.59251788316374</v>
      </c>
      <c r="T24" s="26">
        <f>'TR TE'!$T$24*'TR TE'!$T$50</f>
        <v>0</v>
      </c>
      <c r="U24" s="26">
        <f>'TR TE'!$U$24*'TR TE'!$U$50</f>
        <v>0</v>
      </c>
      <c r="V24" s="26">
        <f>'TR TE'!$V$24*'TR TE'!$V$50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TE'!$Z$50</f>
        <v>0</v>
      </c>
      <c r="AA24" s="26">
        <f>SUM($Z$24:$Z$24)</f>
        <v>0</v>
      </c>
      <c r="AB24" s="26">
        <f>SUMIF($L$4:$AA$4,"SUBTOTAL",$L$24:$AA$24)</f>
        <v>116.59251788316374</v>
      </c>
    </row>
    <row r="25" spans="1:28" ht="11.25" customHeight="1" x14ac:dyDescent="0.25">
      <c r="A25" s="99"/>
      <c r="B25" s="28" t="s">
        <v>87</v>
      </c>
      <c r="C25" s="28" t="s">
        <v>43</v>
      </c>
      <c r="D25" s="28" t="s">
        <v>25</v>
      </c>
      <c r="E25" s="28" t="s">
        <v>25</v>
      </c>
      <c r="F25" s="28" t="s">
        <v>25</v>
      </c>
      <c r="G25" s="29" t="s">
        <v>80</v>
      </c>
      <c r="H25" s="29" t="s">
        <v>74</v>
      </c>
      <c r="I25" s="29">
        <f>'MERCADO TE'!$U$22</f>
        <v>15992.407000000001</v>
      </c>
      <c r="J25" s="15"/>
      <c r="L25" s="26">
        <f>'TR TE'!$L$25*'TR TE'!$L$50</f>
        <v>0</v>
      </c>
      <c r="M25" s="26">
        <f>'TR TE'!$M$25*'TR TE'!$M$50</f>
        <v>0</v>
      </c>
      <c r="N25" s="26">
        <f>'TR TE'!$N$25*'TR TE'!$N$50</f>
        <v>0</v>
      </c>
      <c r="O25" s="26">
        <f>'TR TE'!$O$25*'TR TE'!$O$50</f>
        <v>0</v>
      </c>
      <c r="P25" s="26">
        <f>'TR TE'!$P$25*'TR TE'!$P$50</f>
        <v>0</v>
      </c>
      <c r="Q25" s="26">
        <f>SUM($L$25:$P$25)</f>
        <v>0</v>
      </c>
      <c r="R25" s="26">
        <f>'TR TE'!$R$25*'TR TE'!$R$50</f>
        <v>116.59251788316374</v>
      </c>
      <c r="S25" s="26">
        <f>SUM($R$25:$R$25)</f>
        <v>116.59251788316374</v>
      </c>
      <c r="T25" s="26">
        <f>'TR TE'!$T$25*'TR TE'!$T$50</f>
        <v>0</v>
      </c>
      <c r="U25" s="26">
        <f>'TR TE'!$U$25*'TR TE'!$U$50</f>
        <v>0</v>
      </c>
      <c r="V25" s="26">
        <f>'TR TE'!$V$25*'TR TE'!$V$50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TE'!$Z$50</f>
        <v>0</v>
      </c>
      <c r="AA25" s="26">
        <f>SUM($Z$25:$Z$25)</f>
        <v>0</v>
      </c>
      <c r="AB25" s="26">
        <f>SUMIF($L$4:$AA$4,"SUBTOTAL",$L$25:$AA$25)</f>
        <v>116.59251788316374</v>
      </c>
    </row>
    <row r="26" spans="1:28" ht="11.25" customHeight="1" x14ac:dyDescent="0.25">
      <c r="A26" s="99"/>
      <c r="B26" s="99" t="s">
        <v>73</v>
      </c>
      <c r="C26" s="99" t="s">
        <v>43</v>
      </c>
      <c r="D26" s="99" t="s">
        <v>90</v>
      </c>
      <c r="E26" s="99" t="s">
        <v>25</v>
      </c>
      <c r="F26" s="99" t="s">
        <v>25</v>
      </c>
      <c r="G26" s="29" t="s">
        <v>75</v>
      </c>
      <c r="H26" s="29" t="s">
        <v>74</v>
      </c>
      <c r="I26" s="29">
        <f>'MERCADO TE'!$U$23</f>
        <v>0</v>
      </c>
      <c r="J26" s="15"/>
      <c r="L26" s="26">
        <f>'TR TE'!$L$26*'TR TE'!$L$50</f>
        <v>0</v>
      </c>
      <c r="M26" s="26">
        <f>'TR TE'!$M$26*'TR TE'!$M$50</f>
        <v>0</v>
      </c>
      <c r="N26" s="26">
        <f>'TR TE'!$N$26*'TR TE'!$N$50</f>
        <v>0</v>
      </c>
      <c r="O26" s="26">
        <f>'TR TE'!$O$26*'TR TE'!$O$50</f>
        <v>0</v>
      </c>
      <c r="P26" s="26">
        <f>'TR TE'!$P$26*'TR TE'!$P$50</f>
        <v>0</v>
      </c>
      <c r="Q26" s="26">
        <f>SUM($L$26:$P$26)</f>
        <v>0</v>
      </c>
      <c r="R26" s="26">
        <f>'TR TE'!$R$26*'TR TE'!$R$50</f>
        <v>116.59251788316374</v>
      </c>
      <c r="S26" s="26">
        <f>SUM($R$26:$R$26)</f>
        <v>116.59251788316374</v>
      </c>
      <c r="T26" s="26">
        <f>'TR TE'!$T$26*'TR TE'!$T$50</f>
        <v>0</v>
      </c>
      <c r="U26" s="26">
        <f>'TR TE'!$U$26*'TR TE'!$U$50</f>
        <v>0</v>
      </c>
      <c r="V26" s="26">
        <f>'TR TE'!$V$26*'TR TE'!$V$50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TE'!$Z$50</f>
        <v>0</v>
      </c>
      <c r="AA26" s="26">
        <f>SUM($Z$26:$Z$26)</f>
        <v>0</v>
      </c>
      <c r="AB26" s="26">
        <f>SUMIF($L$4:$AA$4,"SUBTOTAL",$L$26:$AA$26)</f>
        <v>116.59251788316374</v>
      </c>
    </row>
    <row r="27" spans="1:28" ht="11.25" customHeight="1" x14ac:dyDescent="0.25">
      <c r="A27" s="99"/>
      <c r="B27" s="99"/>
      <c r="C27" s="99"/>
      <c r="D27" s="99"/>
      <c r="E27" s="99"/>
      <c r="F27" s="99"/>
      <c r="G27" s="29" t="s">
        <v>86</v>
      </c>
      <c r="H27" s="29" t="s">
        <v>74</v>
      </c>
      <c r="I27" s="29">
        <f>'MERCADO TE'!$U$24</f>
        <v>0</v>
      </c>
      <c r="J27" s="15"/>
      <c r="L27" s="26">
        <f>'TR TE'!$L$27*'TR TE'!$L$50</f>
        <v>0</v>
      </c>
      <c r="M27" s="26">
        <f>'TR TE'!$M$27*'TR TE'!$M$50</f>
        <v>0</v>
      </c>
      <c r="N27" s="26">
        <f>'TR TE'!$N$27*'TR TE'!$N$50</f>
        <v>0</v>
      </c>
      <c r="O27" s="26">
        <f>'TR TE'!$O$27*'TR TE'!$O$50</f>
        <v>0</v>
      </c>
      <c r="P27" s="26">
        <f>'TR TE'!$P$27*'TR TE'!$P$50</f>
        <v>0</v>
      </c>
      <c r="Q27" s="26">
        <f>SUM($L$27:$P$27)</f>
        <v>0</v>
      </c>
      <c r="R27" s="26">
        <f>'TR TE'!$R$27*'TR TE'!$R$50</f>
        <v>116.59251788316374</v>
      </c>
      <c r="S27" s="26">
        <f>SUM($R$27:$R$27)</f>
        <v>116.59251788316374</v>
      </c>
      <c r="T27" s="26">
        <f>'TR TE'!$T$27*'TR TE'!$T$50</f>
        <v>0</v>
      </c>
      <c r="U27" s="26">
        <f>'TR TE'!$U$27*'TR TE'!$U$50</f>
        <v>0</v>
      </c>
      <c r="V27" s="26">
        <f>'TR TE'!$V$27*'TR TE'!$V$50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TE'!$Z$50</f>
        <v>0</v>
      </c>
      <c r="AA27" s="26">
        <f>SUM($Z$27:$Z$27)</f>
        <v>0</v>
      </c>
      <c r="AB27" s="26">
        <f>SUMIF($L$4:$AA$4,"SUBTOTAL",$L$27:$AA$27)</f>
        <v>116.59251788316374</v>
      </c>
    </row>
    <row r="28" spans="1:28" ht="11.25" customHeight="1" x14ac:dyDescent="0.25">
      <c r="A28" s="99"/>
      <c r="B28" s="99"/>
      <c r="C28" s="99"/>
      <c r="D28" s="99"/>
      <c r="E28" s="99"/>
      <c r="F28" s="99"/>
      <c r="G28" s="29" t="s">
        <v>76</v>
      </c>
      <c r="H28" s="29" t="s">
        <v>74</v>
      </c>
      <c r="I28" s="29">
        <f>'MERCADO TE'!$U$25</f>
        <v>0</v>
      </c>
      <c r="J28" s="15"/>
      <c r="L28" s="26">
        <f>'TR TE'!$L$28*'TR TE'!$L$50</f>
        <v>0</v>
      </c>
      <c r="M28" s="26">
        <f>'TR TE'!$M$28*'TR TE'!$M$50</f>
        <v>0</v>
      </c>
      <c r="N28" s="26">
        <f>'TR TE'!$N$28*'TR TE'!$N$50</f>
        <v>0</v>
      </c>
      <c r="O28" s="26">
        <f>'TR TE'!$O$28*'TR TE'!$O$50</f>
        <v>0</v>
      </c>
      <c r="P28" s="26">
        <f>'TR TE'!$P$28*'TR TE'!$P$50</f>
        <v>0</v>
      </c>
      <c r="Q28" s="26">
        <f>SUM($L$28:$P$28)</f>
        <v>0</v>
      </c>
      <c r="R28" s="26">
        <f>'TR TE'!$R$28*'TR TE'!$R$50</f>
        <v>116.59251788316374</v>
      </c>
      <c r="S28" s="26">
        <f>SUM($R$28:$R$28)</f>
        <v>116.59251788316374</v>
      </c>
      <c r="T28" s="26">
        <f>'TR TE'!$T$28*'TR TE'!$T$50</f>
        <v>0</v>
      </c>
      <c r="U28" s="26">
        <f>'TR TE'!$U$28*'TR TE'!$U$50</f>
        <v>0</v>
      </c>
      <c r="V28" s="26">
        <f>'TR TE'!$V$28*'TR TE'!$V$50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TE'!$Z$50</f>
        <v>0</v>
      </c>
      <c r="AA28" s="26">
        <f>SUM($Z$28:$Z$28)</f>
        <v>0</v>
      </c>
      <c r="AB28" s="26">
        <f>SUMIF($L$4:$AA$4,"SUBTOTAL",$L$28:$AA$28)</f>
        <v>116.59251788316374</v>
      </c>
    </row>
    <row r="29" spans="1:28" ht="11.25" customHeight="1" x14ac:dyDescent="0.25">
      <c r="A29" s="99"/>
      <c r="B29" s="28" t="s">
        <v>87</v>
      </c>
      <c r="C29" s="28" t="s">
        <v>43</v>
      </c>
      <c r="D29" s="28" t="s">
        <v>90</v>
      </c>
      <c r="E29" s="28" t="s">
        <v>25</v>
      </c>
      <c r="F29" s="28" t="s">
        <v>25</v>
      </c>
      <c r="G29" s="29" t="s">
        <v>80</v>
      </c>
      <c r="H29" s="29" t="s">
        <v>74</v>
      </c>
      <c r="I29" s="29">
        <f>'MERCADO TE'!$U$26</f>
        <v>0</v>
      </c>
      <c r="J29" s="15"/>
      <c r="L29" s="26">
        <f>'TR TE'!$L$29*'TR TE'!$L$50</f>
        <v>0</v>
      </c>
      <c r="M29" s="26">
        <f>'TR TE'!$M$29*'TR TE'!$M$50</f>
        <v>0</v>
      </c>
      <c r="N29" s="26">
        <f>'TR TE'!$N$29*'TR TE'!$N$50</f>
        <v>0</v>
      </c>
      <c r="O29" s="26">
        <f>'TR TE'!$O$29*'TR TE'!$O$50</f>
        <v>0</v>
      </c>
      <c r="P29" s="26">
        <f>'TR TE'!$P$29*'TR TE'!$P$50</f>
        <v>0</v>
      </c>
      <c r="Q29" s="26">
        <f>SUM($L$29:$P$29)</f>
        <v>0</v>
      </c>
      <c r="R29" s="26">
        <f>'TR TE'!$R$29*'TR TE'!$R$50</f>
        <v>116.59251788316374</v>
      </c>
      <c r="S29" s="26">
        <f>SUM($R$29:$R$29)</f>
        <v>116.59251788316374</v>
      </c>
      <c r="T29" s="26">
        <f>'TR TE'!$T$29*'TR TE'!$T$50</f>
        <v>0</v>
      </c>
      <c r="U29" s="26">
        <f>'TR TE'!$U$29*'TR TE'!$U$50</f>
        <v>0</v>
      </c>
      <c r="V29" s="26">
        <f>'TR TE'!$V$29*'TR TE'!$V$50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TE'!$Z$50</f>
        <v>0</v>
      </c>
      <c r="AA29" s="26">
        <f>SUM($Z$29:$Z$29)</f>
        <v>0</v>
      </c>
      <c r="AB29" s="26">
        <f>SUMIF($L$4:$AA$4,"SUBTOTAL",$L$29:$AA$29)</f>
        <v>116.59251788316374</v>
      </c>
    </row>
    <row r="30" spans="1:28" ht="11.25" customHeight="1" x14ac:dyDescent="0.25">
      <c r="A30" s="99"/>
      <c r="B30" s="99" t="s">
        <v>73</v>
      </c>
      <c r="C30" s="99" t="s">
        <v>43</v>
      </c>
      <c r="D30" s="99" t="s">
        <v>91</v>
      </c>
      <c r="E30" s="99" t="s">
        <v>25</v>
      </c>
      <c r="F30" s="99" t="s">
        <v>25</v>
      </c>
      <c r="G30" s="29" t="s">
        <v>75</v>
      </c>
      <c r="H30" s="29" t="s">
        <v>74</v>
      </c>
      <c r="I30" s="29">
        <f>'MERCADO TE'!$U$27</f>
        <v>0</v>
      </c>
      <c r="J30" s="15"/>
      <c r="L30" s="26">
        <f>'TR TE'!$L$30*'TR TE'!$L$50</f>
        <v>0</v>
      </c>
      <c r="M30" s="26">
        <f>'TR TE'!$M$30*'TR TE'!$M$50</f>
        <v>0</v>
      </c>
      <c r="N30" s="26">
        <f>'TR TE'!$N$30*'TR TE'!$N$50</f>
        <v>0</v>
      </c>
      <c r="O30" s="26">
        <f>'TR TE'!$O$30*'TR TE'!$O$50</f>
        <v>0</v>
      </c>
      <c r="P30" s="26">
        <f>'TR TE'!$P$30*'TR TE'!$P$50</f>
        <v>0</v>
      </c>
      <c r="Q30" s="26">
        <f>SUM($L$30:$P$30)</f>
        <v>0</v>
      </c>
      <c r="R30" s="26">
        <f>'TR TE'!$R$30*'TR TE'!$R$50</f>
        <v>116.59251788316374</v>
      </c>
      <c r="S30" s="26">
        <f>SUM($R$30:$R$30)</f>
        <v>116.59251788316374</v>
      </c>
      <c r="T30" s="26">
        <f>'TR TE'!$T$30*'TR TE'!$T$50</f>
        <v>0</v>
      </c>
      <c r="U30" s="26">
        <f>'TR TE'!$U$30*'TR TE'!$U$50</f>
        <v>0</v>
      </c>
      <c r="V30" s="26">
        <f>'TR TE'!$V$30*'TR TE'!$V$50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TE'!$Z$50</f>
        <v>0</v>
      </c>
      <c r="AA30" s="26">
        <f>SUM($Z$30:$Z$30)</f>
        <v>0</v>
      </c>
      <c r="AB30" s="26">
        <f>SUMIF($L$4:$AA$4,"SUBTOTAL",$L$30:$AA$30)</f>
        <v>116.59251788316374</v>
      </c>
    </row>
    <row r="31" spans="1:28" ht="11.25" customHeight="1" x14ac:dyDescent="0.25">
      <c r="A31" s="99"/>
      <c r="B31" s="99"/>
      <c r="C31" s="99"/>
      <c r="D31" s="99"/>
      <c r="E31" s="99"/>
      <c r="F31" s="99"/>
      <c r="G31" s="29" t="s">
        <v>86</v>
      </c>
      <c r="H31" s="29" t="s">
        <v>74</v>
      </c>
      <c r="I31" s="29">
        <f>'MERCADO TE'!$U$28</f>
        <v>0</v>
      </c>
      <c r="J31" s="15"/>
      <c r="L31" s="26">
        <f>'TR TE'!$L$31*'TR TE'!$L$50</f>
        <v>0</v>
      </c>
      <c r="M31" s="26">
        <f>'TR TE'!$M$31*'TR TE'!$M$50</f>
        <v>0</v>
      </c>
      <c r="N31" s="26">
        <f>'TR TE'!$N$31*'TR TE'!$N$50</f>
        <v>0</v>
      </c>
      <c r="O31" s="26">
        <f>'TR TE'!$O$31*'TR TE'!$O$50</f>
        <v>0</v>
      </c>
      <c r="P31" s="26">
        <f>'TR TE'!$P$31*'TR TE'!$P$50</f>
        <v>0</v>
      </c>
      <c r="Q31" s="26">
        <f>SUM($L$31:$P$31)</f>
        <v>0</v>
      </c>
      <c r="R31" s="26">
        <f>'TR TE'!$R$31*'TR TE'!$R$50</f>
        <v>116.59251788316374</v>
      </c>
      <c r="S31" s="26">
        <f>SUM($R$31:$R$31)</f>
        <v>116.59251788316374</v>
      </c>
      <c r="T31" s="26">
        <f>'TR TE'!$T$31*'TR TE'!$T$50</f>
        <v>0</v>
      </c>
      <c r="U31" s="26">
        <f>'TR TE'!$U$31*'TR TE'!$U$50</f>
        <v>0</v>
      </c>
      <c r="V31" s="26">
        <f>'TR TE'!$V$31*'TR TE'!$V$50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TE'!$Z$50</f>
        <v>0</v>
      </c>
      <c r="AA31" s="26">
        <f>SUM($Z$31:$Z$31)</f>
        <v>0</v>
      </c>
      <c r="AB31" s="26">
        <f>SUMIF($L$4:$AA$4,"SUBTOTAL",$L$31:$AA$31)</f>
        <v>116.59251788316374</v>
      </c>
    </row>
    <row r="32" spans="1:28" ht="11.25" customHeight="1" x14ac:dyDescent="0.25">
      <c r="A32" s="99"/>
      <c r="B32" s="99"/>
      <c r="C32" s="99"/>
      <c r="D32" s="99"/>
      <c r="E32" s="99"/>
      <c r="F32" s="99"/>
      <c r="G32" s="29" t="s">
        <v>76</v>
      </c>
      <c r="H32" s="29" t="s">
        <v>74</v>
      </c>
      <c r="I32" s="29">
        <f>'MERCADO TE'!$U$29</f>
        <v>0</v>
      </c>
      <c r="J32" s="15"/>
      <c r="L32" s="26">
        <f>'TR TE'!$L$32*'TR TE'!$L$50</f>
        <v>0</v>
      </c>
      <c r="M32" s="26">
        <f>'TR TE'!$M$32*'TR TE'!$M$50</f>
        <v>0</v>
      </c>
      <c r="N32" s="26">
        <f>'TR TE'!$N$32*'TR TE'!$N$50</f>
        <v>0</v>
      </c>
      <c r="O32" s="26">
        <f>'TR TE'!$O$32*'TR TE'!$O$50</f>
        <v>0</v>
      </c>
      <c r="P32" s="26">
        <f>'TR TE'!$P$32*'TR TE'!$P$50</f>
        <v>0</v>
      </c>
      <c r="Q32" s="26">
        <f>SUM($L$32:$P$32)</f>
        <v>0</v>
      </c>
      <c r="R32" s="26">
        <f>'TR TE'!$R$32*'TR TE'!$R$50</f>
        <v>116.59251788316374</v>
      </c>
      <c r="S32" s="26">
        <f>SUM($R$32:$R$32)</f>
        <v>116.59251788316374</v>
      </c>
      <c r="T32" s="26">
        <f>'TR TE'!$T$32*'TR TE'!$T$50</f>
        <v>0</v>
      </c>
      <c r="U32" s="26">
        <f>'TR TE'!$U$32*'TR TE'!$U$50</f>
        <v>0</v>
      </c>
      <c r="V32" s="26">
        <f>'TR TE'!$V$32*'TR TE'!$V$50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TE'!$Z$50</f>
        <v>0</v>
      </c>
      <c r="AA32" s="26">
        <f>SUM($Z$32:$Z$32)</f>
        <v>0</v>
      </c>
      <c r="AB32" s="26">
        <f>SUMIF($L$4:$AA$4,"SUBTOTAL",$L$32:$AA$32)</f>
        <v>116.59251788316374</v>
      </c>
    </row>
    <row r="33" spans="1:28" ht="11.25" customHeight="1" x14ac:dyDescent="0.25">
      <c r="A33" s="99"/>
      <c r="B33" s="28" t="s">
        <v>87</v>
      </c>
      <c r="C33" s="28" t="s">
        <v>43</v>
      </c>
      <c r="D33" s="28" t="s">
        <v>91</v>
      </c>
      <c r="E33" s="28" t="s">
        <v>25</v>
      </c>
      <c r="F33" s="28" t="s">
        <v>25</v>
      </c>
      <c r="G33" s="29" t="s">
        <v>80</v>
      </c>
      <c r="H33" s="29" t="s">
        <v>74</v>
      </c>
      <c r="I33" s="29">
        <f>'MERCADO TE'!$U$30</f>
        <v>0</v>
      </c>
      <c r="J33" s="15"/>
      <c r="L33" s="26">
        <f>'TR TE'!$L$33*'TR TE'!$L$50</f>
        <v>0</v>
      </c>
      <c r="M33" s="26">
        <f>'TR TE'!$M$33*'TR TE'!$M$50</f>
        <v>0</v>
      </c>
      <c r="N33" s="26">
        <f>'TR TE'!$N$33*'TR TE'!$N$50</f>
        <v>0</v>
      </c>
      <c r="O33" s="26">
        <f>'TR TE'!$O$33*'TR TE'!$O$50</f>
        <v>0</v>
      </c>
      <c r="P33" s="26">
        <f>'TR TE'!$P$33*'TR TE'!$P$50</f>
        <v>0</v>
      </c>
      <c r="Q33" s="26">
        <f>SUM($L$33:$P$33)</f>
        <v>0</v>
      </c>
      <c r="R33" s="26">
        <f>'TR TE'!$R$33*'TR TE'!$R$50</f>
        <v>116.59251788316374</v>
      </c>
      <c r="S33" s="26">
        <f>SUM($R$33:$R$33)</f>
        <v>116.59251788316374</v>
      </c>
      <c r="T33" s="26">
        <f>'TR TE'!$T$33*'TR TE'!$T$50</f>
        <v>0</v>
      </c>
      <c r="U33" s="26">
        <f>'TR TE'!$U$33*'TR TE'!$U$50</f>
        <v>0</v>
      </c>
      <c r="V33" s="26">
        <f>'TR TE'!$V$33*'TR TE'!$V$50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TE'!$Z$50</f>
        <v>0</v>
      </c>
      <c r="AA33" s="26">
        <f>SUM($Z$33:$Z$33)</f>
        <v>0</v>
      </c>
      <c r="AB33" s="26">
        <f>SUMIF($L$4:$AA$4,"SUBTOTAL",$L$33:$AA$33)</f>
        <v>116.59251788316374</v>
      </c>
    </row>
    <row r="34" spans="1:28" ht="11.25" customHeight="1" x14ac:dyDescent="0.25">
      <c r="A34" s="99"/>
      <c r="B34" s="99" t="s">
        <v>88</v>
      </c>
      <c r="C34" s="99" t="s">
        <v>43</v>
      </c>
      <c r="D34" s="28" t="s">
        <v>25</v>
      </c>
      <c r="E34" s="28" t="s">
        <v>25</v>
      </c>
      <c r="F34" s="28" t="s">
        <v>25</v>
      </c>
      <c r="G34" s="29" t="s">
        <v>80</v>
      </c>
      <c r="H34" s="29" t="s">
        <v>74</v>
      </c>
      <c r="I34" s="29">
        <f>'MERCADO TE'!$U$31</f>
        <v>0</v>
      </c>
      <c r="J34" s="15"/>
      <c r="L34" s="26">
        <f>'TR TE'!$L$34*'TR TE'!$L$50</f>
        <v>0</v>
      </c>
      <c r="M34" s="26">
        <f>'TR TE'!$M$34*'TR TE'!$M$50</f>
        <v>0</v>
      </c>
      <c r="N34" s="26">
        <f>'TR TE'!$N$34*'TR TE'!$N$50</f>
        <v>0</v>
      </c>
      <c r="O34" s="26">
        <f>'TR TE'!$O$34*'TR TE'!$O$50</f>
        <v>0</v>
      </c>
      <c r="P34" s="26">
        <f>'TR TE'!$P$34*'TR TE'!$P$50</f>
        <v>0</v>
      </c>
      <c r="Q34" s="26">
        <f>SUM($L$34:$P$34)</f>
        <v>0</v>
      </c>
      <c r="R34" s="26">
        <f>'TR TE'!$R$34*'TR TE'!$R$50</f>
        <v>116.59251788316374</v>
      </c>
      <c r="S34" s="26">
        <f>SUM($R$34:$R$34)</f>
        <v>116.59251788316374</v>
      </c>
      <c r="T34" s="26">
        <f>'TR TE'!$T$34*'TR TE'!$T$50</f>
        <v>0</v>
      </c>
      <c r="U34" s="26">
        <f>'TR TE'!$U$34*'TR TE'!$U$50</f>
        <v>0</v>
      </c>
      <c r="V34" s="26">
        <f>'TR TE'!$V$34*'TR TE'!$V$50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TE'!$Z$50</f>
        <v>0</v>
      </c>
      <c r="AA34" s="26">
        <f>SUM($Z$34:$Z$34)</f>
        <v>0</v>
      </c>
      <c r="AB34" s="26">
        <f>SUMIF($L$4:$AA$4,"SUBTOTAL",$L$34:$AA$34)</f>
        <v>116.59251788316374</v>
      </c>
    </row>
    <row r="35" spans="1:28" ht="11.25" customHeight="1" x14ac:dyDescent="0.25">
      <c r="A35" s="99"/>
      <c r="B35" s="99"/>
      <c r="C35" s="99"/>
      <c r="D35" s="28" t="s">
        <v>90</v>
      </c>
      <c r="E35" s="28" t="s">
        <v>25</v>
      </c>
      <c r="F35" s="28" t="s">
        <v>25</v>
      </c>
      <c r="G35" s="29" t="s">
        <v>80</v>
      </c>
      <c r="H35" s="29" t="s">
        <v>74</v>
      </c>
      <c r="I35" s="29">
        <f>'MERCADO TE'!$U$32</f>
        <v>0</v>
      </c>
      <c r="J35" s="15"/>
      <c r="L35" s="26">
        <f>'TR TE'!$L$35*'TR TE'!$L$50</f>
        <v>0</v>
      </c>
      <c r="M35" s="26">
        <f>'TR TE'!$M$35*'TR TE'!$M$50</f>
        <v>0</v>
      </c>
      <c r="N35" s="26">
        <f>'TR TE'!$N$35*'TR TE'!$N$50</f>
        <v>0</v>
      </c>
      <c r="O35" s="26">
        <f>'TR TE'!$O$35*'TR TE'!$O$50</f>
        <v>0</v>
      </c>
      <c r="P35" s="26">
        <f>'TR TE'!$P$35*'TR TE'!$P$50</f>
        <v>0</v>
      </c>
      <c r="Q35" s="26">
        <f>SUM($L$35:$P$35)</f>
        <v>0</v>
      </c>
      <c r="R35" s="26">
        <f>'TR TE'!$R$35*'TR TE'!$R$50</f>
        <v>116.59251788316374</v>
      </c>
      <c r="S35" s="26">
        <f>SUM($R$35:$R$35)</f>
        <v>116.59251788316374</v>
      </c>
      <c r="T35" s="26">
        <f>'TR TE'!$T$35*'TR TE'!$T$50</f>
        <v>0</v>
      </c>
      <c r="U35" s="26">
        <f>'TR TE'!$U$35*'TR TE'!$U$50</f>
        <v>0</v>
      </c>
      <c r="V35" s="26">
        <f>'TR TE'!$V$35*'TR TE'!$V$50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TE'!$Z$50</f>
        <v>0</v>
      </c>
      <c r="AA35" s="26">
        <f>SUM($Z$35:$Z$35)</f>
        <v>0</v>
      </c>
      <c r="AB35" s="26">
        <f>SUMIF($L$4:$AA$4,"SUBTOTAL",$L$35:$AA$35)</f>
        <v>116.59251788316374</v>
      </c>
    </row>
    <row r="36" spans="1:28" ht="11.25" customHeight="1" x14ac:dyDescent="0.25">
      <c r="A36" s="99"/>
      <c r="B36" s="99"/>
      <c r="C36" s="99"/>
      <c r="D36" s="28" t="s">
        <v>91</v>
      </c>
      <c r="E36" s="28" t="s">
        <v>25</v>
      </c>
      <c r="F36" s="28" t="s">
        <v>25</v>
      </c>
      <c r="G36" s="29" t="s">
        <v>80</v>
      </c>
      <c r="H36" s="29" t="s">
        <v>74</v>
      </c>
      <c r="I36" s="29">
        <f>'MERCADO TE'!$U$33</f>
        <v>0</v>
      </c>
      <c r="J36" s="15"/>
      <c r="L36" s="26">
        <f>'TR TE'!$L$36*'TR TE'!$L$50</f>
        <v>0</v>
      </c>
      <c r="M36" s="26">
        <f>'TR TE'!$M$36*'TR TE'!$M$50</f>
        <v>0</v>
      </c>
      <c r="N36" s="26">
        <f>'TR TE'!$N$36*'TR TE'!$N$50</f>
        <v>0</v>
      </c>
      <c r="O36" s="26">
        <f>'TR TE'!$O$36*'TR TE'!$O$50</f>
        <v>0</v>
      </c>
      <c r="P36" s="26">
        <f>'TR TE'!$P$36*'TR TE'!$P$50</f>
        <v>0</v>
      </c>
      <c r="Q36" s="26">
        <f>SUM($L$36:$P$36)</f>
        <v>0</v>
      </c>
      <c r="R36" s="26">
        <f>'TR TE'!$R$36*'TR TE'!$R$50</f>
        <v>116.59251788316374</v>
      </c>
      <c r="S36" s="26">
        <f>SUM($R$36:$R$36)</f>
        <v>116.59251788316374</v>
      </c>
      <c r="T36" s="26">
        <f>'TR TE'!$T$36*'TR TE'!$T$50</f>
        <v>0</v>
      </c>
      <c r="U36" s="26">
        <f>'TR TE'!$U$36*'TR TE'!$U$50</f>
        <v>0</v>
      </c>
      <c r="V36" s="26">
        <f>'TR TE'!$V$36*'TR TE'!$V$50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TE'!$Z$50</f>
        <v>0</v>
      </c>
      <c r="AA36" s="26">
        <f>SUM($Z$36:$Z$36)</f>
        <v>0</v>
      </c>
      <c r="AB36" s="26">
        <f>SUMIF($L$4:$AA$4,"SUBTOTAL",$L$36:$AA$36)</f>
        <v>116.59251788316374</v>
      </c>
    </row>
    <row r="37" spans="1:28" ht="11.25" customHeight="1" x14ac:dyDescent="0.25">
      <c r="A37" s="99" t="s">
        <v>33</v>
      </c>
      <c r="B37" s="99" t="s">
        <v>73</v>
      </c>
      <c r="C37" s="99" t="s">
        <v>25</v>
      </c>
      <c r="D37" s="99" t="s">
        <v>25</v>
      </c>
      <c r="E37" s="99" t="s">
        <v>25</v>
      </c>
      <c r="F37" s="99" t="s">
        <v>25</v>
      </c>
      <c r="G37" s="29" t="s">
        <v>75</v>
      </c>
      <c r="H37" s="29" t="s">
        <v>74</v>
      </c>
      <c r="I37" s="29">
        <f>'MERCADO TE'!$U$34</f>
        <v>0</v>
      </c>
      <c r="J37" s="15"/>
      <c r="L37" s="26">
        <f>'TR TE'!$L$37*'TR TE'!$L$50</f>
        <v>0</v>
      </c>
      <c r="M37" s="26">
        <f>'TR TE'!$M$37*'TR TE'!$M$50</f>
        <v>0</v>
      </c>
      <c r="N37" s="26">
        <f>'TR TE'!$N$37*'TR TE'!$N$50</f>
        <v>0</v>
      </c>
      <c r="O37" s="26">
        <f>'TR TE'!$O$37*'TR TE'!$O$50</f>
        <v>0</v>
      </c>
      <c r="P37" s="26">
        <f>'TR TE'!$P$37*'TR TE'!$P$50</f>
        <v>0</v>
      </c>
      <c r="Q37" s="26">
        <f>SUM($L$37:$P$37)</f>
        <v>0</v>
      </c>
      <c r="R37" s="26">
        <f>'TR TE'!$R$37*'TR TE'!$R$50</f>
        <v>116.59251788316374</v>
      </c>
      <c r="S37" s="26">
        <f>SUM($R$37:$R$37)</f>
        <v>116.59251788316374</v>
      </c>
      <c r="T37" s="26">
        <f>'TR TE'!$T$37*'TR TE'!$T$50</f>
        <v>0</v>
      </c>
      <c r="U37" s="26">
        <f>'TR TE'!$U$37*'TR TE'!$U$50</f>
        <v>0</v>
      </c>
      <c r="V37" s="26">
        <f>'TR TE'!$V$37*'TR TE'!$V$50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TE'!$Z$50</f>
        <v>0</v>
      </c>
      <c r="AA37" s="26">
        <f>SUM($Z$37:$Z$37)</f>
        <v>0</v>
      </c>
      <c r="AB37" s="26">
        <f>SUMIF($L$4:$AA$4,"SUBTOTAL",$L$37:$AA$37)</f>
        <v>116.59251788316374</v>
      </c>
    </row>
    <row r="38" spans="1:28" ht="11.25" customHeight="1" x14ac:dyDescent="0.25">
      <c r="A38" s="99"/>
      <c r="B38" s="99"/>
      <c r="C38" s="99"/>
      <c r="D38" s="99"/>
      <c r="E38" s="99"/>
      <c r="F38" s="99"/>
      <c r="G38" s="29" t="s">
        <v>86</v>
      </c>
      <c r="H38" s="29" t="s">
        <v>74</v>
      </c>
      <c r="I38" s="29">
        <f>'MERCADO TE'!$U$35</f>
        <v>0</v>
      </c>
      <c r="J38" s="15"/>
      <c r="L38" s="26">
        <f>'TR TE'!$L$38*'TR TE'!$L$50</f>
        <v>0</v>
      </c>
      <c r="M38" s="26">
        <f>'TR TE'!$M$38*'TR TE'!$M$50</f>
        <v>0</v>
      </c>
      <c r="N38" s="26">
        <f>'TR TE'!$N$38*'TR TE'!$N$50</f>
        <v>0</v>
      </c>
      <c r="O38" s="26">
        <f>'TR TE'!$O$38*'TR TE'!$O$50</f>
        <v>0</v>
      </c>
      <c r="P38" s="26">
        <f>'TR TE'!$P$38*'TR TE'!$P$50</f>
        <v>0</v>
      </c>
      <c r="Q38" s="26">
        <f>SUM($L$38:$P$38)</f>
        <v>0</v>
      </c>
      <c r="R38" s="26">
        <f>'TR TE'!$R$38*'TR TE'!$R$50</f>
        <v>116.59251788316374</v>
      </c>
      <c r="S38" s="26">
        <f>SUM($R$38:$R$38)</f>
        <v>116.59251788316374</v>
      </c>
      <c r="T38" s="26">
        <f>'TR TE'!$T$38*'TR TE'!$T$50</f>
        <v>0</v>
      </c>
      <c r="U38" s="26">
        <f>'TR TE'!$U$38*'TR TE'!$U$50</f>
        <v>0</v>
      </c>
      <c r="V38" s="26">
        <f>'TR TE'!$V$38*'TR TE'!$V$50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TE'!$Z$50</f>
        <v>0</v>
      </c>
      <c r="AA38" s="26">
        <f>SUM($Z$38:$Z$38)</f>
        <v>0</v>
      </c>
      <c r="AB38" s="26">
        <f>SUMIF($L$4:$AA$4,"SUBTOTAL",$L$38:$AA$38)</f>
        <v>116.59251788316374</v>
      </c>
    </row>
    <row r="39" spans="1:28" ht="11.25" customHeight="1" x14ac:dyDescent="0.25">
      <c r="A39" s="99"/>
      <c r="B39" s="99"/>
      <c r="C39" s="99"/>
      <c r="D39" s="99"/>
      <c r="E39" s="99"/>
      <c r="F39" s="99"/>
      <c r="G39" s="29" t="s">
        <v>76</v>
      </c>
      <c r="H39" s="29" t="s">
        <v>74</v>
      </c>
      <c r="I39" s="29">
        <f>'MERCADO TE'!$U$36</f>
        <v>0</v>
      </c>
      <c r="J39" s="15"/>
      <c r="L39" s="26">
        <f>'TR TE'!$L$39*'TR TE'!$L$50</f>
        <v>0</v>
      </c>
      <c r="M39" s="26">
        <f>'TR TE'!$M$39*'TR TE'!$M$50</f>
        <v>0</v>
      </c>
      <c r="N39" s="26">
        <f>'TR TE'!$N$39*'TR TE'!$N$50</f>
        <v>0</v>
      </c>
      <c r="O39" s="26">
        <f>'TR TE'!$O$39*'TR TE'!$O$50</f>
        <v>0</v>
      </c>
      <c r="P39" s="26">
        <f>'TR TE'!$P$39*'TR TE'!$P$50</f>
        <v>0</v>
      </c>
      <c r="Q39" s="26">
        <f>SUM($L$39:$P$39)</f>
        <v>0</v>
      </c>
      <c r="R39" s="26">
        <f>'TR TE'!$R$39*'TR TE'!$R$50</f>
        <v>116.59251788316374</v>
      </c>
      <c r="S39" s="26">
        <f>SUM($R$39:$R$39)</f>
        <v>116.59251788316374</v>
      </c>
      <c r="T39" s="26">
        <f>'TR TE'!$T$39*'TR TE'!$T$50</f>
        <v>0</v>
      </c>
      <c r="U39" s="26">
        <f>'TR TE'!$U$39*'TR TE'!$U$50</f>
        <v>0</v>
      </c>
      <c r="V39" s="26">
        <f>'TR TE'!$V$39*'TR TE'!$V$50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TE'!$Z$50</f>
        <v>0</v>
      </c>
      <c r="AA39" s="26">
        <f>SUM($Z$39:$Z$39)</f>
        <v>0</v>
      </c>
      <c r="AB39" s="26">
        <f>SUMIF($L$4:$AA$4,"SUBTOTAL",$L$39:$AA$39)</f>
        <v>116.59251788316374</v>
      </c>
    </row>
    <row r="40" spans="1:28" ht="11.25" customHeight="1" x14ac:dyDescent="0.25">
      <c r="A40" s="99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80</v>
      </c>
      <c r="H40" s="29" t="s">
        <v>74</v>
      </c>
      <c r="I40" s="29">
        <f>'MERCADO TE'!$U$37</f>
        <v>21501.073</v>
      </c>
      <c r="J40" s="15"/>
      <c r="L40" s="26">
        <f>'TR TE'!$L$40*'TR TE'!$L$50</f>
        <v>0</v>
      </c>
      <c r="M40" s="26">
        <f>'TR TE'!$M$40*'TR TE'!$M$50</f>
        <v>0</v>
      </c>
      <c r="N40" s="26">
        <f>'TR TE'!$N$40*'TR TE'!$N$50</f>
        <v>0</v>
      </c>
      <c r="O40" s="26">
        <f>'TR TE'!$O$40*'TR TE'!$O$50</f>
        <v>0</v>
      </c>
      <c r="P40" s="26">
        <f>'TR TE'!$P$40*'TR TE'!$P$50</f>
        <v>0</v>
      </c>
      <c r="Q40" s="26">
        <f>SUM($L$40:$P$40)</f>
        <v>0</v>
      </c>
      <c r="R40" s="26">
        <f>'TR TE'!$R$40*'TR TE'!$R$50</f>
        <v>116.59251788316374</v>
      </c>
      <c r="S40" s="26">
        <f>SUM($R$40:$R$40)</f>
        <v>116.59251788316374</v>
      </c>
      <c r="T40" s="26">
        <f>'TR TE'!$T$40*'TR TE'!$T$50</f>
        <v>0</v>
      </c>
      <c r="U40" s="26">
        <f>'TR TE'!$U$40*'TR TE'!$U$50</f>
        <v>0</v>
      </c>
      <c r="V40" s="26">
        <f>'TR TE'!$V$40*'TR TE'!$V$50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TE'!$Z$50</f>
        <v>0</v>
      </c>
      <c r="AA40" s="26">
        <f>SUM($Z$40:$Z$40)</f>
        <v>0</v>
      </c>
      <c r="AB40" s="26">
        <f>SUMIF($L$4:$AA$4,"SUBTOTAL",$L$40:$AA$40)</f>
        <v>116.59251788316374</v>
      </c>
    </row>
    <row r="41" spans="1:28" ht="11.25" customHeight="1" x14ac:dyDescent="0.25">
      <c r="A41" s="99"/>
      <c r="B41" s="28" t="s">
        <v>88</v>
      </c>
      <c r="C41" s="28" t="s">
        <v>25</v>
      </c>
      <c r="D41" s="28" t="s">
        <v>25</v>
      </c>
      <c r="E41" s="28" t="s">
        <v>25</v>
      </c>
      <c r="F41" s="28" t="s">
        <v>25</v>
      </c>
      <c r="G41" s="29" t="s">
        <v>80</v>
      </c>
      <c r="H41" s="29" t="s">
        <v>74</v>
      </c>
      <c r="I41" s="29">
        <f>'MERCADO TE'!$U$38</f>
        <v>0</v>
      </c>
      <c r="J41" s="15"/>
      <c r="L41" s="26">
        <f>'TR TE'!$L$41*'TR TE'!$L$50</f>
        <v>0</v>
      </c>
      <c r="M41" s="26">
        <f>'TR TE'!$M$41*'TR TE'!$M$50</f>
        <v>0</v>
      </c>
      <c r="N41" s="26">
        <f>'TR TE'!$N$41*'TR TE'!$N$50</f>
        <v>0</v>
      </c>
      <c r="O41" s="26">
        <f>'TR TE'!$O$41*'TR TE'!$O$50</f>
        <v>0</v>
      </c>
      <c r="P41" s="26">
        <f>'TR TE'!$P$41*'TR TE'!$P$50</f>
        <v>0</v>
      </c>
      <c r="Q41" s="26">
        <f>SUM($L$41:$P$41)</f>
        <v>0</v>
      </c>
      <c r="R41" s="26">
        <f>'TR TE'!$R$41*'TR TE'!$R$50</f>
        <v>116.59251788316374</v>
      </c>
      <c r="S41" s="26">
        <f>SUM($R$41:$R$41)</f>
        <v>116.59251788316374</v>
      </c>
      <c r="T41" s="26">
        <f>'TR TE'!$T$41*'TR TE'!$T$50</f>
        <v>0</v>
      </c>
      <c r="U41" s="26">
        <f>'TR TE'!$U$41*'TR TE'!$U$50</f>
        <v>0</v>
      </c>
      <c r="V41" s="26">
        <f>'TR TE'!$V$41*'TR TE'!$V$50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TE'!$Z$50</f>
        <v>0</v>
      </c>
      <c r="AA41" s="26">
        <f>SUM($Z$41:$Z$41)</f>
        <v>0</v>
      </c>
      <c r="AB41" s="26">
        <f>SUMIF($L$4:$AA$4,"SUBTOTAL",$L$41:$AA$41)</f>
        <v>116.59251788316374</v>
      </c>
    </row>
    <row r="42" spans="1:28" ht="11.25" customHeight="1" x14ac:dyDescent="0.25">
      <c r="A42" s="99" t="s">
        <v>45</v>
      </c>
      <c r="B42" s="99" t="s">
        <v>87</v>
      </c>
      <c r="C42" s="99" t="s">
        <v>46</v>
      </c>
      <c r="D42" s="28" t="s">
        <v>47</v>
      </c>
      <c r="E42" s="28" t="s">
        <v>25</v>
      </c>
      <c r="F42" s="28" t="s">
        <v>25</v>
      </c>
      <c r="G42" s="29" t="s">
        <v>80</v>
      </c>
      <c r="H42" s="29" t="s">
        <v>74</v>
      </c>
      <c r="I42" s="29">
        <f>'MERCADO TE'!$U$39</f>
        <v>10480.718000000001</v>
      </c>
      <c r="J42" s="15"/>
      <c r="L42" s="26">
        <f>'TR TE'!$L$42*'TR TE'!$L$50</f>
        <v>0</v>
      </c>
      <c r="M42" s="26">
        <f>'TR TE'!$M$42*'TR TE'!$M$50</f>
        <v>0</v>
      </c>
      <c r="N42" s="26">
        <f>'TR TE'!$N$42*'TR TE'!$N$50</f>
        <v>0</v>
      </c>
      <c r="O42" s="26">
        <f>'TR TE'!$O$42*'TR TE'!$O$50</f>
        <v>0</v>
      </c>
      <c r="P42" s="26">
        <f>'TR TE'!$P$42*'TR TE'!$P$50</f>
        <v>0</v>
      </c>
      <c r="Q42" s="26">
        <f>SUM($L$42:$P$42)</f>
        <v>0</v>
      </c>
      <c r="R42" s="26">
        <f>'TR TE'!$R$42*'TR TE'!$R$50</f>
        <v>64.125884835740067</v>
      </c>
      <c r="S42" s="26">
        <f>SUM($R$42:$R$42)</f>
        <v>64.125884835740067</v>
      </c>
      <c r="T42" s="26">
        <f>'TR TE'!$T$42*'TR TE'!$T$50</f>
        <v>0</v>
      </c>
      <c r="U42" s="26">
        <f>'TR TE'!$U$42*'TR TE'!$U$50</f>
        <v>0</v>
      </c>
      <c r="V42" s="26">
        <f>'TR TE'!$V$42*'TR TE'!$V$50</f>
        <v>0</v>
      </c>
      <c r="W42" s="26">
        <f>SUM($T$42:$V$42)</f>
        <v>0</v>
      </c>
      <c r="X42" s="26"/>
      <c r="Y42" s="26">
        <f>SUM($X$42:$X$42)</f>
        <v>0</v>
      </c>
      <c r="Z42" s="26">
        <f>'TR TE'!$Z$42*'TR TE'!$Z$50</f>
        <v>0</v>
      </c>
      <c r="AA42" s="26">
        <f>SUM($Z$42:$Z$42)</f>
        <v>0</v>
      </c>
      <c r="AB42" s="26">
        <f>SUMIF($L$4:$AA$4,"SUBTOTAL",$L$42:$AA$42)</f>
        <v>64.125884835740067</v>
      </c>
    </row>
    <row r="43" spans="1:28" ht="11.25" customHeight="1" x14ac:dyDescent="0.25">
      <c r="A43" s="99"/>
      <c r="B43" s="99"/>
      <c r="C43" s="99"/>
      <c r="D43" s="29" t="s">
        <v>92</v>
      </c>
      <c r="E43" s="29" t="s">
        <v>25</v>
      </c>
      <c r="F43" s="29" t="s">
        <v>25</v>
      </c>
      <c r="G43" s="29" t="s">
        <v>80</v>
      </c>
      <c r="H43" s="29" t="s">
        <v>74</v>
      </c>
      <c r="I43" s="29">
        <f>'MERCADO TE'!$U$40</f>
        <v>0</v>
      </c>
      <c r="J43" s="15"/>
      <c r="L43" s="26">
        <f>'TR TE'!$L$43*'TR TE'!$L$50</f>
        <v>0</v>
      </c>
      <c r="M43" s="26">
        <f>'TR TE'!$M$43*'TR TE'!$M$50</f>
        <v>0</v>
      </c>
      <c r="N43" s="26">
        <f>'TR TE'!$N$43*'TR TE'!$N$50</f>
        <v>0</v>
      </c>
      <c r="O43" s="26">
        <f>'TR TE'!$O$43*'TR TE'!$O$50</f>
        <v>0</v>
      </c>
      <c r="P43" s="26">
        <f>'TR TE'!$P$43*'TR TE'!$P$50</f>
        <v>0</v>
      </c>
      <c r="Q43" s="26">
        <f>SUM($L$43:$P$43)</f>
        <v>0</v>
      </c>
      <c r="R43" s="26">
        <f>'TR TE'!$R$43*'TR TE'!$R$50</f>
        <v>69.955510729898236</v>
      </c>
      <c r="S43" s="26">
        <f>SUM($R$43:$R$43)</f>
        <v>69.955510729898236</v>
      </c>
      <c r="T43" s="26">
        <f>'TR TE'!$T$43*'TR TE'!$T$50</f>
        <v>0</v>
      </c>
      <c r="U43" s="26">
        <f>'TR TE'!$U$43*'TR TE'!$U$50</f>
        <v>0</v>
      </c>
      <c r="V43" s="26">
        <f>'TR TE'!$V$43*'TR TE'!$V$50</f>
        <v>0</v>
      </c>
      <c r="W43" s="26">
        <f>SUM($T$43:$V$43)</f>
        <v>0</v>
      </c>
      <c r="X43" s="26"/>
      <c r="Y43" s="26">
        <f>SUM($X$43:$X$43)</f>
        <v>0</v>
      </c>
      <c r="Z43" s="26">
        <f>'TR TE'!$Z$43*'TR TE'!$Z$50</f>
        <v>0</v>
      </c>
      <c r="AA43" s="26">
        <f>SUM($Z$43:$Z$43)</f>
        <v>0</v>
      </c>
      <c r="AB43" s="26">
        <f>SUMIF($L$4:$AA$4,"SUBTOTAL",$L$43:$AA$43)</f>
        <v>69.955510729898236</v>
      </c>
    </row>
    <row r="45" spans="1:28" ht="11.25" customHeight="1" x14ac:dyDescent="0.25">
      <c r="K45" s="31" t="s">
        <v>571</v>
      </c>
      <c r="L45" s="26">
        <f t="shared" ref="L45:AB45" si="0">SUMPRODUCT($I$5:$I$43,L$5:L$43)</f>
        <v>0</v>
      </c>
      <c r="M45" s="26">
        <f t="shared" si="0"/>
        <v>0</v>
      </c>
      <c r="N45" s="26">
        <f t="shared" si="0"/>
        <v>0</v>
      </c>
      <c r="O45" s="26">
        <f t="shared" si="0"/>
        <v>0</v>
      </c>
      <c r="P45" s="26">
        <f t="shared" si="0"/>
        <v>0</v>
      </c>
      <c r="Q45" s="26">
        <f t="shared" si="0"/>
        <v>0</v>
      </c>
      <c r="R45" s="26">
        <f t="shared" si="0"/>
        <v>38717711.038305804</v>
      </c>
      <c r="S45" s="26">
        <f t="shared" si="0"/>
        <v>38717711.038305804</v>
      </c>
      <c r="T45" s="26">
        <f t="shared" si="0"/>
        <v>0</v>
      </c>
      <c r="U45" s="26">
        <f t="shared" si="0"/>
        <v>0</v>
      </c>
      <c r="V45" s="26">
        <f t="shared" si="0"/>
        <v>0</v>
      </c>
      <c r="W45" s="26">
        <f t="shared" si="0"/>
        <v>0</v>
      </c>
      <c r="X45" s="26">
        <f t="shared" si="0"/>
        <v>0</v>
      </c>
      <c r="Y45" s="26">
        <f t="shared" si="0"/>
        <v>0</v>
      </c>
      <c r="Z45" s="26">
        <f t="shared" si="0"/>
        <v>0</v>
      </c>
      <c r="AA45" s="26">
        <f t="shared" si="0"/>
        <v>0</v>
      </c>
      <c r="AB45" s="26">
        <f t="shared" si="0"/>
        <v>38717711.038305804</v>
      </c>
    </row>
    <row r="46" spans="1:28" ht="11.25" customHeight="1" x14ac:dyDescent="0.25">
      <c r="K46" s="31" t="s">
        <v>490</v>
      </c>
      <c r="L46" s="26">
        <f>CUSTOS!$D$30</f>
        <v>0</v>
      </c>
      <c r="M46" s="26">
        <f>CUSTOS!$D$31</f>
        <v>0</v>
      </c>
      <c r="N46" s="26">
        <f>CUSTOS!$D$32</f>
        <v>0</v>
      </c>
      <c r="O46" s="26">
        <f>CUSTOS!$D$33</f>
        <v>0</v>
      </c>
      <c r="P46" s="26">
        <f>CUSTOS!$D$34</f>
        <v>0</v>
      </c>
      <c r="Q46" s="26">
        <f>CUSTOS!$D$35</f>
        <v>0</v>
      </c>
      <c r="R46" s="26">
        <f>CUSTOS!$D$36</f>
        <v>38717711.038305797</v>
      </c>
      <c r="S46" s="26">
        <f>CUSTOS!$D$37</f>
        <v>38717711.038305797</v>
      </c>
      <c r="T46" s="26">
        <f>CUSTOS!$D$38</f>
        <v>0</v>
      </c>
      <c r="U46" s="26">
        <f>CUSTOS!$D$39</f>
        <v>0</v>
      </c>
      <c r="V46" s="26">
        <f>CUSTOS!$D$40</f>
        <v>0</v>
      </c>
      <c r="W46" s="26">
        <f>CUSTOS!$D$41</f>
        <v>0</v>
      </c>
      <c r="X46" s="26">
        <f>CUSTOS!$D$42</f>
        <v>0</v>
      </c>
      <c r="Y46" s="26">
        <f>CUSTOS!$D$43</f>
        <v>0</v>
      </c>
      <c r="Z46" s="26">
        <f>CUSTOS!$D$44</f>
        <v>0</v>
      </c>
      <c r="AA46" s="26">
        <f>CUSTOS!$D$45</f>
        <v>0</v>
      </c>
      <c r="AB46" s="26">
        <f>CUSTOS!$D$46</f>
        <v>38717711.038305797</v>
      </c>
    </row>
    <row r="47" spans="1:28" ht="11.25" customHeight="1" x14ac:dyDescent="0.25">
      <c r="K47" s="31" t="s">
        <v>491</v>
      </c>
      <c r="L47" s="26">
        <f>CUSTOS!$E$30</f>
        <v>0</v>
      </c>
      <c r="M47" s="26">
        <f>CUSTOS!$E$31</f>
        <v>0</v>
      </c>
      <c r="N47" s="26">
        <f>CUSTOS!$E$32</f>
        <v>0</v>
      </c>
      <c r="O47" s="26">
        <f>CUSTOS!$E$33</f>
        <v>0</v>
      </c>
      <c r="P47" s="26">
        <f>CUSTOS!$E$34</f>
        <v>0</v>
      </c>
      <c r="Q47" s="26">
        <f>CUSTOS!$E$35</f>
        <v>0</v>
      </c>
      <c r="R47" s="26">
        <f>CUSTOS!$E$36</f>
        <v>-606777.67560267111</v>
      </c>
      <c r="S47" s="26">
        <f>CUSTOS!$E$37</f>
        <v>-606777.67560267111</v>
      </c>
      <c r="T47" s="26">
        <f>CUSTOS!$E$38</f>
        <v>0</v>
      </c>
      <c r="U47" s="26">
        <f>CUSTOS!$E$39</f>
        <v>0</v>
      </c>
      <c r="V47" s="26">
        <f>CUSTOS!$E$40</f>
        <v>0</v>
      </c>
      <c r="W47" s="26">
        <f>CUSTOS!$E$41</f>
        <v>0</v>
      </c>
      <c r="X47" s="26">
        <f>CUSTOS!$E$42</f>
        <v>0</v>
      </c>
      <c r="Y47" s="26">
        <f>CUSTOS!$E$43</f>
        <v>0</v>
      </c>
      <c r="Z47" s="26">
        <f>CUSTOS!$E$44</f>
        <v>0</v>
      </c>
      <c r="AA47" s="26">
        <f>CUSTOS!$E$45</f>
        <v>0</v>
      </c>
      <c r="AB47" s="26">
        <f>CUSTOS!$E$46</f>
        <v>-606777.67560267111</v>
      </c>
    </row>
    <row r="48" spans="1:28" ht="11.25" customHeight="1" x14ac:dyDescent="0.25">
      <c r="K48" s="31" t="s">
        <v>492</v>
      </c>
      <c r="L48" s="26">
        <f>CUSTOS!$F$30</f>
        <v>0</v>
      </c>
      <c r="M48" s="26">
        <f>CUSTOS!$F$31</f>
        <v>0</v>
      </c>
      <c r="N48" s="26">
        <f>CUSTOS!$F$32</f>
        <v>0</v>
      </c>
      <c r="O48" s="26">
        <f>CUSTOS!$F$33</f>
        <v>0</v>
      </c>
      <c r="P48" s="26">
        <f>CUSTOS!$F$34</f>
        <v>0</v>
      </c>
      <c r="Q48" s="26">
        <f>CUSTOS!$F$35</f>
        <v>0</v>
      </c>
      <c r="R48" s="26">
        <f>CUSTOS!$F$36</f>
        <v>0</v>
      </c>
      <c r="S48" s="26">
        <f>CUSTOS!$F$37</f>
        <v>0</v>
      </c>
      <c r="T48" s="26">
        <f>CUSTOS!$F$38</f>
        <v>0</v>
      </c>
      <c r="U48" s="26">
        <f>CUSTOS!$F$39</f>
        <v>0</v>
      </c>
      <c r="V48" s="26">
        <f>CUSTOS!$F$40</f>
        <v>0</v>
      </c>
      <c r="W48" s="26">
        <f>CUSTOS!$F$41</f>
        <v>0</v>
      </c>
      <c r="X48" s="26">
        <f>CUSTOS!$F$42</f>
        <v>0</v>
      </c>
      <c r="Y48" s="26">
        <f>CUSTOS!$F$43</f>
        <v>0</v>
      </c>
      <c r="Z48" s="26">
        <f>CUSTOS!$F$44</f>
        <v>0</v>
      </c>
      <c r="AA48" s="26">
        <f>CUSTOS!$F$45</f>
        <v>0</v>
      </c>
      <c r="AB48" s="26">
        <f>CUSTOS!$F$46</f>
        <v>0</v>
      </c>
    </row>
    <row r="49" spans="11:28" ht="11.25" customHeight="1" x14ac:dyDescent="0.25">
      <c r="K49" s="31" t="s">
        <v>572</v>
      </c>
      <c r="L49" s="26">
        <f>'TR TE'!$L$49*L50</f>
        <v>0</v>
      </c>
      <c r="M49" s="26">
        <f>'TR TE'!$M$49*M50</f>
        <v>0</v>
      </c>
      <c r="N49" s="26">
        <f>'TR TE'!$N$49*N50</f>
        <v>0</v>
      </c>
      <c r="O49" s="26">
        <f>'TR TE'!$O$49*O50</f>
        <v>0</v>
      </c>
      <c r="P49" s="26">
        <f>'TR TE'!$P$49*P50</f>
        <v>0</v>
      </c>
      <c r="Q49" s="26"/>
      <c r="R49" s="26">
        <f>'TR TE'!$R$49*R50</f>
        <v>-1.8311899568535173</v>
      </c>
      <c r="S49" s="26"/>
      <c r="T49" s="26">
        <f>'TR TE'!$T$49*T50</f>
        <v>0</v>
      </c>
      <c r="U49" s="26">
        <f>'TR TE'!$U$49*U50</f>
        <v>0</v>
      </c>
      <c r="V49" s="26">
        <f>'TR TE'!$V$49*V50</f>
        <v>0</v>
      </c>
      <c r="W49" s="26"/>
      <c r="X49" s="26"/>
      <c r="Y49" s="26"/>
      <c r="Z49" s="26">
        <f>'TR TE'!$Z$49*Z50</f>
        <v>0</v>
      </c>
      <c r="AA49" s="26"/>
      <c r="AB49" s="26"/>
    </row>
    <row r="50" spans="11:28" ht="11.25" customHeight="1" x14ac:dyDescent="0.25">
      <c r="K50" s="31" t="s">
        <v>559</v>
      </c>
      <c r="L50" s="26">
        <f>IF(L46&lt;&gt;0,L47/L46,0)</f>
        <v>0</v>
      </c>
      <c r="M50" s="26">
        <f>IF(M46&lt;&gt;0,M47/M46,0)</f>
        <v>0</v>
      </c>
      <c r="N50" s="26">
        <f>IF(N46&lt;&gt;0,N47/N46,0)</f>
        <v>0</v>
      </c>
      <c r="O50" s="26">
        <f>IF(O46&lt;&gt;0,O47/O46,0)</f>
        <v>0</v>
      </c>
      <c r="P50" s="26">
        <f>IF(P46&lt;&gt;0,P47/P46,0)</f>
        <v>0</v>
      </c>
      <c r="Q50" s="26"/>
      <c r="R50" s="26">
        <f>IF(R46&lt;&gt;0,R47/R46,0)</f>
        <v>-1.5671837495825847E-2</v>
      </c>
      <c r="S50" s="26"/>
      <c r="T50" s="26">
        <f>IF(T46&lt;&gt;0,T47/T46,0)</f>
        <v>0</v>
      </c>
      <c r="U50" s="26">
        <f>IF(U46&lt;&gt;0,U47/U46,0)</f>
        <v>0</v>
      </c>
      <c r="V50" s="26">
        <f>IF(V46&lt;&gt;0,V47/V46,0)</f>
        <v>0</v>
      </c>
      <c r="W50" s="26"/>
      <c r="X50" s="26">
        <f>IF(($AB46-0)&lt;&gt;0,X47/($AB46-0),0)</f>
        <v>0</v>
      </c>
      <c r="Y50" s="26"/>
      <c r="Z50" s="26">
        <f>IF(Z46&lt;&gt;0,Z47/Z46,0)</f>
        <v>0</v>
      </c>
      <c r="AA50" s="26"/>
      <c r="AB50" s="26"/>
    </row>
    <row r="51" spans="11:28" ht="11.25" customHeight="1" x14ac:dyDescent="0.25">
      <c r="K51" s="31" t="s">
        <v>574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</sheetData>
  <mergeCells count="67"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F7:F8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A7:A8"/>
    <mergeCell ref="B7:B8"/>
    <mergeCell ref="C7:C8"/>
    <mergeCell ref="D7:D8"/>
    <mergeCell ref="E7:E8"/>
    <mergeCell ref="F9:F11"/>
    <mergeCell ref="B12:B16"/>
    <mergeCell ref="C12:C16"/>
    <mergeCell ref="B17:B21"/>
    <mergeCell ref="C17:C21"/>
    <mergeCell ref="A9:A21"/>
    <mergeCell ref="B9:B11"/>
    <mergeCell ref="C9:C11"/>
    <mergeCell ref="D9:D11"/>
    <mergeCell ref="E9:E11"/>
    <mergeCell ref="D30:D32"/>
    <mergeCell ref="E30:E32"/>
    <mergeCell ref="F30:F32"/>
    <mergeCell ref="D22:D24"/>
    <mergeCell ref="E22:E24"/>
    <mergeCell ref="F22:F24"/>
    <mergeCell ref="D26:D28"/>
    <mergeCell ref="E26:E28"/>
    <mergeCell ref="F26:F28"/>
    <mergeCell ref="B34:B36"/>
    <mergeCell ref="C34:C36"/>
    <mergeCell ref="A37:A41"/>
    <mergeCell ref="B37:B39"/>
    <mergeCell ref="C37:C39"/>
    <mergeCell ref="A22:A36"/>
    <mergeCell ref="B22:B24"/>
    <mergeCell ref="C22:C24"/>
    <mergeCell ref="B30:B32"/>
    <mergeCell ref="C30:C32"/>
    <mergeCell ref="B26:B28"/>
    <mergeCell ref="C26:C28"/>
    <mergeCell ref="E37:E39"/>
    <mergeCell ref="F37:F39"/>
    <mergeCell ref="A42:A43"/>
    <mergeCell ref="B42:B43"/>
    <mergeCell ref="C42:C43"/>
    <mergeCell ref="D37:D39"/>
  </mergeCells>
  <conditionalFormatting sqref="L45">
    <cfRule type="cellIs" dxfId="616" priority="33" operator="notEqual">
      <formula>$L$46</formula>
    </cfRule>
    <cfRule type="cellIs" dxfId="615" priority="34" operator="equal">
      <formula>$L$46</formula>
    </cfRule>
  </conditionalFormatting>
  <conditionalFormatting sqref="M45">
    <cfRule type="cellIs" dxfId="614" priority="31" operator="notEqual">
      <formula>$M$46</formula>
    </cfRule>
    <cfRule type="cellIs" dxfId="613" priority="32" operator="equal">
      <formula>$M$46</formula>
    </cfRule>
  </conditionalFormatting>
  <conditionalFormatting sqref="N45">
    <cfRule type="cellIs" dxfId="612" priority="29" operator="notEqual">
      <formula>$N$46</formula>
    </cfRule>
    <cfRule type="cellIs" dxfId="611" priority="30" operator="equal">
      <formula>$N$46</formula>
    </cfRule>
  </conditionalFormatting>
  <conditionalFormatting sqref="O45">
    <cfRule type="cellIs" dxfId="610" priority="27" operator="notEqual">
      <formula>$O$46</formula>
    </cfRule>
    <cfRule type="cellIs" dxfId="609" priority="28" operator="equal">
      <formula>$O$46</formula>
    </cfRule>
  </conditionalFormatting>
  <conditionalFormatting sqref="P45">
    <cfRule type="cellIs" dxfId="608" priority="25" operator="notEqual">
      <formula>$P$46</formula>
    </cfRule>
    <cfRule type="cellIs" dxfId="607" priority="26" operator="equal">
      <formula>$P$46</formula>
    </cfRule>
  </conditionalFormatting>
  <conditionalFormatting sqref="Q45">
    <cfRule type="cellIs" dxfId="606" priority="23" operator="notEqual">
      <formula>$Q$46</formula>
    </cfRule>
    <cfRule type="cellIs" dxfId="605" priority="24" operator="equal">
      <formula>$Q$46</formula>
    </cfRule>
  </conditionalFormatting>
  <conditionalFormatting sqref="R45">
    <cfRule type="cellIs" dxfId="604" priority="21" operator="notEqual">
      <formula>$R$46</formula>
    </cfRule>
    <cfRule type="cellIs" dxfId="603" priority="22" operator="equal">
      <formula>$R$46</formula>
    </cfRule>
  </conditionalFormatting>
  <conditionalFormatting sqref="S45">
    <cfRule type="cellIs" dxfId="602" priority="19" operator="notEqual">
      <formula>$S$46</formula>
    </cfRule>
    <cfRule type="cellIs" dxfId="601" priority="20" operator="equal">
      <formula>$S$46</formula>
    </cfRule>
  </conditionalFormatting>
  <conditionalFormatting sqref="T45">
    <cfRule type="cellIs" dxfId="600" priority="17" operator="notEqual">
      <formula>$T$46</formula>
    </cfRule>
    <cfRule type="cellIs" dxfId="599" priority="18" operator="equal">
      <formula>$T$46</formula>
    </cfRule>
  </conditionalFormatting>
  <conditionalFormatting sqref="U45">
    <cfRule type="cellIs" dxfId="598" priority="15" operator="notEqual">
      <formula>$U$46</formula>
    </cfRule>
    <cfRule type="cellIs" dxfId="597" priority="16" operator="equal">
      <formula>$U$46</formula>
    </cfRule>
  </conditionalFormatting>
  <conditionalFormatting sqref="V45">
    <cfRule type="cellIs" dxfId="596" priority="13" operator="notEqual">
      <formula>$V$46</formula>
    </cfRule>
    <cfRule type="cellIs" dxfId="595" priority="14" operator="equal">
      <formula>$V$46</formula>
    </cfRule>
  </conditionalFormatting>
  <conditionalFormatting sqref="W45">
    <cfRule type="cellIs" dxfId="594" priority="11" operator="notEqual">
      <formula>$W$46</formula>
    </cfRule>
    <cfRule type="cellIs" dxfId="593" priority="12" operator="equal">
      <formula>$W$46</formula>
    </cfRule>
  </conditionalFormatting>
  <conditionalFormatting sqref="X45">
    <cfRule type="cellIs" dxfId="592" priority="9" operator="notEqual">
      <formula>$X$46</formula>
    </cfRule>
    <cfRule type="cellIs" dxfId="591" priority="10" operator="equal">
      <formula>$X$46</formula>
    </cfRule>
  </conditionalFormatting>
  <conditionalFormatting sqref="Y45">
    <cfRule type="cellIs" dxfId="590" priority="7" operator="notEqual">
      <formula>$Y$46</formula>
    </cfRule>
    <cfRule type="cellIs" dxfId="589" priority="8" operator="equal">
      <formula>$Y$46</formula>
    </cfRule>
  </conditionalFormatting>
  <conditionalFormatting sqref="Z45">
    <cfRule type="cellIs" dxfId="588" priority="5" operator="notEqual">
      <formula>$Z$46</formula>
    </cfRule>
    <cfRule type="cellIs" dxfId="587" priority="6" operator="equal">
      <formula>$Z$46</formula>
    </cfRule>
  </conditionalFormatting>
  <conditionalFormatting sqref="AA45">
    <cfRule type="cellIs" dxfId="586" priority="3" operator="notEqual">
      <formula>$AA$46</formula>
    </cfRule>
    <cfRule type="cellIs" dxfId="585" priority="4" operator="equal">
      <formula>$AA$46</formula>
    </cfRule>
  </conditionalFormatting>
  <conditionalFormatting sqref="AB45">
    <cfRule type="cellIs" dxfId="584" priority="1" operator="notEqual">
      <formula>$AB$46</formula>
    </cfRule>
    <cfRule type="cellIs" dxfId="58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D901-F58B-4A43-8C01-F084FC0A3799}">
  <dimension ref="A1:AB51"/>
  <sheetViews>
    <sheetView showGridLines="0" topLeftCell="L1" workbookViewId="0">
      <selection activeCell="AB45" sqref="AB4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82"/>
      <c r="L1" s="101" t="s">
        <v>576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476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449</v>
      </c>
      <c r="M3" s="101"/>
      <c r="N3" s="101"/>
      <c r="O3" s="101"/>
      <c r="P3" s="101"/>
      <c r="Q3" s="101"/>
      <c r="R3" s="101" t="s">
        <v>480</v>
      </c>
      <c r="S3" s="101"/>
      <c r="T3" s="101" t="s">
        <v>458</v>
      </c>
      <c r="U3" s="101"/>
      <c r="V3" s="101"/>
      <c r="W3" s="101"/>
      <c r="X3" s="101" t="s">
        <v>468</v>
      </c>
      <c r="Y3" s="101"/>
      <c r="Z3" s="101" t="s">
        <v>471</v>
      </c>
      <c r="AA3" s="101"/>
      <c r="AB3" s="101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451</v>
      </c>
      <c r="M4" s="30" t="s">
        <v>477</v>
      </c>
      <c r="N4" s="30" t="s">
        <v>478</v>
      </c>
      <c r="O4" s="30" t="s">
        <v>537</v>
      </c>
      <c r="P4" s="30" t="s">
        <v>479</v>
      </c>
      <c r="Q4" s="30" t="s">
        <v>457</v>
      </c>
      <c r="R4" s="30" t="s">
        <v>481</v>
      </c>
      <c r="S4" s="30" t="s">
        <v>457</v>
      </c>
      <c r="T4" s="30" t="s">
        <v>482</v>
      </c>
      <c r="U4" s="30" t="s">
        <v>483</v>
      </c>
      <c r="V4" s="30" t="s">
        <v>484</v>
      </c>
      <c r="W4" s="30" t="s">
        <v>457</v>
      </c>
      <c r="X4" s="30" t="s">
        <v>469</v>
      </c>
      <c r="Y4" s="30" t="s">
        <v>457</v>
      </c>
      <c r="Z4" s="30" t="s">
        <v>485</v>
      </c>
      <c r="AA4" s="30" t="s">
        <v>457</v>
      </c>
      <c r="AB4" s="102"/>
    </row>
    <row r="5" spans="1:28" ht="11.25" customHeight="1" x14ac:dyDescent="0.25">
      <c r="A5" s="99" t="s">
        <v>35</v>
      </c>
      <c r="B5" s="99" t="s">
        <v>73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75</v>
      </c>
      <c r="H5" s="29" t="s">
        <v>74</v>
      </c>
      <c r="I5" s="29">
        <f>'MERCADO TE'!$U$2</f>
        <v>1179.2529999999999</v>
      </c>
      <c r="J5" s="15"/>
      <c r="L5" s="26">
        <f>'TE BE'!$L$5*'TE BE'!$L$50</f>
        <v>0</v>
      </c>
      <c r="M5" s="26">
        <f>'TE BE'!$M$5*'TE BE'!$M$50</f>
        <v>0</v>
      </c>
      <c r="N5" s="26">
        <f>'TE BE'!$N$5*'TE BE'!$N$50</f>
        <v>0</v>
      </c>
      <c r="O5" s="26">
        <f>'TE BE'!$O$5*'TE BE'!$O$50</f>
        <v>0</v>
      </c>
      <c r="P5" s="26">
        <f>'TE BE'!$P$5*'TE BE'!$P$50</f>
        <v>0</v>
      </c>
      <c r="Q5" s="26">
        <f>SUM($L$5:$P$5)</f>
        <v>0</v>
      </c>
      <c r="R5" s="26">
        <f>'TE BE'!$R$5*'TE BE'!$R$50</f>
        <v>-1.827218993494111</v>
      </c>
      <c r="S5" s="26">
        <f>SUM($R$5:$R$5)</f>
        <v>-1.827218993494111</v>
      </c>
      <c r="T5" s="26">
        <f>'TE BE'!$T$5*'TE BE'!$T$50</f>
        <v>0</v>
      </c>
      <c r="U5" s="26">
        <f>'TE BE'!$U$5*'TE BE'!$U$50</f>
        <v>0</v>
      </c>
      <c r="V5" s="26">
        <f>'TE BE'!$V$5*'TE BE'!$V$50</f>
        <v>0</v>
      </c>
      <c r="W5" s="26">
        <f>SUM($T$5:$V$5)</f>
        <v>0</v>
      </c>
      <c r="X5" s="26">
        <f>'TE BE'!$AB$5*'TE BE'!$X$50</f>
        <v>0</v>
      </c>
      <c r="Y5" s="26">
        <f>SUM($X$5:$X$5)</f>
        <v>0</v>
      </c>
      <c r="Z5" s="26">
        <f>'TE BE'!$Z$5*'TE BE'!$Z$50</f>
        <v>0</v>
      </c>
      <c r="AA5" s="26">
        <f>SUM($Z$5:$Z$5)</f>
        <v>0</v>
      </c>
      <c r="AB5" s="26">
        <f>SUMIF($L$4:$AA$4,"SUBTOTAL",$L$5:$AA$5)</f>
        <v>-1.827218993494111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76</v>
      </c>
      <c r="H6" s="29" t="s">
        <v>74</v>
      </c>
      <c r="I6" s="29">
        <f>'MERCADO TE'!$U$3</f>
        <v>12180.129000000001</v>
      </c>
      <c r="J6" s="15"/>
      <c r="L6" s="26">
        <f>'TE BE'!$L$6*'TE BE'!$L$50</f>
        <v>0</v>
      </c>
      <c r="M6" s="26">
        <f>'TE BE'!$M$6*'TE BE'!$M$50</f>
        <v>0</v>
      </c>
      <c r="N6" s="26">
        <f>'TE BE'!$N$6*'TE BE'!$N$50</f>
        <v>0</v>
      </c>
      <c r="O6" s="26">
        <f>'TE BE'!$O$6*'TE BE'!$O$50</f>
        <v>0</v>
      </c>
      <c r="P6" s="26">
        <f>'TE BE'!$P$6*'TE BE'!$P$50</f>
        <v>0</v>
      </c>
      <c r="Q6" s="26">
        <f>SUM($L$6:$P$6)</f>
        <v>0</v>
      </c>
      <c r="R6" s="26">
        <f>'TE BE'!$R$6*'TE BE'!$R$50</f>
        <v>-1.827218993494111</v>
      </c>
      <c r="S6" s="26">
        <f>SUM($R$6:$R$6)</f>
        <v>-1.827218993494111</v>
      </c>
      <c r="T6" s="26">
        <f>'TE BE'!$T$6*'TE BE'!$T$50</f>
        <v>0</v>
      </c>
      <c r="U6" s="26">
        <f>'TE BE'!$U$6*'TE BE'!$U$50</f>
        <v>0</v>
      </c>
      <c r="V6" s="26">
        <f>'TE BE'!$V$6*'TE BE'!$V$50</f>
        <v>0</v>
      </c>
      <c r="W6" s="26">
        <f>SUM($T$6:$V$6)</f>
        <v>0</v>
      </c>
      <c r="X6" s="26">
        <f>'TE BE'!$AB$6*'TE BE'!$X$50</f>
        <v>0</v>
      </c>
      <c r="Y6" s="26">
        <f>SUM($X$6:$X$6)</f>
        <v>0</v>
      </c>
      <c r="Z6" s="26">
        <f>'TE BE'!$Z$6*'TE BE'!$Z$50</f>
        <v>0</v>
      </c>
      <c r="AA6" s="26">
        <f>SUM($Z$6:$Z$6)</f>
        <v>0</v>
      </c>
      <c r="AB6" s="26">
        <f>SUMIF($L$4:$AA$4,"SUBTOTAL",$L$6:$AA$6)</f>
        <v>-1.827218993494111</v>
      </c>
    </row>
    <row r="7" spans="1:28" ht="11.25" customHeight="1" x14ac:dyDescent="0.25">
      <c r="A7" s="99" t="s">
        <v>39</v>
      </c>
      <c r="B7" s="99" t="s">
        <v>73</v>
      </c>
      <c r="C7" s="99" t="s">
        <v>25</v>
      </c>
      <c r="D7" s="99" t="s">
        <v>25</v>
      </c>
      <c r="E7" s="99" t="s">
        <v>25</v>
      </c>
      <c r="F7" s="99" t="s">
        <v>25</v>
      </c>
      <c r="G7" s="29" t="s">
        <v>75</v>
      </c>
      <c r="H7" s="29" t="s">
        <v>74</v>
      </c>
      <c r="I7" s="29">
        <f>'MERCADO TE'!$U$4</f>
        <v>14718.998999999998</v>
      </c>
      <c r="J7" s="15"/>
      <c r="L7" s="26">
        <f>'TE BE'!$L$7*'TE BE'!$L$50</f>
        <v>0</v>
      </c>
      <c r="M7" s="26">
        <f>'TE BE'!$M$7*'TE BE'!$M$50</f>
        <v>0</v>
      </c>
      <c r="N7" s="26">
        <f>'TE BE'!$N$7*'TE BE'!$N$50</f>
        <v>0</v>
      </c>
      <c r="O7" s="26">
        <f>'TE BE'!$O$7*'TE BE'!$O$50</f>
        <v>0</v>
      </c>
      <c r="P7" s="26">
        <f>'TE BE'!$P$7*'TE BE'!$P$50</f>
        <v>0</v>
      </c>
      <c r="Q7" s="26">
        <f>SUM($L$7:$P$7)</f>
        <v>0</v>
      </c>
      <c r="R7" s="26">
        <f>'TE BE'!$R$7*'TE BE'!$R$50</f>
        <v>-1.827218993494111</v>
      </c>
      <c r="S7" s="26">
        <f>SUM($R$7:$R$7)</f>
        <v>-1.827218993494111</v>
      </c>
      <c r="T7" s="26">
        <f>'TE BE'!$T$7*'TE BE'!$T$50</f>
        <v>0</v>
      </c>
      <c r="U7" s="26">
        <f>'TE BE'!$U$7*'TE BE'!$U$50</f>
        <v>0</v>
      </c>
      <c r="V7" s="26">
        <f>'TE BE'!$V$7*'TE BE'!$V$50</f>
        <v>0</v>
      </c>
      <c r="W7" s="26">
        <f>SUM($T$7:$V$7)</f>
        <v>0</v>
      </c>
      <c r="X7" s="26">
        <f>'TE BE'!$AB$7*'TE BE'!$X$50</f>
        <v>0</v>
      </c>
      <c r="Y7" s="26">
        <f>SUM($X$7:$X$7)</f>
        <v>0</v>
      </c>
      <c r="Z7" s="26">
        <f>'TE BE'!$Z$7*'TE BE'!$Z$50</f>
        <v>0</v>
      </c>
      <c r="AA7" s="26">
        <f>SUM($Z$7:$Z$7)</f>
        <v>0</v>
      </c>
      <c r="AB7" s="26">
        <f>SUMIF($L$4:$AA$4,"SUBTOTAL",$L$7:$AA$7)</f>
        <v>-1.827218993494111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76</v>
      </c>
      <c r="H8" s="29" t="s">
        <v>74</v>
      </c>
      <c r="I8" s="29">
        <f>'MERCADO TE'!$U$5</f>
        <v>200745.10000000003</v>
      </c>
      <c r="J8" s="15"/>
      <c r="L8" s="26">
        <f>'TE BE'!$L$8*'TE BE'!$L$50</f>
        <v>0</v>
      </c>
      <c r="M8" s="26">
        <f>'TE BE'!$M$8*'TE BE'!$M$50</f>
        <v>0</v>
      </c>
      <c r="N8" s="26">
        <f>'TE BE'!$N$8*'TE BE'!$N$50</f>
        <v>0</v>
      </c>
      <c r="O8" s="26">
        <f>'TE BE'!$O$8*'TE BE'!$O$50</f>
        <v>0</v>
      </c>
      <c r="P8" s="26">
        <f>'TE BE'!$P$8*'TE BE'!$P$50</f>
        <v>0</v>
      </c>
      <c r="Q8" s="26">
        <f>SUM($L$8:$P$8)</f>
        <v>0</v>
      </c>
      <c r="R8" s="26">
        <f>'TE BE'!$R$8*'TE BE'!$R$50</f>
        <v>-1.827218993494111</v>
      </c>
      <c r="S8" s="26">
        <f>SUM($R$8:$R$8)</f>
        <v>-1.827218993494111</v>
      </c>
      <c r="T8" s="26">
        <f>'TE BE'!$T$8*'TE BE'!$T$50</f>
        <v>0</v>
      </c>
      <c r="U8" s="26">
        <f>'TE BE'!$U$8*'TE BE'!$U$50</f>
        <v>0</v>
      </c>
      <c r="V8" s="26">
        <f>'TE BE'!$V$8*'TE BE'!$V$50</f>
        <v>0</v>
      </c>
      <c r="W8" s="26">
        <f>SUM($T$8:$V$8)</f>
        <v>0</v>
      </c>
      <c r="X8" s="26">
        <f>'TE BE'!$AB$8*'TE BE'!$X$50</f>
        <v>0</v>
      </c>
      <c r="Y8" s="26">
        <f>SUM($X$8:$X$8)</f>
        <v>0</v>
      </c>
      <c r="Z8" s="26">
        <f>'TE BE'!$Z$8*'TE BE'!$Z$50</f>
        <v>0</v>
      </c>
      <c r="AA8" s="26">
        <f>SUM($Z$8:$Z$8)</f>
        <v>0</v>
      </c>
      <c r="AB8" s="26">
        <f>SUMIF($L$4:$AA$4,"SUBTOTAL",$L$8:$AA$8)</f>
        <v>-1.827218993494111</v>
      </c>
    </row>
    <row r="9" spans="1:28" ht="11.25" customHeight="1" x14ac:dyDescent="0.25">
      <c r="A9" s="99" t="s">
        <v>22</v>
      </c>
      <c r="B9" s="99" t="s">
        <v>73</v>
      </c>
      <c r="C9" s="99" t="s">
        <v>24</v>
      </c>
      <c r="D9" s="99" t="s">
        <v>24</v>
      </c>
      <c r="E9" s="99" t="s">
        <v>25</v>
      </c>
      <c r="F9" s="99" t="s">
        <v>25</v>
      </c>
      <c r="G9" s="29" t="s">
        <v>75</v>
      </c>
      <c r="H9" s="29" t="s">
        <v>74</v>
      </c>
      <c r="I9" s="29">
        <f>'MERCADO TE'!$U$6</f>
        <v>0.154</v>
      </c>
      <c r="J9" s="15"/>
      <c r="L9" s="26">
        <f>'TE BE'!$L$9*'TE BE'!$L$50</f>
        <v>0</v>
      </c>
      <c r="M9" s="26">
        <f>'TE BE'!$M$9*'TE BE'!$M$50</f>
        <v>0</v>
      </c>
      <c r="N9" s="26">
        <f>'TE BE'!$N$9*'TE BE'!$N$50</f>
        <v>0</v>
      </c>
      <c r="O9" s="26">
        <f>'TE BE'!$O$9*'TE BE'!$O$50</f>
        <v>0</v>
      </c>
      <c r="P9" s="26">
        <f>'TE BE'!$P$9*'TE BE'!$P$50</f>
        <v>0</v>
      </c>
      <c r="Q9" s="26">
        <f>SUM($L$9:$P$9)</f>
        <v>0</v>
      </c>
      <c r="R9" s="26">
        <f>'TE BE'!$R$9*'TE BE'!$R$50</f>
        <v>-1.827218993494111</v>
      </c>
      <c r="S9" s="26">
        <f>SUM($R$9:$R$9)</f>
        <v>-1.827218993494111</v>
      </c>
      <c r="T9" s="26">
        <f>'TE BE'!$T$9*'TE BE'!$T$50</f>
        <v>0</v>
      </c>
      <c r="U9" s="26">
        <f>'TE BE'!$U$9*'TE BE'!$U$50</f>
        <v>0</v>
      </c>
      <c r="V9" s="26">
        <f>'TE BE'!$V$9*'TE BE'!$V$50</f>
        <v>0</v>
      </c>
      <c r="W9" s="26">
        <f>SUM($T$9:$V$9)</f>
        <v>0</v>
      </c>
      <c r="X9" s="26">
        <f>'TE BE'!$AB$9*'TE BE'!$X$50</f>
        <v>0</v>
      </c>
      <c r="Y9" s="26">
        <f>SUM($X$9:$X$9)</f>
        <v>0</v>
      </c>
      <c r="Z9" s="26">
        <f>'TE BE'!$Z$9*'TE BE'!$Z$50</f>
        <v>0</v>
      </c>
      <c r="AA9" s="26">
        <f>SUM($Z$9:$Z$9)</f>
        <v>0</v>
      </c>
      <c r="AB9" s="26">
        <f>SUMIF($L$4:$AA$4,"SUBTOTAL",$L$9:$AA$9)</f>
        <v>-1.827218993494111</v>
      </c>
    </row>
    <row r="10" spans="1:28" ht="11.25" customHeight="1" x14ac:dyDescent="0.25">
      <c r="A10" s="99"/>
      <c r="B10" s="99"/>
      <c r="C10" s="99"/>
      <c r="D10" s="99"/>
      <c r="E10" s="99"/>
      <c r="F10" s="99"/>
      <c r="G10" s="29" t="s">
        <v>86</v>
      </c>
      <c r="H10" s="29" t="s">
        <v>74</v>
      </c>
      <c r="I10" s="29">
        <f>'MERCADO TE'!$U$7</f>
        <v>8.5999999999999993E-2</v>
      </c>
      <c r="J10" s="15"/>
      <c r="L10" s="26">
        <f>'TE BE'!$L$10*'TE BE'!$L$50</f>
        <v>0</v>
      </c>
      <c r="M10" s="26">
        <f>'TE BE'!$M$10*'TE BE'!$M$50</f>
        <v>0</v>
      </c>
      <c r="N10" s="26">
        <f>'TE BE'!$N$10*'TE BE'!$N$50</f>
        <v>0</v>
      </c>
      <c r="O10" s="26">
        <f>'TE BE'!$O$10*'TE BE'!$O$50</f>
        <v>0</v>
      </c>
      <c r="P10" s="26">
        <f>'TE BE'!$P$10*'TE BE'!$P$50</f>
        <v>0</v>
      </c>
      <c r="Q10" s="26">
        <f>SUM($L$10:$P$10)</f>
        <v>0</v>
      </c>
      <c r="R10" s="26">
        <f>'TE BE'!$R$10*'TE BE'!$R$50</f>
        <v>-1.827218993494111</v>
      </c>
      <c r="S10" s="26">
        <f>SUM($R$10:$R$10)</f>
        <v>-1.827218993494111</v>
      </c>
      <c r="T10" s="26">
        <f>'TE BE'!$T$10*'TE BE'!$T$50</f>
        <v>0</v>
      </c>
      <c r="U10" s="26">
        <f>'TE BE'!$U$10*'TE BE'!$U$50</f>
        <v>0</v>
      </c>
      <c r="V10" s="26">
        <f>'TE BE'!$V$10*'TE BE'!$V$50</f>
        <v>0</v>
      </c>
      <c r="W10" s="26">
        <f>SUM($T$10:$V$10)</f>
        <v>0</v>
      </c>
      <c r="X10" s="26">
        <f>'TE BE'!$AB$10*'TE BE'!$X$50</f>
        <v>0</v>
      </c>
      <c r="Y10" s="26">
        <f>SUM($X$10:$X$10)</f>
        <v>0</v>
      </c>
      <c r="Z10" s="26">
        <f>'TE BE'!$Z$10*'TE BE'!$Z$50</f>
        <v>0</v>
      </c>
      <c r="AA10" s="26">
        <f>SUM($Z$10:$Z$10)</f>
        <v>0</v>
      </c>
      <c r="AB10" s="26">
        <f>SUMIF($L$4:$AA$4,"SUBTOTAL",$L$10:$AA$10)</f>
        <v>-1.827218993494111</v>
      </c>
    </row>
    <row r="11" spans="1:28" ht="11.25" customHeight="1" x14ac:dyDescent="0.25">
      <c r="A11" s="99"/>
      <c r="B11" s="99"/>
      <c r="C11" s="99"/>
      <c r="D11" s="99"/>
      <c r="E11" s="99"/>
      <c r="F11" s="99"/>
      <c r="G11" s="29" t="s">
        <v>76</v>
      </c>
      <c r="H11" s="29" t="s">
        <v>74</v>
      </c>
      <c r="I11" s="29">
        <f>'MERCADO TE'!$U$8</f>
        <v>0.95099999999999996</v>
      </c>
      <c r="J11" s="15"/>
      <c r="L11" s="26">
        <f>'TE BE'!$L$11*'TE BE'!$L$50</f>
        <v>0</v>
      </c>
      <c r="M11" s="26">
        <f>'TE BE'!$M$11*'TE BE'!$M$50</f>
        <v>0</v>
      </c>
      <c r="N11" s="26">
        <f>'TE BE'!$N$11*'TE BE'!$N$50</f>
        <v>0</v>
      </c>
      <c r="O11" s="26">
        <f>'TE BE'!$O$11*'TE BE'!$O$50</f>
        <v>0</v>
      </c>
      <c r="P11" s="26">
        <f>'TE BE'!$P$11*'TE BE'!$P$50</f>
        <v>0</v>
      </c>
      <c r="Q11" s="26">
        <f>SUM($L$11:$P$11)</f>
        <v>0</v>
      </c>
      <c r="R11" s="26">
        <f>'TE BE'!$R$11*'TE BE'!$R$50</f>
        <v>-1.827218993494111</v>
      </c>
      <c r="S11" s="26">
        <f>SUM($R$11:$R$11)</f>
        <v>-1.827218993494111</v>
      </c>
      <c r="T11" s="26">
        <f>'TE BE'!$T$11*'TE BE'!$T$50</f>
        <v>0</v>
      </c>
      <c r="U11" s="26">
        <f>'TE BE'!$U$11*'TE BE'!$U$50</f>
        <v>0</v>
      </c>
      <c r="V11" s="26">
        <f>'TE BE'!$V$11*'TE BE'!$V$50</f>
        <v>0</v>
      </c>
      <c r="W11" s="26">
        <f>SUM($T$11:$V$11)</f>
        <v>0</v>
      </c>
      <c r="X11" s="26">
        <f>'TE BE'!$AB$11*'TE BE'!$X$50</f>
        <v>0</v>
      </c>
      <c r="Y11" s="26">
        <f>SUM($X$11:$X$11)</f>
        <v>0</v>
      </c>
      <c r="Z11" s="26">
        <f>'TE BE'!$Z$11*'TE BE'!$Z$50</f>
        <v>0</v>
      </c>
      <c r="AA11" s="26">
        <f>SUM($Z$11:$Z$11)</f>
        <v>0</v>
      </c>
      <c r="AB11" s="26">
        <f>SUMIF($L$4:$AA$4,"SUBTOTAL",$L$11:$AA$11)</f>
        <v>-1.827218993494111</v>
      </c>
    </row>
    <row r="12" spans="1:28" ht="11.25" customHeight="1" x14ac:dyDescent="0.25">
      <c r="A12" s="99"/>
      <c r="B12" s="99" t="s">
        <v>87</v>
      </c>
      <c r="C12" s="99" t="s">
        <v>24</v>
      </c>
      <c r="D12" s="28" t="s">
        <v>24</v>
      </c>
      <c r="E12" s="28" t="s">
        <v>25</v>
      </c>
      <c r="F12" s="28" t="s">
        <v>25</v>
      </c>
      <c r="G12" s="29" t="s">
        <v>80</v>
      </c>
      <c r="H12" s="29" t="s">
        <v>74</v>
      </c>
      <c r="I12" s="29">
        <f>'MERCADO TE'!$U$9</f>
        <v>58542.483</v>
      </c>
      <c r="J12" s="15"/>
      <c r="L12" s="26">
        <f>'TE BE'!$L$12*'TE BE'!$L$50</f>
        <v>0</v>
      </c>
      <c r="M12" s="26">
        <f>'TE BE'!$M$12*'TE BE'!$M$50</f>
        <v>0</v>
      </c>
      <c r="N12" s="26">
        <f>'TE BE'!$N$12*'TE BE'!$N$50</f>
        <v>0</v>
      </c>
      <c r="O12" s="26">
        <f>'TE BE'!$O$12*'TE BE'!$O$50</f>
        <v>0</v>
      </c>
      <c r="P12" s="26">
        <f>'TE BE'!$P$12*'TE BE'!$P$50</f>
        <v>0</v>
      </c>
      <c r="Q12" s="26">
        <f>SUM($L$12:$P$12)</f>
        <v>0</v>
      </c>
      <c r="R12" s="26">
        <f>'TE BE'!$R$12*'TE BE'!$R$50</f>
        <v>-1.827218993494111</v>
      </c>
      <c r="S12" s="26">
        <f>SUM($R$12:$R$12)</f>
        <v>-1.827218993494111</v>
      </c>
      <c r="T12" s="26">
        <f>'TE BE'!$T$12*'TE BE'!$T$50</f>
        <v>0</v>
      </c>
      <c r="U12" s="26">
        <f>'TE BE'!$U$12*'TE BE'!$U$50</f>
        <v>0</v>
      </c>
      <c r="V12" s="26">
        <f>'TE BE'!$V$12*'TE BE'!$V$50</f>
        <v>0</v>
      </c>
      <c r="W12" s="26">
        <f>SUM($T$12:$V$12)</f>
        <v>0</v>
      </c>
      <c r="X12" s="26">
        <f>'TE BE'!$AB$12*'TE BE'!$X$50</f>
        <v>0</v>
      </c>
      <c r="Y12" s="26">
        <f>SUM($X$12:$X$12)</f>
        <v>0</v>
      </c>
      <c r="Z12" s="26">
        <f>'TE BE'!$Z$12*'TE BE'!$Z$50</f>
        <v>0</v>
      </c>
      <c r="AA12" s="26">
        <f>SUM($Z$12:$Z$12)</f>
        <v>0</v>
      </c>
      <c r="AB12" s="26">
        <f>SUMIF($L$4:$AA$4,"SUBTOTAL",$L$12:$AA$12)</f>
        <v>-1.827218993494111</v>
      </c>
    </row>
    <row r="13" spans="1:28" ht="11.25" customHeight="1" x14ac:dyDescent="0.25">
      <c r="A13" s="99"/>
      <c r="B13" s="99"/>
      <c r="C13" s="99"/>
      <c r="D13" s="28" t="s">
        <v>29</v>
      </c>
      <c r="E13" s="28" t="s">
        <v>25</v>
      </c>
      <c r="F13" s="28" t="s">
        <v>25</v>
      </c>
      <c r="G13" s="29" t="s">
        <v>80</v>
      </c>
      <c r="H13" s="29" t="s">
        <v>74</v>
      </c>
      <c r="I13" s="29">
        <f>'MERCADO TE'!$U$10</f>
        <v>209.435</v>
      </c>
      <c r="J13" s="15"/>
      <c r="L13" s="26">
        <f>'TE BE'!$L$13*'TE BE'!$L$50</f>
        <v>0</v>
      </c>
      <c r="M13" s="26">
        <f>'TE BE'!$M$13*'TE BE'!$M$50</f>
        <v>0</v>
      </c>
      <c r="N13" s="26">
        <f>'TE BE'!$N$13*'TE BE'!$N$50</f>
        <v>0</v>
      </c>
      <c r="O13" s="26">
        <f>'TE BE'!$O$13*'TE BE'!$O$50</f>
        <v>0</v>
      </c>
      <c r="P13" s="26">
        <f>'TE BE'!$P$13*'TE BE'!$P$50</f>
        <v>0</v>
      </c>
      <c r="Q13" s="26">
        <f>SUM($L$13:$P$13)</f>
        <v>0</v>
      </c>
      <c r="R13" s="26">
        <f>'TE BE'!$R$13*'TE BE'!$R$50</f>
        <v>-1.827218993494111</v>
      </c>
      <c r="S13" s="26">
        <f>SUM($R$13:$R$13)</f>
        <v>-1.827218993494111</v>
      </c>
      <c r="T13" s="26">
        <f>'TE BE'!$T$13*'TE BE'!$T$50</f>
        <v>0</v>
      </c>
      <c r="U13" s="26">
        <f>'TE BE'!$U$13*'TE BE'!$U$50</f>
        <v>0</v>
      </c>
      <c r="V13" s="26">
        <f>'TE BE'!$V$13*'TE BE'!$V$50</f>
        <v>0</v>
      </c>
      <c r="W13" s="26">
        <f>SUM($T$13:$V$13)</f>
        <v>0</v>
      </c>
      <c r="X13" s="26">
        <f>'TE BE'!$AB$13*'TE BE'!$X$50</f>
        <v>0</v>
      </c>
      <c r="Y13" s="26">
        <f>SUM($X$13:$X$13)</f>
        <v>0</v>
      </c>
      <c r="Z13" s="26">
        <f>'TE BE'!$Z$13*'TE BE'!$Z$50</f>
        <v>0</v>
      </c>
      <c r="AA13" s="26">
        <f>SUM($Z$13:$Z$13)</f>
        <v>0</v>
      </c>
      <c r="AB13" s="26">
        <f>SUMIF($L$4:$AA$4,"SUBTOTAL",$L$13:$AA$13)</f>
        <v>-1.827218993494111</v>
      </c>
    </row>
    <row r="14" spans="1:28" ht="11.25" customHeight="1" x14ac:dyDescent="0.25">
      <c r="A14" s="99"/>
      <c r="B14" s="99"/>
      <c r="C14" s="99"/>
      <c r="D14" s="28" t="s">
        <v>30</v>
      </c>
      <c r="E14" s="28" t="s">
        <v>25</v>
      </c>
      <c r="F14" s="28" t="s">
        <v>25</v>
      </c>
      <c r="G14" s="29" t="s">
        <v>80</v>
      </c>
      <c r="H14" s="29" t="s">
        <v>74</v>
      </c>
      <c r="I14" s="29">
        <f>'MERCADO TE'!$U$11</f>
        <v>450.29900000000004</v>
      </c>
      <c r="J14" s="15"/>
      <c r="L14" s="26">
        <f>'TE BE'!$L$14*'TE BE'!$L$50</f>
        <v>0</v>
      </c>
      <c r="M14" s="26">
        <f>'TE BE'!$M$14*'TE BE'!$M$50</f>
        <v>0</v>
      </c>
      <c r="N14" s="26">
        <f>'TE BE'!$N$14*'TE BE'!$N$50</f>
        <v>0</v>
      </c>
      <c r="O14" s="26">
        <f>'TE BE'!$O$14*'TE BE'!$O$50</f>
        <v>0</v>
      </c>
      <c r="P14" s="26">
        <f>'TE BE'!$P$14*'TE BE'!$P$50</f>
        <v>0</v>
      </c>
      <c r="Q14" s="26">
        <f>SUM($L$14:$P$14)</f>
        <v>0</v>
      </c>
      <c r="R14" s="26">
        <f>'TE BE'!$R$14*'TE BE'!$R$50</f>
        <v>-1.827218993494111</v>
      </c>
      <c r="S14" s="26">
        <f>SUM($R$14:$R$14)</f>
        <v>-1.827218993494111</v>
      </c>
      <c r="T14" s="26">
        <f>'TE BE'!$T$14*'TE BE'!$T$50</f>
        <v>0</v>
      </c>
      <c r="U14" s="26">
        <f>'TE BE'!$U$14*'TE BE'!$U$50</f>
        <v>0</v>
      </c>
      <c r="V14" s="26">
        <f>'TE BE'!$V$14*'TE BE'!$V$50</f>
        <v>0</v>
      </c>
      <c r="W14" s="26">
        <f>SUM($T$14:$V$14)</f>
        <v>0</v>
      </c>
      <c r="X14" s="26">
        <f>'TE BE'!$AB$14*'TE BE'!$X$50</f>
        <v>0</v>
      </c>
      <c r="Y14" s="26">
        <f>SUM($X$14:$X$14)</f>
        <v>0</v>
      </c>
      <c r="Z14" s="26">
        <f>'TE BE'!$Z$14*'TE BE'!$Z$50</f>
        <v>0</v>
      </c>
      <c r="AA14" s="26">
        <f>SUM($Z$14:$Z$14)</f>
        <v>0</v>
      </c>
      <c r="AB14" s="26">
        <f>SUMIF($L$4:$AA$4,"SUBTOTAL",$L$14:$AA$14)</f>
        <v>-1.827218993494111</v>
      </c>
    </row>
    <row r="15" spans="1:28" ht="11.25" customHeight="1" x14ac:dyDescent="0.25">
      <c r="A15" s="99"/>
      <c r="B15" s="99"/>
      <c r="C15" s="99"/>
      <c r="D15" s="28" t="s">
        <v>31</v>
      </c>
      <c r="E15" s="28" t="s">
        <v>25</v>
      </c>
      <c r="F15" s="28" t="s">
        <v>25</v>
      </c>
      <c r="G15" s="29" t="s">
        <v>80</v>
      </c>
      <c r="H15" s="29" t="s">
        <v>74</v>
      </c>
      <c r="I15" s="29">
        <f>'MERCADO TE'!$U$12</f>
        <v>514.49699999999996</v>
      </c>
      <c r="J15" s="15"/>
      <c r="L15" s="26">
        <f>'TE BE'!$L$15*'TE BE'!$L$50</f>
        <v>0</v>
      </c>
      <c r="M15" s="26">
        <f>'TE BE'!$M$15*'TE BE'!$M$50</f>
        <v>0</v>
      </c>
      <c r="N15" s="26">
        <f>'TE BE'!$N$15*'TE BE'!$N$50</f>
        <v>0</v>
      </c>
      <c r="O15" s="26">
        <f>'TE BE'!$O$15*'TE BE'!$O$50</f>
        <v>0</v>
      </c>
      <c r="P15" s="26">
        <f>'TE BE'!$P$15*'TE BE'!$P$50</f>
        <v>0</v>
      </c>
      <c r="Q15" s="26">
        <f>SUM($L$15:$P$15)</f>
        <v>0</v>
      </c>
      <c r="R15" s="26">
        <f>'TE BE'!$R$15*'TE BE'!$R$50</f>
        <v>-1.827218993494111</v>
      </c>
      <c r="S15" s="26">
        <f>SUM($R$15:$R$15)</f>
        <v>-1.827218993494111</v>
      </c>
      <c r="T15" s="26">
        <f>'TE BE'!$T$15*'TE BE'!$T$50</f>
        <v>0</v>
      </c>
      <c r="U15" s="26">
        <f>'TE BE'!$U$15*'TE BE'!$U$50</f>
        <v>0</v>
      </c>
      <c r="V15" s="26">
        <f>'TE BE'!$V$15*'TE BE'!$V$50</f>
        <v>0</v>
      </c>
      <c r="W15" s="26">
        <f>SUM($T$15:$V$15)</f>
        <v>0</v>
      </c>
      <c r="X15" s="26">
        <f>'TE BE'!$AB$15*'TE BE'!$X$50</f>
        <v>0</v>
      </c>
      <c r="Y15" s="26">
        <f>SUM($X$15:$X$15)</f>
        <v>0</v>
      </c>
      <c r="Z15" s="26">
        <f>'TE BE'!$Z$15*'TE BE'!$Z$50</f>
        <v>0</v>
      </c>
      <c r="AA15" s="26">
        <f>SUM($Z$15:$Z$15)</f>
        <v>0</v>
      </c>
      <c r="AB15" s="26">
        <f>SUMIF($L$4:$AA$4,"SUBTOTAL",$L$15:$AA$15)</f>
        <v>-1.827218993494111</v>
      </c>
    </row>
    <row r="16" spans="1:28" ht="11.25" customHeight="1" x14ac:dyDescent="0.25">
      <c r="A16" s="99"/>
      <c r="B16" s="99"/>
      <c r="C16" s="99"/>
      <c r="D16" s="28" t="s">
        <v>32</v>
      </c>
      <c r="E16" s="28" t="s">
        <v>25</v>
      </c>
      <c r="F16" s="28" t="s">
        <v>25</v>
      </c>
      <c r="G16" s="29" t="s">
        <v>80</v>
      </c>
      <c r="H16" s="29" t="s">
        <v>74</v>
      </c>
      <c r="I16" s="29">
        <f>'MERCADO TE'!$U$13</f>
        <v>277.88899999999995</v>
      </c>
      <c r="J16" s="15"/>
      <c r="L16" s="26">
        <f>'TE BE'!$L$16*'TE BE'!$L$50</f>
        <v>0</v>
      </c>
      <c r="M16" s="26">
        <f>'TE BE'!$M$16*'TE BE'!$M$50</f>
        <v>0</v>
      </c>
      <c r="N16" s="26">
        <f>'TE BE'!$N$16*'TE BE'!$N$50</f>
        <v>0</v>
      </c>
      <c r="O16" s="26">
        <f>'TE BE'!$O$16*'TE BE'!$O$50</f>
        <v>0</v>
      </c>
      <c r="P16" s="26">
        <f>'TE BE'!$P$16*'TE BE'!$P$50</f>
        <v>0</v>
      </c>
      <c r="Q16" s="26">
        <f>SUM($L$16:$P$16)</f>
        <v>0</v>
      </c>
      <c r="R16" s="26">
        <f>'TE BE'!$R$16*'TE BE'!$R$50</f>
        <v>-1.827218993494111</v>
      </c>
      <c r="S16" s="26">
        <f>SUM($R$16:$R$16)</f>
        <v>-1.827218993494111</v>
      </c>
      <c r="T16" s="26">
        <f>'TE BE'!$T$16*'TE BE'!$T$50</f>
        <v>0</v>
      </c>
      <c r="U16" s="26">
        <f>'TE BE'!$U$16*'TE BE'!$U$50</f>
        <v>0</v>
      </c>
      <c r="V16" s="26">
        <f>'TE BE'!$V$16*'TE BE'!$V$50</f>
        <v>0</v>
      </c>
      <c r="W16" s="26">
        <f>SUM($T$16:$V$16)</f>
        <v>0</v>
      </c>
      <c r="X16" s="26">
        <f>'TE BE'!$AB$16*'TE BE'!$X$50</f>
        <v>0</v>
      </c>
      <c r="Y16" s="26">
        <f>SUM($X$16:$X$16)</f>
        <v>0</v>
      </c>
      <c r="Z16" s="26">
        <f>'TE BE'!$Z$16*'TE BE'!$Z$50</f>
        <v>0</v>
      </c>
      <c r="AA16" s="26">
        <f>SUM($Z$16:$Z$16)</f>
        <v>0</v>
      </c>
      <c r="AB16" s="26">
        <f>SUMIF($L$4:$AA$4,"SUBTOTAL",$L$16:$AA$16)</f>
        <v>-1.827218993494111</v>
      </c>
    </row>
    <row r="17" spans="1:28" ht="11.25" customHeight="1" x14ac:dyDescent="0.25">
      <c r="A17" s="99"/>
      <c r="B17" s="99" t="s">
        <v>88</v>
      </c>
      <c r="C17" s="99" t="s">
        <v>24</v>
      </c>
      <c r="D17" s="28" t="s">
        <v>24</v>
      </c>
      <c r="E17" s="28" t="s">
        <v>25</v>
      </c>
      <c r="F17" s="28" t="s">
        <v>25</v>
      </c>
      <c r="G17" s="29" t="s">
        <v>80</v>
      </c>
      <c r="H17" s="29" t="s">
        <v>74</v>
      </c>
      <c r="I17" s="29">
        <f>'MERCADO TE'!$U$14</f>
        <v>0</v>
      </c>
      <c r="J17" s="15"/>
      <c r="L17" s="26">
        <f>'TE BE'!$L$17*'TE BE'!$L$50</f>
        <v>0</v>
      </c>
      <c r="M17" s="26">
        <f>'TE BE'!$M$17*'TE BE'!$M$50</f>
        <v>0</v>
      </c>
      <c r="N17" s="26">
        <f>'TE BE'!$N$17*'TE BE'!$N$50</f>
        <v>0</v>
      </c>
      <c r="O17" s="26">
        <f>'TE BE'!$O$17*'TE BE'!$O$50</f>
        <v>0</v>
      </c>
      <c r="P17" s="26">
        <f>'TE BE'!$P$17*'TE BE'!$P$50</f>
        <v>0</v>
      </c>
      <c r="Q17" s="26">
        <f>SUM($L$17:$P$17)</f>
        <v>0</v>
      </c>
      <c r="R17" s="26">
        <f>'TE BE'!$R$17*'TE BE'!$R$50</f>
        <v>-1.827218993494111</v>
      </c>
      <c r="S17" s="26">
        <f>SUM($R$17:$R$17)</f>
        <v>-1.827218993494111</v>
      </c>
      <c r="T17" s="26">
        <f>'TE BE'!$T$17*'TE BE'!$T$50</f>
        <v>0</v>
      </c>
      <c r="U17" s="26">
        <f>'TE BE'!$U$17*'TE BE'!$U$50</f>
        <v>0</v>
      </c>
      <c r="V17" s="26">
        <f>'TE BE'!$V$17*'TE BE'!$V$50</f>
        <v>0</v>
      </c>
      <c r="W17" s="26">
        <f>SUM($T$17:$V$17)</f>
        <v>0</v>
      </c>
      <c r="X17" s="26">
        <f>'TE BE'!$AB$17*'TE BE'!$X$50</f>
        <v>0</v>
      </c>
      <c r="Y17" s="26">
        <f>SUM($X$17:$X$17)</f>
        <v>0</v>
      </c>
      <c r="Z17" s="26">
        <f>'TE BE'!$Z$17*'TE BE'!$Z$50</f>
        <v>0</v>
      </c>
      <c r="AA17" s="26">
        <f>SUM($Z$17:$Z$17)</f>
        <v>0</v>
      </c>
      <c r="AB17" s="26">
        <f>SUMIF($L$4:$AA$4,"SUBTOTAL",$L$17:$AA$17)</f>
        <v>-1.827218993494111</v>
      </c>
    </row>
    <row r="18" spans="1:28" ht="11.25" customHeight="1" x14ac:dyDescent="0.25">
      <c r="A18" s="99"/>
      <c r="B18" s="99"/>
      <c r="C18" s="99"/>
      <c r="D18" s="28" t="s">
        <v>29</v>
      </c>
      <c r="E18" s="28" t="s">
        <v>25</v>
      </c>
      <c r="F18" s="28" t="s">
        <v>25</v>
      </c>
      <c r="G18" s="29" t="s">
        <v>80</v>
      </c>
      <c r="H18" s="29" t="s">
        <v>74</v>
      </c>
      <c r="I18" s="29">
        <f>'MERCADO TE'!$U$15</f>
        <v>0</v>
      </c>
      <c r="J18" s="15"/>
      <c r="L18" s="26">
        <f>'TE BE'!$L$18*'TE BE'!$L$50</f>
        <v>0</v>
      </c>
      <c r="M18" s="26">
        <f>'TE BE'!$M$18*'TE BE'!$M$50</f>
        <v>0</v>
      </c>
      <c r="N18" s="26">
        <f>'TE BE'!$N$18*'TE BE'!$N$50</f>
        <v>0</v>
      </c>
      <c r="O18" s="26">
        <f>'TE BE'!$O$18*'TE BE'!$O$50</f>
        <v>0</v>
      </c>
      <c r="P18" s="26">
        <f>'TE BE'!$P$18*'TE BE'!$P$50</f>
        <v>0</v>
      </c>
      <c r="Q18" s="26">
        <f>SUM($L$18:$P$18)</f>
        <v>0</v>
      </c>
      <c r="R18" s="26">
        <f>'TE BE'!$R$18*'TE BE'!$R$50</f>
        <v>-1.827218993494111</v>
      </c>
      <c r="S18" s="26">
        <f>SUM($R$18:$R$18)</f>
        <v>-1.827218993494111</v>
      </c>
      <c r="T18" s="26">
        <f>'TE BE'!$T$18*'TE BE'!$T$50</f>
        <v>0</v>
      </c>
      <c r="U18" s="26">
        <f>'TE BE'!$U$18*'TE BE'!$U$50</f>
        <v>0</v>
      </c>
      <c r="V18" s="26">
        <f>'TE BE'!$V$18*'TE BE'!$V$50</f>
        <v>0</v>
      </c>
      <c r="W18" s="26">
        <f>SUM($T$18:$V$18)</f>
        <v>0</v>
      </c>
      <c r="X18" s="26">
        <f>'TE BE'!$AB$18*'TE BE'!$X$50</f>
        <v>0</v>
      </c>
      <c r="Y18" s="26">
        <f>SUM($X$18:$X$18)</f>
        <v>0</v>
      </c>
      <c r="Z18" s="26">
        <f>'TE BE'!$Z$18*'TE BE'!$Z$50</f>
        <v>0</v>
      </c>
      <c r="AA18" s="26">
        <f>SUM($Z$18:$Z$18)</f>
        <v>0</v>
      </c>
      <c r="AB18" s="26">
        <f>SUMIF($L$4:$AA$4,"SUBTOTAL",$L$18:$AA$18)</f>
        <v>-1.827218993494111</v>
      </c>
    </row>
    <row r="19" spans="1:28" ht="11.25" customHeight="1" x14ac:dyDescent="0.25">
      <c r="A19" s="99"/>
      <c r="B19" s="99"/>
      <c r="C19" s="99"/>
      <c r="D19" s="28" t="s">
        <v>30</v>
      </c>
      <c r="E19" s="28" t="s">
        <v>25</v>
      </c>
      <c r="F19" s="28" t="s">
        <v>25</v>
      </c>
      <c r="G19" s="29" t="s">
        <v>80</v>
      </c>
      <c r="H19" s="29" t="s">
        <v>74</v>
      </c>
      <c r="I19" s="29">
        <f>'MERCADO TE'!$U$16</f>
        <v>0</v>
      </c>
      <c r="J19" s="15"/>
      <c r="L19" s="26">
        <f>'TE BE'!$L$19*'TE BE'!$L$50</f>
        <v>0</v>
      </c>
      <c r="M19" s="26">
        <f>'TE BE'!$M$19*'TE BE'!$M$50</f>
        <v>0</v>
      </c>
      <c r="N19" s="26">
        <f>'TE BE'!$N$19*'TE BE'!$N$50</f>
        <v>0</v>
      </c>
      <c r="O19" s="26">
        <f>'TE BE'!$O$19*'TE BE'!$O$50</f>
        <v>0</v>
      </c>
      <c r="P19" s="26">
        <f>'TE BE'!$P$19*'TE BE'!$P$50</f>
        <v>0</v>
      </c>
      <c r="Q19" s="26">
        <f>SUM($L$19:$P$19)</f>
        <v>0</v>
      </c>
      <c r="R19" s="26">
        <f>'TE BE'!$R$19*'TE BE'!$R$50</f>
        <v>-1.827218993494111</v>
      </c>
      <c r="S19" s="26">
        <f>SUM($R$19:$R$19)</f>
        <v>-1.827218993494111</v>
      </c>
      <c r="T19" s="26">
        <f>'TE BE'!$T$19*'TE BE'!$T$50</f>
        <v>0</v>
      </c>
      <c r="U19" s="26">
        <f>'TE BE'!$U$19*'TE BE'!$U$50</f>
        <v>0</v>
      </c>
      <c r="V19" s="26">
        <f>'TE BE'!$V$19*'TE BE'!$V$50</f>
        <v>0</v>
      </c>
      <c r="W19" s="26">
        <f>SUM($T$19:$V$19)</f>
        <v>0</v>
      </c>
      <c r="X19" s="26">
        <f>'TE BE'!$AB$19*'TE BE'!$X$50</f>
        <v>0</v>
      </c>
      <c r="Y19" s="26">
        <f>SUM($X$19:$X$19)</f>
        <v>0</v>
      </c>
      <c r="Z19" s="26">
        <f>'TE BE'!$Z$19*'TE BE'!$Z$50</f>
        <v>0</v>
      </c>
      <c r="AA19" s="26">
        <f>SUM($Z$19:$Z$19)</f>
        <v>0</v>
      </c>
      <c r="AB19" s="26">
        <f>SUMIF($L$4:$AA$4,"SUBTOTAL",$L$19:$AA$19)</f>
        <v>-1.827218993494111</v>
      </c>
    </row>
    <row r="20" spans="1:28" ht="11.25" customHeight="1" x14ac:dyDescent="0.25">
      <c r="A20" s="99"/>
      <c r="B20" s="99"/>
      <c r="C20" s="99"/>
      <c r="D20" s="28" t="s">
        <v>31</v>
      </c>
      <c r="E20" s="28" t="s">
        <v>25</v>
      </c>
      <c r="F20" s="28" t="s">
        <v>25</v>
      </c>
      <c r="G20" s="29" t="s">
        <v>80</v>
      </c>
      <c r="H20" s="29" t="s">
        <v>74</v>
      </c>
      <c r="I20" s="29">
        <f>'MERCADO TE'!$U$17</f>
        <v>0</v>
      </c>
      <c r="J20" s="15"/>
      <c r="L20" s="26">
        <f>'TE BE'!$L$20*'TE BE'!$L$50</f>
        <v>0</v>
      </c>
      <c r="M20" s="26">
        <f>'TE BE'!$M$20*'TE BE'!$M$50</f>
        <v>0</v>
      </c>
      <c r="N20" s="26">
        <f>'TE BE'!$N$20*'TE BE'!$N$50</f>
        <v>0</v>
      </c>
      <c r="O20" s="26">
        <f>'TE BE'!$O$20*'TE BE'!$O$50</f>
        <v>0</v>
      </c>
      <c r="P20" s="26">
        <f>'TE BE'!$P$20*'TE BE'!$P$50</f>
        <v>0</v>
      </c>
      <c r="Q20" s="26">
        <f>SUM($L$20:$P$20)</f>
        <v>0</v>
      </c>
      <c r="R20" s="26">
        <f>'TE BE'!$R$20*'TE BE'!$R$50</f>
        <v>-1.827218993494111</v>
      </c>
      <c r="S20" s="26">
        <f>SUM($R$20:$R$20)</f>
        <v>-1.827218993494111</v>
      </c>
      <c r="T20" s="26">
        <f>'TE BE'!$T$20*'TE BE'!$T$50</f>
        <v>0</v>
      </c>
      <c r="U20" s="26">
        <f>'TE BE'!$U$20*'TE BE'!$U$50</f>
        <v>0</v>
      </c>
      <c r="V20" s="26">
        <f>'TE BE'!$V$20*'TE BE'!$V$50</f>
        <v>0</v>
      </c>
      <c r="W20" s="26">
        <f>SUM($T$20:$V$20)</f>
        <v>0</v>
      </c>
      <c r="X20" s="26">
        <f>'TE BE'!$AB$20*'TE BE'!$X$50</f>
        <v>0</v>
      </c>
      <c r="Y20" s="26">
        <f>SUM($X$20:$X$20)</f>
        <v>0</v>
      </c>
      <c r="Z20" s="26">
        <f>'TE BE'!$Z$20*'TE BE'!$Z$50</f>
        <v>0</v>
      </c>
      <c r="AA20" s="26">
        <f>SUM($Z$20:$Z$20)</f>
        <v>0</v>
      </c>
      <c r="AB20" s="26">
        <f>SUMIF($L$4:$AA$4,"SUBTOTAL",$L$20:$AA$20)</f>
        <v>-1.827218993494111</v>
      </c>
    </row>
    <row r="21" spans="1:28" ht="11.25" customHeight="1" x14ac:dyDescent="0.25">
      <c r="A21" s="99"/>
      <c r="B21" s="99"/>
      <c r="C21" s="99"/>
      <c r="D21" s="28" t="s">
        <v>32</v>
      </c>
      <c r="E21" s="28" t="s">
        <v>25</v>
      </c>
      <c r="F21" s="28" t="s">
        <v>25</v>
      </c>
      <c r="G21" s="29" t="s">
        <v>80</v>
      </c>
      <c r="H21" s="29" t="s">
        <v>74</v>
      </c>
      <c r="I21" s="29">
        <f>'MERCADO TE'!$U$18</f>
        <v>0</v>
      </c>
      <c r="J21" s="15"/>
      <c r="L21" s="26">
        <f>'TE BE'!$L$21*'TE BE'!$L$50</f>
        <v>0</v>
      </c>
      <c r="M21" s="26">
        <f>'TE BE'!$M$21*'TE BE'!$M$50</f>
        <v>0</v>
      </c>
      <c r="N21" s="26">
        <f>'TE BE'!$N$21*'TE BE'!$N$50</f>
        <v>0</v>
      </c>
      <c r="O21" s="26">
        <f>'TE BE'!$O$21*'TE BE'!$O$50</f>
        <v>0</v>
      </c>
      <c r="P21" s="26">
        <f>'TE BE'!$P$21*'TE BE'!$P$50</f>
        <v>0</v>
      </c>
      <c r="Q21" s="26">
        <f>SUM($L$21:$P$21)</f>
        <v>0</v>
      </c>
      <c r="R21" s="26">
        <f>'TE BE'!$R$21*'TE BE'!$R$50</f>
        <v>-1.827218993494111</v>
      </c>
      <c r="S21" s="26">
        <f>SUM($R$21:$R$21)</f>
        <v>-1.827218993494111</v>
      </c>
      <c r="T21" s="26">
        <f>'TE BE'!$T$21*'TE BE'!$T$50</f>
        <v>0</v>
      </c>
      <c r="U21" s="26">
        <f>'TE BE'!$U$21*'TE BE'!$U$50</f>
        <v>0</v>
      </c>
      <c r="V21" s="26">
        <f>'TE BE'!$V$21*'TE BE'!$V$50</f>
        <v>0</v>
      </c>
      <c r="W21" s="26">
        <f>SUM($T$21:$V$21)</f>
        <v>0</v>
      </c>
      <c r="X21" s="26">
        <f>'TE BE'!$AB$21*'TE BE'!$X$50</f>
        <v>0</v>
      </c>
      <c r="Y21" s="26">
        <f>SUM($X$21:$X$21)</f>
        <v>0</v>
      </c>
      <c r="Z21" s="26">
        <f>'TE BE'!$Z$21*'TE BE'!$Z$50</f>
        <v>0</v>
      </c>
      <c r="AA21" s="26">
        <f>SUM($Z$21:$Z$21)</f>
        <v>0</v>
      </c>
      <c r="AB21" s="26">
        <f>SUMIF($L$4:$AA$4,"SUBTOTAL",$L$21:$AA$21)</f>
        <v>-1.827218993494111</v>
      </c>
    </row>
    <row r="22" spans="1:28" ht="11.25" customHeight="1" x14ac:dyDescent="0.25">
      <c r="A22" s="99" t="s">
        <v>42</v>
      </c>
      <c r="B22" s="99" t="s">
        <v>73</v>
      </c>
      <c r="C22" s="99" t="s">
        <v>43</v>
      </c>
      <c r="D22" s="99" t="s">
        <v>25</v>
      </c>
      <c r="E22" s="99" t="s">
        <v>25</v>
      </c>
      <c r="F22" s="99" t="s">
        <v>25</v>
      </c>
      <c r="G22" s="29" t="s">
        <v>75</v>
      </c>
      <c r="H22" s="29" t="s">
        <v>74</v>
      </c>
      <c r="I22" s="29">
        <f>'MERCADO TE'!$U$19</f>
        <v>0</v>
      </c>
      <c r="J22" s="15"/>
      <c r="L22" s="26">
        <f>'TE BE'!$L$22*'TE BE'!$L$50</f>
        <v>0</v>
      </c>
      <c r="M22" s="26">
        <f>'TE BE'!$M$22*'TE BE'!$M$50</f>
        <v>0</v>
      </c>
      <c r="N22" s="26">
        <f>'TE BE'!$N$22*'TE BE'!$N$50</f>
        <v>0</v>
      </c>
      <c r="O22" s="26">
        <f>'TE BE'!$O$22*'TE BE'!$O$50</f>
        <v>0</v>
      </c>
      <c r="P22" s="26">
        <f>'TE BE'!$P$22*'TE BE'!$P$50</f>
        <v>0</v>
      </c>
      <c r="Q22" s="26">
        <f>SUM($L$22:$P$22)</f>
        <v>0</v>
      </c>
      <c r="R22" s="26">
        <f>'TE BE'!$R$22*'TE BE'!$R$50</f>
        <v>-1.827218993494111</v>
      </c>
      <c r="S22" s="26">
        <f>SUM($R$22:$R$22)</f>
        <v>-1.827218993494111</v>
      </c>
      <c r="T22" s="26">
        <f>'TE BE'!$T$22*'TE BE'!$T$50</f>
        <v>0</v>
      </c>
      <c r="U22" s="26">
        <f>'TE BE'!$U$22*'TE BE'!$U$50</f>
        <v>0</v>
      </c>
      <c r="V22" s="26">
        <f>'TE BE'!$V$22*'TE BE'!$V$50</f>
        <v>0</v>
      </c>
      <c r="W22" s="26">
        <f>SUM($T$22:$V$22)</f>
        <v>0</v>
      </c>
      <c r="X22" s="26">
        <f>'TE BE'!$AB$22*'TE BE'!$X$50</f>
        <v>0</v>
      </c>
      <c r="Y22" s="26">
        <f>SUM($X$22:$X$22)</f>
        <v>0</v>
      </c>
      <c r="Z22" s="26">
        <f>'TE BE'!$Z$22*'TE BE'!$Z$50</f>
        <v>0</v>
      </c>
      <c r="AA22" s="26">
        <f>SUM($Z$22:$Z$22)</f>
        <v>0</v>
      </c>
      <c r="AB22" s="26">
        <f>SUMIF($L$4:$AA$4,"SUBTOTAL",$L$22:$AA$22)</f>
        <v>-1.827218993494111</v>
      </c>
    </row>
    <row r="23" spans="1:28" ht="11.25" customHeight="1" x14ac:dyDescent="0.25">
      <c r="A23" s="99"/>
      <c r="B23" s="99"/>
      <c r="C23" s="99"/>
      <c r="D23" s="99"/>
      <c r="E23" s="99"/>
      <c r="F23" s="99"/>
      <c r="G23" s="29" t="s">
        <v>86</v>
      </c>
      <c r="H23" s="29" t="s">
        <v>74</v>
      </c>
      <c r="I23" s="29">
        <f>'MERCADO TE'!$U$20</f>
        <v>0</v>
      </c>
      <c r="J23" s="15"/>
      <c r="L23" s="26">
        <f>'TE BE'!$L$23*'TE BE'!$L$50</f>
        <v>0</v>
      </c>
      <c r="M23" s="26">
        <f>'TE BE'!$M$23*'TE BE'!$M$50</f>
        <v>0</v>
      </c>
      <c r="N23" s="26">
        <f>'TE BE'!$N$23*'TE BE'!$N$50</f>
        <v>0</v>
      </c>
      <c r="O23" s="26">
        <f>'TE BE'!$O$23*'TE BE'!$O$50</f>
        <v>0</v>
      </c>
      <c r="P23" s="26">
        <f>'TE BE'!$P$23*'TE BE'!$P$50</f>
        <v>0</v>
      </c>
      <c r="Q23" s="26">
        <f>SUM($L$23:$P$23)</f>
        <v>0</v>
      </c>
      <c r="R23" s="26">
        <f>'TE BE'!$R$23*'TE BE'!$R$50</f>
        <v>-1.827218993494111</v>
      </c>
      <c r="S23" s="26">
        <f>SUM($R$23:$R$23)</f>
        <v>-1.827218993494111</v>
      </c>
      <c r="T23" s="26">
        <f>'TE BE'!$T$23*'TE BE'!$T$50</f>
        <v>0</v>
      </c>
      <c r="U23" s="26">
        <f>'TE BE'!$U$23*'TE BE'!$U$50</f>
        <v>0</v>
      </c>
      <c r="V23" s="26">
        <f>'TE BE'!$V$23*'TE BE'!$V$50</f>
        <v>0</v>
      </c>
      <c r="W23" s="26">
        <f>SUM($T$23:$V$23)</f>
        <v>0</v>
      </c>
      <c r="X23" s="26">
        <f>'TE BE'!$AB$23*'TE BE'!$X$50</f>
        <v>0</v>
      </c>
      <c r="Y23" s="26">
        <f>SUM($X$23:$X$23)</f>
        <v>0</v>
      </c>
      <c r="Z23" s="26">
        <f>'TE BE'!$Z$23*'TE BE'!$Z$50</f>
        <v>0</v>
      </c>
      <c r="AA23" s="26">
        <f>SUM($Z$23:$Z$23)</f>
        <v>0</v>
      </c>
      <c r="AB23" s="26">
        <f>SUMIF($L$4:$AA$4,"SUBTOTAL",$L$23:$AA$23)</f>
        <v>-1.827218993494111</v>
      </c>
    </row>
    <row r="24" spans="1:28" ht="11.25" customHeight="1" x14ac:dyDescent="0.25">
      <c r="A24" s="99"/>
      <c r="B24" s="99"/>
      <c r="C24" s="99"/>
      <c r="D24" s="99"/>
      <c r="E24" s="99"/>
      <c r="F24" s="99"/>
      <c r="G24" s="29" t="s">
        <v>76</v>
      </c>
      <c r="H24" s="29" t="s">
        <v>74</v>
      </c>
      <c r="I24" s="29">
        <f>'MERCADO TE'!$U$21</f>
        <v>0</v>
      </c>
      <c r="J24" s="15"/>
      <c r="L24" s="26">
        <f>'TE BE'!$L$24*'TE BE'!$L$50</f>
        <v>0</v>
      </c>
      <c r="M24" s="26">
        <f>'TE BE'!$M$24*'TE BE'!$M$50</f>
        <v>0</v>
      </c>
      <c r="N24" s="26">
        <f>'TE BE'!$N$24*'TE BE'!$N$50</f>
        <v>0</v>
      </c>
      <c r="O24" s="26">
        <f>'TE BE'!$O$24*'TE BE'!$O$50</f>
        <v>0</v>
      </c>
      <c r="P24" s="26">
        <f>'TE BE'!$P$24*'TE BE'!$P$50</f>
        <v>0</v>
      </c>
      <c r="Q24" s="26">
        <f>SUM($L$24:$P$24)</f>
        <v>0</v>
      </c>
      <c r="R24" s="26">
        <f>'TE BE'!$R$24*'TE BE'!$R$50</f>
        <v>-1.827218993494111</v>
      </c>
      <c r="S24" s="26">
        <f>SUM($R$24:$R$24)</f>
        <v>-1.827218993494111</v>
      </c>
      <c r="T24" s="26">
        <f>'TE BE'!$T$24*'TE BE'!$T$50</f>
        <v>0</v>
      </c>
      <c r="U24" s="26">
        <f>'TE BE'!$U$24*'TE BE'!$U$50</f>
        <v>0</v>
      </c>
      <c r="V24" s="26">
        <f>'TE BE'!$V$24*'TE BE'!$V$50</f>
        <v>0</v>
      </c>
      <c r="W24" s="26">
        <f>SUM($T$24:$V$24)</f>
        <v>0</v>
      </c>
      <c r="X24" s="26">
        <f>'TE BE'!$AB$24*'TE BE'!$X$50</f>
        <v>0</v>
      </c>
      <c r="Y24" s="26">
        <f>SUM($X$24:$X$24)</f>
        <v>0</v>
      </c>
      <c r="Z24" s="26">
        <f>'TE BE'!$Z$24*'TE BE'!$Z$50</f>
        <v>0</v>
      </c>
      <c r="AA24" s="26">
        <f>SUM($Z$24:$Z$24)</f>
        <v>0</v>
      </c>
      <c r="AB24" s="26">
        <f>SUMIF($L$4:$AA$4,"SUBTOTAL",$L$24:$AA$24)</f>
        <v>-1.827218993494111</v>
      </c>
    </row>
    <row r="25" spans="1:28" ht="11.25" customHeight="1" x14ac:dyDescent="0.25">
      <c r="A25" s="99"/>
      <c r="B25" s="28" t="s">
        <v>87</v>
      </c>
      <c r="C25" s="28" t="s">
        <v>43</v>
      </c>
      <c r="D25" s="28" t="s">
        <v>25</v>
      </c>
      <c r="E25" s="28" t="s">
        <v>25</v>
      </c>
      <c r="F25" s="28" t="s">
        <v>25</v>
      </c>
      <c r="G25" s="29" t="s">
        <v>80</v>
      </c>
      <c r="H25" s="29" t="s">
        <v>74</v>
      </c>
      <c r="I25" s="29">
        <f>'MERCADO TE'!$U$22</f>
        <v>15992.407000000001</v>
      </c>
      <c r="J25" s="15"/>
      <c r="L25" s="26">
        <f>'TE BE'!$L$25*'TE BE'!$L$50</f>
        <v>0</v>
      </c>
      <c r="M25" s="26">
        <f>'TE BE'!$M$25*'TE BE'!$M$50</f>
        <v>0</v>
      </c>
      <c r="N25" s="26">
        <f>'TE BE'!$N$25*'TE BE'!$N$50</f>
        <v>0</v>
      </c>
      <c r="O25" s="26">
        <f>'TE BE'!$O$25*'TE BE'!$O$50</f>
        <v>0</v>
      </c>
      <c r="P25" s="26">
        <f>'TE BE'!$P$25*'TE BE'!$P$50</f>
        <v>0</v>
      </c>
      <c r="Q25" s="26">
        <f>SUM($L$25:$P$25)</f>
        <v>0</v>
      </c>
      <c r="R25" s="26">
        <f>'TE BE'!$R$25*'TE BE'!$R$50</f>
        <v>-1.827218993494111</v>
      </c>
      <c r="S25" s="26">
        <f>SUM($R$25:$R$25)</f>
        <v>-1.827218993494111</v>
      </c>
      <c r="T25" s="26">
        <f>'TE BE'!$T$25*'TE BE'!$T$50</f>
        <v>0</v>
      </c>
      <c r="U25" s="26">
        <f>'TE BE'!$U$25*'TE BE'!$U$50</f>
        <v>0</v>
      </c>
      <c r="V25" s="26">
        <f>'TE BE'!$V$25*'TE BE'!$V$50</f>
        <v>0</v>
      </c>
      <c r="W25" s="26">
        <f>SUM($T$25:$V$25)</f>
        <v>0</v>
      </c>
      <c r="X25" s="26">
        <f>'TE BE'!$AB$25*'TE BE'!$X$50</f>
        <v>0</v>
      </c>
      <c r="Y25" s="26">
        <f>SUM($X$25:$X$25)</f>
        <v>0</v>
      </c>
      <c r="Z25" s="26">
        <f>'TE BE'!$Z$25*'TE BE'!$Z$50</f>
        <v>0</v>
      </c>
      <c r="AA25" s="26">
        <f>SUM($Z$25:$Z$25)</f>
        <v>0</v>
      </c>
      <c r="AB25" s="26">
        <f>SUMIF($L$4:$AA$4,"SUBTOTAL",$L$25:$AA$25)</f>
        <v>-1.827218993494111</v>
      </c>
    </row>
    <row r="26" spans="1:28" ht="11.25" customHeight="1" x14ac:dyDescent="0.25">
      <c r="A26" s="99"/>
      <c r="B26" s="99" t="s">
        <v>73</v>
      </c>
      <c r="C26" s="99" t="s">
        <v>43</v>
      </c>
      <c r="D26" s="99" t="s">
        <v>90</v>
      </c>
      <c r="E26" s="99" t="s">
        <v>25</v>
      </c>
      <c r="F26" s="99" t="s">
        <v>25</v>
      </c>
      <c r="G26" s="29" t="s">
        <v>75</v>
      </c>
      <c r="H26" s="29" t="s">
        <v>74</v>
      </c>
      <c r="I26" s="29">
        <f>'MERCADO TE'!$U$23</f>
        <v>0</v>
      </c>
      <c r="J26" s="15"/>
      <c r="L26" s="26">
        <f>'TE BE'!$L$26*'TE BE'!$L$50</f>
        <v>0</v>
      </c>
      <c r="M26" s="26">
        <f>'TE BE'!$M$26*'TE BE'!$M$50</f>
        <v>0</v>
      </c>
      <c r="N26" s="26">
        <f>'TE BE'!$N$26*'TE BE'!$N$50</f>
        <v>0</v>
      </c>
      <c r="O26" s="26">
        <f>'TE BE'!$O$26*'TE BE'!$O$50</f>
        <v>0</v>
      </c>
      <c r="P26" s="26">
        <f>'TE BE'!$P$26*'TE BE'!$P$50</f>
        <v>0</v>
      </c>
      <c r="Q26" s="26">
        <f>SUM($L$26:$P$26)</f>
        <v>0</v>
      </c>
      <c r="R26" s="26">
        <f>'TE BE'!$R$26*'TE BE'!$R$50</f>
        <v>-1.827218993494111</v>
      </c>
      <c r="S26" s="26">
        <f>SUM($R$26:$R$26)</f>
        <v>-1.827218993494111</v>
      </c>
      <c r="T26" s="26">
        <f>'TE BE'!$T$26*'TE BE'!$T$50</f>
        <v>0</v>
      </c>
      <c r="U26" s="26">
        <f>'TE BE'!$U$26*'TE BE'!$U$50</f>
        <v>0</v>
      </c>
      <c r="V26" s="26">
        <f>'TE BE'!$V$26*'TE BE'!$V$50</f>
        <v>0</v>
      </c>
      <c r="W26" s="26">
        <f>SUM($T$26:$V$26)</f>
        <v>0</v>
      </c>
      <c r="X26" s="26">
        <f>'TE BE'!$AB$26*'TE BE'!$X$50</f>
        <v>0</v>
      </c>
      <c r="Y26" s="26">
        <f>SUM($X$26:$X$26)</f>
        <v>0</v>
      </c>
      <c r="Z26" s="26">
        <f>'TE BE'!$Z$26*'TE BE'!$Z$50</f>
        <v>0</v>
      </c>
      <c r="AA26" s="26">
        <f>SUM($Z$26:$Z$26)</f>
        <v>0</v>
      </c>
      <c r="AB26" s="26">
        <f>SUMIF($L$4:$AA$4,"SUBTOTAL",$L$26:$AA$26)</f>
        <v>-1.827218993494111</v>
      </c>
    </row>
    <row r="27" spans="1:28" ht="11.25" customHeight="1" x14ac:dyDescent="0.25">
      <c r="A27" s="99"/>
      <c r="B27" s="99"/>
      <c r="C27" s="99"/>
      <c r="D27" s="99"/>
      <c r="E27" s="99"/>
      <c r="F27" s="99"/>
      <c r="G27" s="29" t="s">
        <v>86</v>
      </c>
      <c r="H27" s="29" t="s">
        <v>74</v>
      </c>
      <c r="I27" s="29">
        <f>'MERCADO TE'!$U$24</f>
        <v>0</v>
      </c>
      <c r="J27" s="15"/>
      <c r="L27" s="26">
        <f>'TE BE'!$L$27*'TE BE'!$L$50</f>
        <v>0</v>
      </c>
      <c r="M27" s="26">
        <f>'TE BE'!$M$27*'TE BE'!$M$50</f>
        <v>0</v>
      </c>
      <c r="N27" s="26">
        <f>'TE BE'!$N$27*'TE BE'!$N$50</f>
        <v>0</v>
      </c>
      <c r="O27" s="26">
        <f>'TE BE'!$O$27*'TE BE'!$O$50</f>
        <v>0</v>
      </c>
      <c r="P27" s="26">
        <f>'TE BE'!$P$27*'TE BE'!$P$50</f>
        <v>0</v>
      </c>
      <c r="Q27" s="26">
        <f>SUM($L$27:$P$27)</f>
        <v>0</v>
      </c>
      <c r="R27" s="26">
        <f>'TE BE'!$R$27*'TE BE'!$R$50</f>
        <v>-1.827218993494111</v>
      </c>
      <c r="S27" s="26">
        <f>SUM($R$27:$R$27)</f>
        <v>-1.827218993494111</v>
      </c>
      <c r="T27" s="26">
        <f>'TE BE'!$T$27*'TE BE'!$T$50</f>
        <v>0</v>
      </c>
      <c r="U27" s="26">
        <f>'TE BE'!$U$27*'TE BE'!$U$50</f>
        <v>0</v>
      </c>
      <c r="V27" s="26">
        <f>'TE BE'!$V$27*'TE BE'!$V$50</f>
        <v>0</v>
      </c>
      <c r="W27" s="26">
        <f>SUM($T$27:$V$27)</f>
        <v>0</v>
      </c>
      <c r="X27" s="26">
        <f>'TE BE'!$AB$27*'TE BE'!$X$50</f>
        <v>0</v>
      </c>
      <c r="Y27" s="26">
        <f>SUM($X$27:$X$27)</f>
        <v>0</v>
      </c>
      <c r="Z27" s="26">
        <f>'TE BE'!$Z$27*'TE BE'!$Z$50</f>
        <v>0</v>
      </c>
      <c r="AA27" s="26">
        <f>SUM($Z$27:$Z$27)</f>
        <v>0</v>
      </c>
      <c r="AB27" s="26">
        <f>SUMIF($L$4:$AA$4,"SUBTOTAL",$L$27:$AA$27)</f>
        <v>-1.827218993494111</v>
      </c>
    </row>
    <row r="28" spans="1:28" ht="11.25" customHeight="1" x14ac:dyDescent="0.25">
      <c r="A28" s="99"/>
      <c r="B28" s="99"/>
      <c r="C28" s="99"/>
      <c r="D28" s="99"/>
      <c r="E28" s="99"/>
      <c r="F28" s="99"/>
      <c r="G28" s="29" t="s">
        <v>76</v>
      </c>
      <c r="H28" s="29" t="s">
        <v>74</v>
      </c>
      <c r="I28" s="29">
        <f>'MERCADO TE'!$U$25</f>
        <v>0</v>
      </c>
      <c r="J28" s="15"/>
      <c r="L28" s="26">
        <f>'TE BE'!$L$28*'TE BE'!$L$50</f>
        <v>0</v>
      </c>
      <c r="M28" s="26">
        <f>'TE BE'!$M$28*'TE BE'!$M$50</f>
        <v>0</v>
      </c>
      <c r="N28" s="26">
        <f>'TE BE'!$N$28*'TE BE'!$N$50</f>
        <v>0</v>
      </c>
      <c r="O28" s="26">
        <f>'TE BE'!$O$28*'TE BE'!$O$50</f>
        <v>0</v>
      </c>
      <c r="P28" s="26">
        <f>'TE BE'!$P$28*'TE BE'!$P$50</f>
        <v>0</v>
      </c>
      <c r="Q28" s="26">
        <f>SUM($L$28:$P$28)</f>
        <v>0</v>
      </c>
      <c r="R28" s="26">
        <f>'TE BE'!$R$28*'TE BE'!$R$50</f>
        <v>-1.827218993494111</v>
      </c>
      <c r="S28" s="26">
        <f>SUM($R$28:$R$28)</f>
        <v>-1.827218993494111</v>
      </c>
      <c r="T28" s="26">
        <f>'TE BE'!$T$28*'TE BE'!$T$50</f>
        <v>0</v>
      </c>
      <c r="U28" s="26">
        <f>'TE BE'!$U$28*'TE BE'!$U$50</f>
        <v>0</v>
      </c>
      <c r="V28" s="26">
        <f>'TE BE'!$V$28*'TE BE'!$V$50</f>
        <v>0</v>
      </c>
      <c r="W28" s="26">
        <f>SUM($T$28:$V$28)</f>
        <v>0</v>
      </c>
      <c r="X28" s="26">
        <f>'TE BE'!$AB$28*'TE BE'!$X$50</f>
        <v>0</v>
      </c>
      <c r="Y28" s="26">
        <f>SUM($X$28:$X$28)</f>
        <v>0</v>
      </c>
      <c r="Z28" s="26">
        <f>'TE BE'!$Z$28*'TE BE'!$Z$50</f>
        <v>0</v>
      </c>
      <c r="AA28" s="26">
        <f>SUM($Z$28:$Z$28)</f>
        <v>0</v>
      </c>
      <c r="AB28" s="26">
        <f>SUMIF($L$4:$AA$4,"SUBTOTAL",$L$28:$AA$28)</f>
        <v>-1.827218993494111</v>
      </c>
    </row>
    <row r="29" spans="1:28" ht="11.25" customHeight="1" x14ac:dyDescent="0.25">
      <c r="A29" s="99"/>
      <c r="B29" s="28" t="s">
        <v>87</v>
      </c>
      <c r="C29" s="28" t="s">
        <v>43</v>
      </c>
      <c r="D29" s="28" t="s">
        <v>90</v>
      </c>
      <c r="E29" s="28" t="s">
        <v>25</v>
      </c>
      <c r="F29" s="28" t="s">
        <v>25</v>
      </c>
      <c r="G29" s="29" t="s">
        <v>80</v>
      </c>
      <c r="H29" s="29" t="s">
        <v>74</v>
      </c>
      <c r="I29" s="29">
        <f>'MERCADO TE'!$U$26</f>
        <v>0</v>
      </c>
      <c r="J29" s="15"/>
      <c r="L29" s="26">
        <f>'TE BE'!$L$29*'TE BE'!$L$50</f>
        <v>0</v>
      </c>
      <c r="M29" s="26">
        <f>'TE BE'!$M$29*'TE BE'!$M$50</f>
        <v>0</v>
      </c>
      <c r="N29" s="26">
        <f>'TE BE'!$N$29*'TE BE'!$N$50</f>
        <v>0</v>
      </c>
      <c r="O29" s="26">
        <f>'TE BE'!$O$29*'TE BE'!$O$50</f>
        <v>0</v>
      </c>
      <c r="P29" s="26">
        <f>'TE BE'!$P$29*'TE BE'!$P$50</f>
        <v>0</v>
      </c>
      <c r="Q29" s="26">
        <f>SUM($L$29:$P$29)</f>
        <v>0</v>
      </c>
      <c r="R29" s="26">
        <f>'TE BE'!$R$29*'TE BE'!$R$50</f>
        <v>-1.827218993494111</v>
      </c>
      <c r="S29" s="26">
        <f>SUM($R$29:$R$29)</f>
        <v>-1.827218993494111</v>
      </c>
      <c r="T29" s="26">
        <f>'TE BE'!$T$29*'TE BE'!$T$50</f>
        <v>0</v>
      </c>
      <c r="U29" s="26">
        <f>'TE BE'!$U$29*'TE BE'!$U$50</f>
        <v>0</v>
      </c>
      <c r="V29" s="26">
        <f>'TE BE'!$V$29*'TE BE'!$V$50</f>
        <v>0</v>
      </c>
      <c r="W29" s="26">
        <f>SUM($T$29:$V$29)</f>
        <v>0</v>
      </c>
      <c r="X29" s="26">
        <f>'TE BE'!$AB$29*'TE BE'!$X$50</f>
        <v>0</v>
      </c>
      <c r="Y29" s="26">
        <f>SUM($X$29:$X$29)</f>
        <v>0</v>
      </c>
      <c r="Z29" s="26">
        <f>'TE BE'!$Z$29*'TE BE'!$Z$50</f>
        <v>0</v>
      </c>
      <c r="AA29" s="26">
        <f>SUM($Z$29:$Z$29)</f>
        <v>0</v>
      </c>
      <c r="AB29" s="26">
        <f>SUMIF($L$4:$AA$4,"SUBTOTAL",$L$29:$AA$29)</f>
        <v>-1.827218993494111</v>
      </c>
    </row>
    <row r="30" spans="1:28" ht="11.25" customHeight="1" x14ac:dyDescent="0.25">
      <c r="A30" s="99"/>
      <c r="B30" s="99" t="s">
        <v>73</v>
      </c>
      <c r="C30" s="99" t="s">
        <v>43</v>
      </c>
      <c r="D30" s="99" t="s">
        <v>91</v>
      </c>
      <c r="E30" s="99" t="s">
        <v>25</v>
      </c>
      <c r="F30" s="99" t="s">
        <v>25</v>
      </c>
      <c r="G30" s="29" t="s">
        <v>75</v>
      </c>
      <c r="H30" s="29" t="s">
        <v>74</v>
      </c>
      <c r="I30" s="29">
        <f>'MERCADO TE'!$U$27</f>
        <v>0</v>
      </c>
      <c r="J30" s="15"/>
      <c r="L30" s="26">
        <f>'TE BE'!$L$30*'TE BE'!$L$50</f>
        <v>0</v>
      </c>
      <c r="M30" s="26">
        <f>'TE BE'!$M$30*'TE BE'!$M$50</f>
        <v>0</v>
      </c>
      <c r="N30" s="26">
        <f>'TE BE'!$N$30*'TE BE'!$N$50</f>
        <v>0</v>
      </c>
      <c r="O30" s="26">
        <f>'TE BE'!$O$30*'TE BE'!$O$50</f>
        <v>0</v>
      </c>
      <c r="P30" s="26">
        <f>'TE BE'!$P$30*'TE BE'!$P$50</f>
        <v>0</v>
      </c>
      <c r="Q30" s="26">
        <f>SUM($L$30:$P$30)</f>
        <v>0</v>
      </c>
      <c r="R30" s="26">
        <f>'TE BE'!$R$30*'TE BE'!$R$50</f>
        <v>-1.827218993494111</v>
      </c>
      <c r="S30" s="26">
        <f>SUM($R$30:$R$30)</f>
        <v>-1.827218993494111</v>
      </c>
      <c r="T30" s="26">
        <f>'TE BE'!$T$30*'TE BE'!$T$50</f>
        <v>0</v>
      </c>
      <c r="U30" s="26">
        <f>'TE BE'!$U$30*'TE BE'!$U$50</f>
        <v>0</v>
      </c>
      <c r="V30" s="26">
        <f>'TE BE'!$V$30*'TE BE'!$V$50</f>
        <v>0</v>
      </c>
      <c r="W30" s="26">
        <f>SUM($T$30:$V$30)</f>
        <v>0</v>
      </c>
      <c r="X30" s="26">
        <f>'TE BE'!$AB$30*'TE BE'!$X$50</f>
        <v>0</v>
      </c>
      <c r="Y30" s="26">
        <f>SUM($X$30:$X$30)</f>
        <v>0</v>
      </c>
      <c r="Z30" s="26">
        <f>'TE BE'!$Z$30*'TE BE'!$Z$50</f>
        <v>0</v>
      </c>
      <c r="AA30" s="26">
        <f>SUM($Z$30:$Z$30)</f>
        <v>0</v>
      </c>
      <c r="AB30" s="26">
        <f>SUMIF($L$4:$AA$4,"SUBTOTAL",$L$30:$AA$30)</f>
        <v>-1.827218993494111</v>
      </c>
    </row>
    <row r="31" spans="1:28" ht="11.25" customHeight="1" x14ac:dyDescent="0.25">
      <c r="A31" s="99"/>
      <c r="B31" s="99"/>
      <c r="C31" s="99"/>
      <c r="D31" s="99"/>
      <c r="E31" s="99"/>
      <c r="F31" s="99"/>
      <c r="G31" s="29" t="s">
        <v>86</v>
      </c>
      <c r="H31" s="29" t="s">
        <v>74</v>
      </c>
      <c r="I31" s="29">
        <f>'MERCADO TE'!$U$28</f>
        <v>0</v>
      </c>
      <c r="J31" s="15"/>
      <c r="L31" s="26">
        <f>'TE BE'!$L$31*'TE BE'!$L$50</f>
        <v>0</v>
      </c>
      <c r="M31" s="26">
        <f>'TE BE'!$M$31*'TE BE'!$M$50</f>
        <v>0</v>
      </c>
      <c r="N31" s="26">
        <f>'TE BE'!$N$31*'TE BE'!$N$50</f>
        <v>0</v>
      </c>
      <c r="O31" s="26">
        <f>'TE BE'!$O$31*'TE BE'!$O$50</f>
        <v>0</v>
      </c>
      <c r="P31" s="26">
        <f>'TE BE'!$P$31*'TE BE'!$P$50</f>
        <v>0</v>
      </c>
      <c r="Q31" s="26">
        <f>SUM($L$31:$P$31)</f>
        <v>0</v>
      </c>
      <c r="R31" s="26">
        <f>'TE BE'!$R$31*'TE BE'!$R$50</f>
        <v>-1.827218993494111</v>
      </c>
      <c r="S31" s="26">
        <f>SUM($R$31:$R$31)</f>
        <v>-1.827218993494111</v>
      </c>
      <c r="T31" s="26">
        <f>'TE BE'!$T$31*'TE BE'!$T$50</f>
        <v>0</v>
      </c>
      <c r="U31" s="26">
        <f>'TE BE'!$U$31*'TE BE'!$U$50</f>
        <v>0</v>
      </c>
      <c r="V31" s="26">
        <f>'TE BE'!$V$31*'TE BE'!$V$50</f>
        <v>0</v>
      </c>
      <c r="W31" s="26">
        <f>SUM($T$31:$V$31)</f>
        <v>0</v>
      </c>
      <c r="X31" s="26">
        <f>'TE BE'!$AB$31*'TE BE'!$X$50</f>
        <v>0</v>
      </c>
      <c r="Y31" s="26">
        <f>SUM($X$31:$X$31)</f>
        <v>0</v>
      </c>
      <c r="Z31" s="26">
        <f>'TE BE'!$Z$31*'TE BE'!$Z$50</f>
        <v>0</v>
      </c>
      <c r="AA31" s="26">
        <f>SUM($Z$31:$Z$31)</f>
        <v>0</v>
      </c>
      <c r="AB31" s="26">
        <f>SUMIF($L$4:$AA$4,"SUBTOTAL",$L$31:$AA$31)</f>
        <v>-1.827218993494111</v>
      </c>
    </row>
    <row r="32" spans="1:28" ht="11.25" customHeight="1" x14ac:dyDescent="0.25">
      <c r="A32" s="99"/>
      <c r="B32" s="99"/>
      <c r="C32" s="99"/>
      <c r="D32" s="99"/>
      <c r="E32" s="99"/>
      <c r="F32" s="99"/>
      <c r="G32" s="29" t="s">
        <v>76</v>
      </c>
      <c r="H32" s="29" t="s">
        <v>74</v>
      </c>
      <c r="I32" s="29">
        <f>'MERCADO TE'!$U$29</f>
        <v>0</v>
      </c>
      <c r="J32" s="15"/>
      <c r="L32" s="26">
        <f>'TE BE'!$L$32*'TE BE'!$L$50</f>
        <v>0</v>
      </c>
      <c r="M32" s="26">
        <f>'TE BE'!$M$32*'TE BE'!$M$50</f>
        <v>0</v>
      </c>
      <c r="N32" s="26">
        <f>'TE BE'!$N$32*'TE BE'!$N$50</f>
        <v>0</v>
      </c>
      <c r="O32" s="26">
        <f>'TE BE'!$O$32*'TE BE'!$O$50</f>
        <v>0</v>
      </c>
      <c r="P32" s="26">
        <f>'TE BE'!$P$32*'TE BE'!$P$50</f>
        <v>0</v>
      </c>
      <c r="Q32" s="26">
        <f>SUM($L$32:$P$32)</f>
        <v>0</v>
      </c>
      <c r="R32" s="26">
        <f>'TE BE'!$R$32*'TE BE'!$R$50</f>
        <v>-1.827218993494111</v>
      </c>
      <c r="S32" s="26">
        <f>SUM($R$32:$R$32)</f>
        <v>-1.827218993494111</v>
      </c>
      <c r="T32" s="26">
        <f>'TE BE'!$T$32*'TE BE'!$T$50</f>
        <v>0</v>
      </c>
      <c r="U32" s="26">
        <f>'TE BE'!$U$32*'TE BE'!$U$50</f>
        <v>0</v>
      </c>
      <c r="V32" s="26">
        <f>'TE BE'!$V$32*'TE BE'!$V$50</f>
        <v>0</v>
      </c>
      <c r="W32" s="26">
        <f>SUM($T$32:$V$32)</f>
        <v>0</v>
      </c>
      <c r="X32" s="26">
        <f>'TE BE'!$AB$32*'TE BE'!$X$50</f>
        <v>0</v>
      </c>
      <c r="Y32" s="26">
        <f>SUM($X$32:$X$32)</f>
        <v>0</v>
      </c>
      <c r="Z32" s="26">
        <f>'TE BE'!$Z$32*'TE BE'!$Z$50</f>
        <v>0</v>
      </c>
      <c r="AA32" s="26">
        <f>SUM($Z$32:$Z$32)</f>
        <v>0</v>
      </c>
      <c r="AB32" s="26">
        <f>SUMIF($L$4:$AA$4,"SUBTOTAL",$L$32:$AA$32)</f>
        <v>-1.827218993494111</v>
      </c>
    </row>
    <row r="33" spans="1:28" ht="11.25" customHeight="1" x14ac:dyDescent="0.25">
      <c r="A33" s="99"/>
      <c r="B33" s="28" t="s">
        <v>87</v>
      </c>
      <c r="C33" s="28" t="s">
        <v>43</v>
      </c>
      <c r="D33" s="28" t="s">
        <v>91</v>
      </c>
      <c r="E33" s="28" t="s">
        <v>25</v>
      </c>
      <c r="F33" s="28" t="s">
        <v>25</v>
      </c>
      <c r="G33" s="29" t="s">
        <v>80</v>
      </c>
      <c r="H33" s="29" t="s">
        <v>74</v>
      </c>
      <c r="I33" s="29">
        <f>'MERCADO TE'!$U$30</f>
        <v>0</v>
      </c>
      <c r="J33" s="15"/>
      <c r="L33" s="26">
        <f>'TE BE'!$L$33*'TE BE'!$L$50</f>
        <v>0</v>
      </c>
      <c r="M33" s="26">
        <f>'TE BE'!$M$33*'TE BE'!$M$50</f>
        <v>0</v>
      </c>
      <c r="N33" s="26">
        <f>'TE BE'!$N$33*'TE BE'!$N$50</f>
        <v>0</v>
      </c>
      <c r="O33" s="26">
        <f>'TE BE'!$O$33*'TE BE'!$O$50</f>
        <v>0</v>
      </c>
      <c r="P33" s="26">
        <f>'TE BE'!$P$33*'TE BE'!$P$50</f>
        <v>0</v>
      </c>
      <c r="Q33" s="26">
        <f>SUM($L$33:$P$33)</f>
        <v>0</v>
      </c>
      <c r="R33" s="26">
        <f>'TE BE'!$R$33*'TE BE'!$R$50</f>
        <v>-1.827218993494111</v>
      </c>
      <c r="S33" s="26">
        <f>SUM($R$33:$R$33)</f>
        <v>-1.827218993494111</v>
      </c>
      <c r="T33" s="26">
        <f>'TE BE'!$T$33*'TE BE'!$T$50</f>
        <v>0</v>
      </c>
      <c r="U33" s="26">
        <f>'TE BE'!$U$33*'TE BE'!$U$50</f>
        <v>0</v>
      </c>
      <c r="V33" s="26">
        <f>'TE BE'!$V$33*'TE BE'!$V$50</f>
        <v>0</v>
      </c>
      <c r="W33" s="26">
        <f>SUM($T$33:$V$33)</f>
        <v>0</v>
      </c>
      <c r="X33" s="26">
        <f>'TE BE'!$AB$33*'TE BE'!$X$50</f>
        <v>0</v>
      </c>
      <c r="Y33" s="26">
        <f>SUM($X$33:$X$33)</f>
        <v>0</v>
      </c>
      <c r="Z33" s="26">
        <f>'TE BE'!$Z$33*'TE BE'!$Z$50</f>
        <v>0</v>
      </c>
      <c r="AA33" s="26">
        <f>SUM($Z$33:$Z$33)</f>
        <v>0</v>
      </c>
      <c r="AB33" s="26">
        <f>SUMIF($L$4:$AA$4,"SUBTOTAL",$L$33:$AA$33)</f>
        <v>-1.827218993494111</v>
      </c>
    </row>
    <row r="34" spans="1:28" ht="11.25" customHeight="1" x14ac:dyDescent="0.25">
      <c r="A34" s="99"/>
      <c r="B34" s="99" t="s">
        <v>88</v>
      </c>
      <c r="C34" s="99" t="s">
        <v>43</v>
      </c>
      <c r="D34" s="28" t="s">
        <v>25</v>
      </c>
      <c r="E34" s="28" t="s">
        <v>25</v>
      </c>
      <c r="F34" s="28" t="s">
        <v>25</v>
      </c>
      <c r="G34" s="29" t="s">
        <v>80</v>
      </c>
      <c r="H34" s="29" t="s">
        <v>74</v>
      </c>
      <c r="I34" s="29">
        <f>'MERCADO TE'!$U$31</f>
        <v>0</v>
      </c>
      <c r="J34" s="15"/>
      <c r="L34" s="26">
        <f>'TE BE'!$L$34*'TE BE'!$L$50</f>
        <v>0</v>
      </c>
      <c r="M34" s="26">
        <f>'TE BE'!$M$34*'TE BE'!$M$50</f>
        <v>0</v>
      </c>
      <c r="N34" s="26">
        <f>'TE BE'!$N$34*'TE BE'!$N$50</f>
        <v>0</v>
      </c>
      <c r="O34" s="26">
        <f>'TE BE'!$O$34*'TE BE'!$O$50</f>
        <v>0</v>
      </c>
      <c r="P34" s="26">
        <f>'TE BE'!$P$34*'TE BE'!$P$50</f>
        <v>0</v>
      </c>
      <c r="Q34" s="26">
        <f>SUM($L$34:$P$34)</f>
        <v>0</v>
      </c>
      <c r="R34" s="26">
        <f>'TE BE'!$R$34*'TE BE'!$R$50</f>
        <v>-1.827218993494111</v>
      </c>
      <c r="S34" s="26">
        <f>SUM($R$34:$R$34)</f>
        <v>-1.827218993494111</v>
      </c>
      <c r="T34" s="26">
        <f>'TE BE'!$T$34*'TE BE'!$T$50</f>
        <v>0</v>
      </c>
      <c r="U34" s="26">
        <f>'TE BE'!$U$34*'TE BE'!$U$50</f>
        <v>0</v>
      </c>
      <c r="V34" s="26">
        <f>'TE BE'!$V$34*'TE BE'!$V$50</f>
        <v>0</v>
      </c>
      <c r="W34" s="26">
        <f>SUM($T$34:$V$34)</f>
        <v>0</v>
      </c>
      <c r="X34" s="26">
        <f>'TE BE'!$AB$34*'TE BE'!$X$50</f>
        <v>0</v>
      </c>
      <c r="Y34" s="26">
        <f>SUM($X$34:$X$34)</f>
        <v>0</v>
      </c>
      <c r="Z34" s="26">
        <f>'TE BE'!$Z$34*'TE BE'!$Z$50</f>
        <v>0</v>
      </c>
      <c r="AA34" s="26">
        <f>SUM($Z$34:$Z$34)</f>
        <v>0</v>
      </c>
      <c r="AB34" s="26">
        <f>SUMIF($L$4:$AA$4,"SUBTOTAL",$L$34:$AA$34)</f>
        <v>-1.827218993494111</v>
      </c>
    </row>
    <row r="35" spans="1:28" ht="11.25" customHeight="1" x14ac:dyDescent="0.25">
      <c r="A35" s="99"/>
      <c r="B35" s="99"/>
      <c r="C35" s="99"/>
      <c r="D35" s="28" t="s">
        <v>90</v>
      </c>
      <c r="E35" s="28" t="s">
        <v>25</v>
      </c>
      <c r="F35" s="28" t="s">
        <v>25</v>
      </c>
      <c r="G35" s="29" t="s">
        <v>80</v>
      </c>
      <c r="H35" s="29" t="s">
        <v>74</v>
      </c>
      <c r="I35" s="29">
        <f>'MERCADO TE'!$U$32</f>
        <v>0</v>
      </c>
      <c r="J35" s="15"/>
      <c r="L35" s="26">
        <f>'TE BE'!$L$35*'TE BE'!$L$50</f>
        <v>0</v>
      </c>
      <c r="M35" s="26">
        <f>'TE BE'!$M$35*'TE BE'!$M$50</f>
        <v>0</v>
      </c>
      <c r="N35" s="26">
        <f>'TE BE'!$N$35*'TE BE'!$N$50</f>
        <v>0</v>
      </c>
      <c r="O35" s="26">
        <f>'TE BE'!$O$35*'TE BE'!$O$50</f>
        <v>0</v>
      </c>
      <c r="P35" s="26">
        <f>'TE BE'!$P$35*'TE BE'!$P$50</f>
        <v>0</v>
      </c>
      <c r="Q35" s="26">
        <f>SUM($L$35:$P$35)</f>
        <v>0</v>
      </c>
      <c r="R35" s="26">
        <f>'TE BE'!$R$35*'TE BE'!$R$50</f>
        <v>-1.827218993494111</v>
      </c>
      <c r="S35" s="26">
        <f>SUM($R$35:$R$35)</f>
        <v>-1.827218993494111</v>
      </c>
      <c r="T35" s="26">
        <f>'TE BE'!$T$35*'TE BE'!$T$50</f>
        <v>0</v>
      </c>
      <c r="U35" s="26">
        <f>'TE BE'!$U$35*'TE BE'!$U$50</f>
        <v>0</v>
      </c>
      <c r="V35" s="26">
        <f>'TE BE'!$V$35*'TE BE'!$V$50</f>
        <v>0</v>
      </c>
      <c r="W35" s="26">
        <f>SUM($T$35:$V$35)</f>
        <v>0</v>
      </c>
      <c r="X35" s="26">
        <f>'TE BE'!$AB$35*'TE BE'!$X$50</f>
        <v>0</v>
      </c>
      <c r="Y35" s="26">
        <f>SUM($X$35:$X$35)</f>
        <v>0</v>
      </c>
      <c r="Z35" s="26">
        <f>'TE BE'!$Z$35*'TE BE'!$Z$50</f>
        <v>0</v>
      </c>
      <c r="AA35" s="26">
        <f>SUM($Z$35:$Z$35)</f>
        <v>0</v>
      </c>
      <c r="AB35" s="26">
        <f>SUMIF($L$4:$AA$4,"SUBTOTAL",$L$35:$AA$35)</f>
        <v>-1.827218993494111</v>
      </c>
    </row>
    <row r="36" spans="1:28" ht="11.25" customHeight="1" x14ac:dyDescent="0.25">
      <c r="A36" s="99"/>
      <c r="B36" s="99"/>
      <c r="C36" s="99"/>
      <c r="D36" s="28" t="s">
        <v>91</v>
      </c>
      <c r="E36" s="28" t="s">
        <v>25</v>
      </c>
      <c r="F36" s="28" t="s">
        <v>25</v>
      </c>
      <c r="G36" s="29" t="s">
        <v>80</v>
      </c>
      <c r="H36" s="29" t="s">
        <v>74</v>
      </c>
      <c r="I36" s="29">
        <f>'MERCADO TE'!$U$33</f>
        <v>0</v>
      </c>
      <c r="J36" s="15"/>
      <c r="L36" s="26">
        <f>'TE BE'!$L$36*'TE BE'!$L$50</f>
        <v>0</v>
      </c>
      <c r="M36" s="26">
        <f>'TE BE'!$M$36*'TE BE'!$M$50</f>
        <v>0</v>
      </c>
      <c r="N36" s="26">
        <f>'TE BE'!$N$36*'TE BE'!$N$50</f>
        <v>0</v>
      </c>
      <c r="O36" s="26">
        <f>'TE BE'!$O$36*'TE BE'!$O$50</f>
        <v>0</v>
      </c>
      <c r="P36" s="26">
        <f>'TE BE'!$P$36*'TE BE'!$P$50</f>
        <v>0</v>
      </c>
      <c r="Q36" s="26">
        <f>SUM($L$36:$P$36)</f>
        <v>0</v>
      </c>
      <c r="R36" s="26">
        <f>'TE BE'!$R$36*'TE BE'!$R$50</f>
        <v>-1.827218993494111</v>
      </c>
      <c r="S36" s="26">
        <f>SUM($R$36:$R$36)</f>
        <v>-1.827218993494111</v>
      </c>
      <c r="T36" s="26">
        <f>'TE BE'!$T$36*'TE BE'!$T$50</f>
        <v>0</v>
      </c>
      <c r="U36" s="26">
        <f>'TE BE'!$U$36*'TE BE'!$U$50</f>
        <v>0</v>
      </c>
      <c r="V36" s="26">
        <f>'TE BE'!$V$36*'TE BE'!$V$50</f>
        <v>0</v>
      </c>
      <c r="W36" s="26">
        <f>SUM($T$36:$V$36)</f>
        <v>0</v>
      </c>
      <c r="X36" s="26">
        <f>'TE BE'!$AB$36*'TE BE'!$X$50</f>
        <v>0</v>
      </c>
      <c r="Y36" s="26">
        <f>SUM($X$36:$X$36)</f>
        <v>0</v>
      </c>
      <c r="Z36" s="26">
        <f>'TE BE'!$Z$36*'TE BE'!$Z$50</f>
        <v>0</v>
      </c>
      <c r="AA36" s="26">
        <f>SUM($Z$36:$Z$36)</f>
        <v>0</v>
      </c>
      <c r="AB36" s="26">
        <f>SUMIF($L$4:$AA$4,"SUBTOTAL",$L$36:$AA$36)</f>
        <v>-1.827218993494111</v>
      </c>
    </row>
    <row r="37" spans="1:28" ht="11.25" customHeight="1" x14ac:dyDescent="0.25">
      <c r="A37" s="99" t="s">
        <v>33</v>
      </c>
      <c r="B37" s="99" t="s">
        <v>73</v>
      </c>
      <c r="C37" s="99" t="s">
        <v>25</v>
      </c>
      <c r="D37" s="99" t="s">
        <v>25</v>
      </c>
      <c r="E37" s="99" t="s">
        <v>25</v>
      </c>
      <c r="F37" s="99" t="s">
        <v>25</v>
      </c>
      <c r="G37" s="29" t="s">
        <v>75</v>
      </c>
      <c r="H37" s="29" t="s">
        <v>74</v>
      </c>
      <c r="I37" s="29">
        <f>'MERCADO TE'!$U$34</f>
        <v>0</v>
      </c>
      <c r="J37" s="15"/>
      <c r="L37" s="26">
        <f>'TE BE'!$L$37*'TE BE'!$L$50</f>
        <v>0</v>
      </c>
      <c r="M37" s="26">
        <f>'TE BE'!$M$37*'TE BE'!$M$50</f>
        <v>0</v>
      </c>
      <c r="N37" s="26">
        <f>'TE BE'!$N$37*'TE BE'!$N$50</f>
        <v>0</v>
      </c>
      <c r="O37" s="26">
        <f>'TE BE'!$O$37*'TE BE'!$O$50</f>
        <v>0</v>
      </c>
      <c r="P37" s="26">
        <f>'TE BE'!$P$37*'TE BE'!$P$50</f>
        <v>0</v>
      </c>
      <c r="Q37" s="26">
        <f>SUM($L$37:$P$37)</f>
        <v>0</v>
      </c>
      <c r="R37" s="26">
        <f>'TE BE'!$R$37*'TE BE'!$R$50</f>
        <v>-1.827218993494111</v>
      </c>
      <c r="S37" s="26">
        <f>SUM($R$37:$R$37)</f>
        <v>-1.827218993494111</v>
      </c>
      <c r="T37" s="26">
        <f>'TE BE'!$T$37*'TE BE'!$T$50</f>
        <v>0</v>
      </c>
      <c r="U37" s="26">
        <f>'TE BE'!$U$37*'TE BE'!$U$50</f>
        <v>0</v>
      </c>
      <c r="V37" s="26">
        <f>'TE BE'!$V$37*'TE BE'!$V$50</f>
        <v>0</v>
      </c>
      <c r="W37" s="26">
        <f>SUM($T$37:$V$37)</f>
        <v>0</v>
      </c>
      <c r="X37" s="26">
        <f>'TE BE'!$AB$37*'TE BE'!$X$50</f>
        <v>0</v>
      </c>
      <c r="Y37" s="26">
        <f>SUM($X$37:$X$37)</f>
        <v>0</v>
      </c>
      <c r="Z37" s="26">
        <f>'TE BE'!$Z$37*'TE BE'!$Z$50</f>
        <v>0</v>
      </c>
      <c r="AA37" s="26">
        <f>SUM($Z$37:$Z$37)</f>
        <v>0</v>
      </c>
      <c r="AB37" s="26">
        <f>SUMIF($L$4:$AA$4,"SUBTOTAL",$L$37:$AA$37)</f>
        <v>-1.827218993494111</v>
      </c>
    </row>
    <row r="38" spans="1:28" ht="11.25" customHeight="1" x14ac:dyDescent="0.25">
      <c r="A38" s="99"/>
      <c r="B38" s="99"/>
      <c r="C38" s="99"/>
      <c r="D38" s="99"/>
      <c r="E38" s="99"/>
      <c r="F38" s="99"/>
      <c r="G38" s="29" t="s">
        <v>86</v>
      </c>
      <c r="H38" s="29" t="s">
        <v>74</v>
      </c>
      <c r="I38" s="29">
        <f>'MERCADO TE'!$U$35</f>
        <v>0</v>
      </c>
      <c r="J38" s="15"/>
      <c r="L38" s="26">
        <f>'TE BE'!$L$38*'TE BE'!$L$50</f>
        <v>0</v>
      </c>
      <c r="M38" s="26">
        <f>'TE BE'!$M$38*'TE BE'!$M$50</f>
        <v>0</v>
      </c>
      <c r="N38" s="26">
        <f>'TE BE'!$N$38*'TE BE'!$N$50</f>
        <v>0</v>
      </c>
      <c r="O38" s="26">
        <f>'TE BE'!$O$38*'TE BE'!$O$50</f>
        <v>0</v>
      </c>
      <c r="P38" s="26">
        <f>'TE BE'!$P$38*'TE BE'!$P$50</f>
        <v>0</v>
      </c>
      <c r="Q38" s="26">
        <f>SUM($L$38:$P$38)</f>
        <v>0</v>
      </c>
      <c r="R38" s="26">
        <f>'TE BE'!$R$38*'TE BE'!$R$50</f>
        <v>-1.827218993494111</v>
      </c>
      <c r="S38" s="26">
        <f>SUM($R$38:$R$38)</f>
        <v>-1.827218993494111</v>
      </c>
      <c r="T38" s="26">
        <f>'TE BE'!$T$38*'TE BE'!$T$50</f>
        <v>0</v>
      </c>
      <c r="U38" s="26">
        <f>'TE BE'!$U$38*'TE BE'!$U$50</f>
        <v>0</v>
      </c>
      <c r="V38" s="26">
        <f>'TE BE'!$V$38*'TE BE'!$V$50</f>
        <v>0</v>
      </c>
      <c r="W38" s="26">
        <f>SUM($T$38:$V$38)</f>
        <v>0</v>
      </c>
      <c r="X38" s="26">
        <f>'TE BE'!$AB$38*'TE BE'!$X$50</f>
        <v>0</v>
      </c>
      <c r="Y38" s="26">
        <f>SUM($X$38:$X$38)</f>
        <v>0</v>
      </c>
      <c r="Z38" s="26">
        <f>'TE BE'!$Z$38*'TE BE'!$Z$50</f>
        <v>0</v>
      </c>
      <c r="AA38" s="26">
        <f>SUM($Z$38:$Z$38)</f>
        <v>0</v>
      </c>
      <c r="AB38" s="26">
        <f>SUMIF($L$4:$AA$4,"SUBTOTAL",$L$38:$AA$38)</f>
        <v>-1.827218993494111</v>
      </c>
    </row>
    <row r="39" spans="1:28" ht="11.25" customHeight="1" x14ac:dyDescent="0.25">
      <c r="A39" s="99"/>
      <c r="B39" s="99"/>
      <c r="C39" s="99"/>
      <c r="D39" s="99"/>
      <c r="E39" s="99"/>
      <c r="F39" s="99"/>
      <c r="G39" s="29" t="s">
        <v>76</v>
      </c>
      <c r="H39" s="29" t="s">
        <v>74</v>
      </c>
      <c r="I39" s="29">
        <f>'MERCADO TE'!$U$36</f>
        <v>0</v>
      </c>
      <c r="J39" s="15"/>
      <c r="L39" s="26">
        <f>'TE BE'!$L$39*'TE BE'!$L$50</f>
        <v>0</v>
      </c>
      <c r="M39" s="26">
        <f>'TE BE'!$M$39*'TE BE'!$M$50</f>
        <v>0</v>
      </c>
      <c r="N39" s="26">
        <f>'TE BE'!$N$39*'TE BE'!$N$50</f>
        <v>0</v>
      </c>
      <c r="O39" s="26">
        <f>'TE BE'!$O$39*'TE BE'!$O$50</f>
        <v>0</v>
      </c>
      <c r="P39" s="26">
        <f>'TE BE'!$P$39*'TE BE'!$P$50</f>
        <v>0</v>
      </c>
      <c r="Q39" s="26">
        <f>SUM($L$39:$P$39)</f>
        <v>0</v>
      </c>
      <c r="R39" s="26">
        <f>'TE BE'!$R$39*'TE BE'!$R$50</f>
        <v>-1.827218993494111</v>
      </c>
      <c r="S39" s="26">
        <f>SUM($R$39:$R$39)</f>
        <v>-1.827218993494111</v>
      </c>
      <c r="T39" s="26">
        <f>'TE BE'!$T$39*'TE BE'!$T$50</f>
        <v>0</v>
      </c>
      <c r="U39" s="26">
        <f>'TE BE'!$U$39*'TE BE'!$U$50</f>
        <v>0</v>
      </c>
      <c r="V39" s="26">
        <f>'TE BE'!$V$39*'TE BE'!$V$50</f>
        <v>0</v>
      </c>
      <c r="W39" s="26">
        <f>SUM($T$39:$V$39)</f>
        <v>0</v>
      </c>
      <c r="X39" s="26">
        <f>'TE BE'!$AB$39*'TE BE'!$X$50</f>
        <v>0</v>
      </c>
      <c r="Y39" s="26">
        <f>SUM($X$39:$X$39)</f>
        <v>0</v>
      </c>
      <c r="Z39" s="26">
        <f>'TE BE'!$Z$39*'TE BE'!$Z$50</f>
        <v>0</v>
      </c>
      <c r="AA39" s="26">
        <f>SUM($Z$39:$Z$39)</f>
        <v>0</v>
      </c>
      <c r="AB39" s="26">
        <f>SUMIF($L$4:$AA$4,"SUBTOTAL",$L$39:$AA$39)</f>
        <v>-1.827218993494111</v>
      </c>
    </row>
    <row r="40" spans="1:28" ht="11.25" customHeight="1" x14ac:dyDescent="0.25">
      <c r="A40" s="99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80</v>
      </c>
      <c r="H40" s="29" t="s">
        <v>74</v>
      </c>
      <c r="I40" s="29">
        <f>'MERCADO TE'!$U$37</f>
        <v>21501.073</v>
      </c>
      <c r="J40" s="15"/>
      <c r="L40" s="26">
        <f>'TE BE'!$L$40*'TE BE'!$L$50</f>
        <v>0</v>
      </c>
      <c r="M40" s="26">
        <f>'TE BE'!$M$40*'TE BE'!$M$50</f>
        <v>0</v>
      </c>
      <c r="N40" s="26">
        <f>'TE BE'!$N$40*'TE BE'!$N$50</f>
        <v>0</v>
      </c>
      <c r="O40" s="26">
        <f>'TE BE'!$O$40*'TE BE'!$O$50</f>
        <v>0</v>
      </c>
      <c r="P40" s="26">
        <f>'TE BE'!$P$40*'TE BE'!$P$50</f>
        <v>0</v>
      </c>
      <c r="Q40" s="26">
        <f>SUM($L$40:$P$40)</f>
        <v>0</v>
      </c>
      <c r="R40" s="26">
        <f>'TE BE'!$R$40*'TE BE'!$R$50</f>
        <v>-1.827218993494111</v>
      </c>
      <c r="S40" s="26">
        <f>SUM($R$40:$R$40)</f>
        <v>-1.827218993494111</v>
      </c>
      <c r="T40" s="26">
        <f>'TE BE'!$T$40*'TE BE'!$T$50</f>
        <v>0</v>
      </c>
      <c r="U40" s="26">
        <f>'TE BE'!$U$40*'TE BE'!$U$50</f>
        <v>0</v>
      </c>
      <c r="V40" s="26">
        <f>'TE BE'!$V$40*'TE BE'!$V$50</f>
        <v>0</v>
      </c>
      <c r="W40" s="26">
        <f>SUM($T$40:$V$40)</f>
        <v>0</v>
      </c>
      <c r="X40" s="26">
        <f>'TE BE'!$AB$40*'TE BE'!$X$50</f>
        <v>0</v>
      </c>
      <c r="Y40" s="26">
        <f>SUM($X$40:$X$40)</f>
        <v>0</v>
      </c>
      <c r="Z40" s="26">
        <f>'TE BE'!$Z$40*'TE BE'!$Z$50</f>
        <v>0</v>
      </c>
      <c r="AA40" s="26">
        <f>SUM($Z$40:$Z$40)</f>
        <v>0</v>
      </c>
      <c r="AB40" s="26">
        <f>SUMIF($L$4:$AA$4,"SUBTOTAL",$L$40:$AA$40)</f>
        <v>-1.827218993494111</v>
      </c>
    </row>
    <row r="41" spans="1:28" ht="11.25" customHeight="1" x14ac:dyDescent="0.25">
      <c r="A41" s="99"/>
      <c r="B41" s="28" t="s">
        <v>88</v>
      </c>
      <c r="C41" s="28" t="s">
        <v>25</v>
      </c>
      <c r="D41" s="28" t="s">
        <v>25</v>
      </c>
      <c r="E41" s="28" t="s">
        <v>25</v>
      </c>
      <c r="F41" s="28" t="s">
        <v>25</v>
      </c>
      <c r="G41" s="29" t="s">
        <v>80</v>
      </c>
      <c r="H41" s="29" t="s">
        <v>74</v>
      </c>
      <c r="I41" s="29">
        <f>'MERCADO TE'!$U$38</f>
        <v>0</v>
      </c>
      <c r="J41" s="15"/>
      <c r="L41" s="26">
        <f>'TE BE'!$L$41*'TE BE'!$L$50</f>
        <v>0</v>
      </c>
      <c r="M41" s="26">
        <f>'TE BE'!$M$41*'TE BE'!$M$50</f>
        <v>0</v>
      </c>
      <c r="N41" s="26">
        <f>'TE BE'!$N$41*'TE BE'!$N$50</f>
        <v>0</v>
      </c>
      <c r="O41" s="26">
        <f>'TE BE'!$O$41*'TE BE'!$O$50</f>
        <v>0</v>
      </c>
      <c r="P41" s="26">
        <f>'TE BE'!$P$41*'TE BE'!$P$50</f>
        <v>0</v>
      </c>
      <c r="Q41" s="26">
        <f>SUM($L$41:$P$41)</f>
        <v>0</v>
      </c>
      <c r="R41" s="26">
        <f>'TE BE'!$R$41*'TE BE'!$R$50</f>
        <v>-1.827218993494111</v>
      </c>
      <c r="S41" s="26">
        <f>SUM($R$41:$R$41)</f>
        <v>-1.827218993494111</v>
      </c>
      <c r="T41" s="26">
        <f>'TE BE'!$T$41*'TE BE'!$T$50</f>
        <v>0</v>
      </c>
      <c r="U41" s="26">
        <f>'TE BE'!$U$41*'TE BE'!$U$50</f>
        <v>0</v>
      </c>
      <c r="V41" s="26">
        <f>'TE BE'!$V$41*'TE BE'!$V$50</f>
        <v>0</v>
      </c>
      <c r="W41" s="26">
        <f>SUM($T$41:$V$41)</f>
        <v>0</v>
      </c>
      <c r="X41" s="26">
        <f>'TE BE'!$AB$41*'TE BE'!$X$50</f>
        <v>0</v>
      </c>
      <c r="Y41" s="26">
        <f>SUM($X$41:$X$41)</f>
        <v>0</v>
      </c>
      <c r="Z41" s="26">
        <f>'TE BE'!$Z$41*'TE BE'!$Z$50</f>
        <v>0</v>
      </c>
      <c r="AA41" s="26">
        <f>SUM($Z$41:$Z$41)</f>
        <v>0</v>
      </c>
      <c r="AB41" s="26">
        <f>SUMIF($L$4:$AA$4,"SUBTOTAL",$L$41:$AA$41)</f>
        <v>-1.827218993494111</v>
      </c>
    </row>
    <row r="42" spans="1:28" ht="11.25" customHeight="1" x14ac:dyDescent="0.25">
      <c r="A42" s="99" t="s">
        <v>45</v>
      </c>
      <c r="B42" s="99" t="s">
        <v>87</v>
      </c>
      <c r="C42" s="99" t="s">
        <v>46</v>
      </c>
      <c r="D42" s="28" t="s">
        <v>47</v>
      </c>
      <c r="E42" s="28" t="s">
        <v>25</v>
      </c>
      <c r="F42" s="28" t="s">
        <v>25</v>
      </c>
      <c r="G42" s="29" t="s">
        <v>80</v>
      </c>
      <c r="H42" s="29" t="s">
        <v>74</v>
      </c>
      <c r="I42" s="29">
        <f>'MERCADO TE'!$U$39</f>
        <v>10480.718000000001</v>
      </c>
      <c r="J42" s="15"/>
      <c r="L42" s="26">
        <f>'TE BE'!$L$42*'TE BE'!$L$50</f>
        <v>0</v>
      </c>
      <c r="M42" s="26">
        <f>'TE BE'!$M$42*'TE BE'!$M$50</f>
        <v>0</v>
      </c>
      <c r="N42" s="26">
        <f>'TE BE'!$N$42*'TE BE'!$N$50</f>
        <v>0</v>
      </c>
      <c r="O42" s="26">
        <f>'TE BE'!$O$42*'TE BE'!$O$50</f>
        <v>0</v>
      </c>
      <c r="P42" s="26">
        <f>'TE BE'!$P$42*'TE BE'!$P$50</f>
        <v>0</v>
      </c>
      <c r="Q42" s="26">
        <f>SUM($L$42:$P$42)</f>
        <v>0</v>
      </c>
      <c r="R42" s="26">
        <f>'TE BE'!$R$42*'TE BE'!$R$50</f>
        <v>-1.0049704464217613</v>
      </c>
      <c r="S42" s="26">
        <f>SUM($R$42:$R$42)</f>
        <v>-1.0049704464217613</v>
      </c>
      <c r="T42" s="26">
        <f>'TE BE'!$T$42*'TE BE'!$T$50</f>
        <v>0</v>
      </c>
      <c r="U42" s="26">
        <f>'TE BE'!$U$42*'TE BE'!$U$50</f>
        <v>0</v>
      </c>
      <c r="V42" s="26">
        <f>'TE BE'!$V$42*'TE BE'!$V$50</f>
        <v>0</v>
      </c>
      <c r="W42" s="26">
        <f>SUM($T$42:$V$42)</f>
        <v>0</v>
      </c>
      <c r="X42" s="26">
        <f>'TE BE'!$AB$42*'TE BE'!$X$50</f>
        <v>0</v>
      </c>
      <c r="Y42" s="26">
        <f>SUM($X$42:$X$42)</f>
        <v>0</v>
      </c>
      <c r="Z42" s="26">
        <f>'TE BE'!$Z$42*'TE BE'!$Z$50</f>
        <v>0</v>
      </c>
      <c r="AA42" s="26">
        <f>SUM($Z$42:$Z$42)</f>
        <v>0</v>
      </c>
      <c r="AB42" s="26">
        <f>SUMIF($L$4:$AA$4,"SUBTOTAL",$L$42:$AA$42)</f>
        <v>-1.0049704464217613</v>
      </c>
    </row>
    <row r="43" spans="1:28" ht="11.25" customHeight="1" x14ac:dyDescent="0.25">
      <c r="A43" s="99"/>
      <c r="B43" s="99"/>
      <c r="C43" s="99"/>
      <c r="D43" s="29" t="s">
        <v>92</v>
      </c>
      <c r="E43" s="29" t="s">
        <v>25</v>
      </c>
      <c r="F43" s="29" t="s">
        <v>25</v>
      </c>
      <c r="G43" s="29" t="s">
        <v>80</v>
      </c>
      <c r="H43" s="29" t="s">
        <v>74</v>
      </c>
      <c r="I43" s="29">
        <f>'MERCADO TE'!$U$40</f>
        <v>0</v>
      </c>
      <c r="J43" s="15"/>
      <c r="L43" s="26">
        <f>'TE BE'!$L$43*'TE BE'!$L$50</f>
        <v>0</v>
      </c>
      <c r="M43" s="26">
        <f>'TE BE'!$M$43*'TE BE'!$M$50</f>
        <v>0</v>
      </c>
      <c r="N43" s="26">
        <f>'TE BE'!$N$43*'TE BE'!$N$50</f>
        <v>0</v>
      </c>
      <c r="O43" s="26">
        <f>'TE BE'!$O$43*'TE BE'!$O$50</f>
        <v>0</v>
      </c>
      <c r="P43" s="26">
        <f>'TE BE'!$P$43*'TE BE'!$P$50</f>
        <v>0</v>
      </c>
      <c r="Q43" s="26">
        <f>SUM($L$43:$P$43)</f>
        <v>0</v>
      </c>
      <c r="R43" s="26">
        <f>'TE BE'!$R$43*'TE BE'!$R$50</f>
        <v>-1.0963313960964665</v>
      </c>
      <c r="S43" s="26">
        <f>SUM($R$43:$R$43)</f>
        <v>-1.0963313960964665</v>
      </c>
      <c r="T43" s="26">
        <f>'TE BE'!$T$43*'TE BE'!$T$50</f>
        <v>0</v>
      </c>
      <c r="U43" s="26">
        <f>'TE BE'!$U$43*'TE BE'!$U$50</f>
        <v>0</v>
      </c>
      <c r="V43" s="26">
        <f>'TE BE'!$V$43*'TE BE'!$V$50</f>
        <v>0</v>
      </c>
      <c r="W43" s="26">
        <f>SUM($T$43:$V$43)</f>
        <v>0</v>
      </c>
      <c r="X43" s="26">
        <f>'TE BE'!$AB$43*'TE BE'!$X$50</f>
        <v>0</v>
      </c>
      <c r="Y43" s="26">
        <f>SUM($X$43:$X$43)</f>
        <v>0</v>
      </c>
      <c r="Z43" s="26">
        <f>'TE BE'!$Z$43*'TE BE'!$Z$50</f>
        <v>0</v>
      </c>
      <c r="AA43" s="26">
        <f>SUM($Z$43:$Z$43)</f>
        <v>0</v>
      </c>
      <c r="AB43" s="26">
        <f>SUMIF($L$4:$AA$4,"SUBTOTAL",$L$43:$AA$43)</f>
        <v>-1.0963313960964665</v>
      </c>
    </row>
    <row r="45" spans="1:28" ht="11.25" customHeight="1" x14ac:dyDescent="0.25">
      <c r="K45" s="31" t="s">
        <v>571</v>
      </c>
      <c r="L45" s="26">
        <f t="shared" ref="L45:AB45" si="0">SUMPRODUCT($I$5:$I$43,L$5:L$43)</f>
        <v>0</v>
      </c>
      <c r="M45" s="26">
        <f t="shared" si="0"/>
        <v>0</v>
      </c>
      <c r="N45" s="26">
        <f t="shared" si="0"/>
        <v>0</v>
      </c>
      <c r="O45" s="26">
        <f t="shared" si="0"/>
        <v>0</v>
      </c>
      <c r="P45" s="26">
        <f t="shared" si="0"/>
        <v>0</v>
      </c>
      <c r="Q45" s="26">
        <f t="shared" si="0"/>
        <v>0</v>
      </c>
      <c r="R45" s="26">
        <f t="shared" si="0"/>
        <v>-606777.67560267111</v>
      </c>
      <c r="S45" s="26">
        <f t="shared" si="0"/>
        <v>-606777.67560267111</v>
      </c>
      <c r="T45" s="26">
        <f t="shared" si="0"/>
        <v>0</v>
      </c>
      <c r="U45" s="26">
        <f t="shared" si="0"/>
        <v>0</v>
      </c>
      <c r="V45" s="26">
        <f t="shared" si="0"/>
        <v>0</v>
      </c>
      <c r="W45" s="26">
        <f t="shared" si="0"/>
        <v>0</v>
      </c>
      <c r="X45" s="26">
        <f t="shared" si="0"/>
        <v>0</v>
      </c>
      <c r="Y45" s="26">
        <f t="shared" si="0"/>
        <v>0</v>
      </c>
      <c r="Z45" s="26">
        <f t="shared" si="0"/>
        <v>0</v>
      </c>
      <c r="AA45" s="26">
        <f t="shared" si="0"/>
        <v>0</v>
      </c>
      <c r="AB45" s="26">
        <f t="shared" si="0"/>
        <v>-606777.67560267111</v>
      </c>
    </row>
    <row r="46" spans="1:28" ht="11.25" customHeight="1" x14ac:dyDescent="0.25">
      <c r="K46" s="31" t="s">
        <v>490</v>
      </c>
      <c r="L46" s="26">
        <f>CUSTOS!$D$30</f>
        <v>0</v>
      </c>
      <c r="M46" s="26">
        <f>CUSTOS!$D$31</f>
        <v>0</v>
      </c>
      <c r="N46" s="26">
        <f>CUSTOS!$D$32</f>
        <v>0</v>
      </c>
      <c r="O46" s="26">
        <f>CUSTOS!$D$33</f>
        <v>0</v>
      </c>
      <c r="P46" s="26">
        <f>CUSTOS!$D$34</f>
        <v>0</v>
      </c>
      <c r="Q46" s="26">
        <f>CUSTOS!$D$35</f>
        <v>0</v>
      </c>
      <c r="R46" s="26">
        <f>CUSTOS!$D$36</f>
        <v>38717711.038305797</v>
      </c>
      <c r="S46" s="26">
        <f>CUSTOS!$D$37</f>
        <v>38717711.038305797</v>
      </c>
      <c r="T46" s="26">
        <f>CUSTOS!$D$38</f>
        <v>0</v>
      </c>
      <c r="U46" s="26">
        <f>CUSTOS!$D$39</f>
        <v>0</v>
      </c>
      <c r="V46" s="26">
        <f>CUSTOS!$D$40</f>
        <v>0</v>
      </c>
      <c r="W46" s="26">
        <f>CUSTOS!$D$41</f>
        <v>0</v>
      </c>
      <c r="X46" s="26">
        <f>CUSTOS!$D$42</f>
        <v>0</v>
      </c>
      <c r="Y46" s="26">
        <f>CUSTOS!$D$43</f>
        <v>0</v>
      </c>
      <c r="Z46" s="26">
        <f>CUSTOS!$D$44</f>
        <v>0</v>
      </c>
      <c r="AA46" s="26">
        <f>CUSTOS!$D$45</f>
        <v>0</v>
      </c>
      <c r="AB46" s="26">
        <f>CUSTOS!$D$46</f>
        <v>38717711.038305797</v>
      </c>
    </row>
    <row r="47" spans="1:28" ht="11.25" customHeight="1" x14ac:dyDescent="0.25">
      <c r="K47" s="31" t="s">
        <v>491</v>
      </c>
      <c r="L47" s="26">
        <f>CUSTOS!$E$30</f>
        <v>0</v>
      </c>
      <c r="M47" s="26">
        <f>CUSTOS!$E$31</f>
        <v>0</v>
      </c>
      <c r="N47" s="26">
        <f>CUSTOS!$E$32</f>
        <v>0</v>
      </c>
      <c r="O47" s="26">
        <f>CUSTOS!$E$33</f>
        <v>0</v>
      </c>
      <c r="P47" s="26">
        <f>CUSTOS!$E$34</f>
        <v>0</v>
      </c>
      <c r="Q47" s="26">
        <f>CUSTOS!$E$35</f>
        <v>0</v>
      </c>
      <c r="R47" s="26">
        <f>CUSTOS!$E$36</f>
        <v>-606777.67560267111</v>
      </c>
      <c r="S47" s="26">
        <f>CUSTOS!$E$37</f>
        <v>-606777.67560267111</v>
      </c>
      <c r="T47" s="26">
        <f>CUSTOS!$E$38</f>
        <v>0</v>
      </c>
      <c r="U47" s="26">
        <f>CUSTOS!$E$39</f>
        <v>0</v>
      </c>
      <c r="V47" s="26">
        <f>CUSTOS!$E$40</f>
        <v>0</v>
      </c>
      <c r="W47" s="26">
        <f>CUSTOS!$E$41</f>
        <v>0</v>
      </c>
      <c r="X47" s="26">
        <f>CUSTOS!$E$42</f>
        <v>0</v>
      </c>
      <c r="Y47" s="26">
        <f>CUSTOS!$E$43</f>
        <v>0</v>
      </c>
      <c r="Z47" s="26">
        <f>CUSTOS!$E$44</f>
        <v>0</v>
      </c>
      <c r="AA47" s="26">
        <f>CUSTOS!$E$45</f>
        <v>0</v>
      </c>
      <c r="AB47" s="26">
        <f>CUSTOS!$E$46</f>
        <v>-606777.67560267111</v>
      </c>
    </row>
    <row r="48" spans="1:28" ht="11.25" customHeight="1" x14ac:dyDescent="0.25">
      <c r="K48" s="31" t="s">
        <v>492</v>
      </c>
      <c r="L48" s="26">
        <f>CUSTOS!$F$30</f>
        <v>0</v>
      </c>
      <c r="M48" s="26">
        <f>CUSTOS!$F$31</f>
        <v>0</v>
      </c>
      <c r="N48" s="26">
        <f>CUSTOS!$F$32</f>
        <v>0</v>
      </c>
      <c r="O48" s="26">
        <f>CUSTOS!$F$33</f>
        <v>0</v>
      </c>
      <c r="P48" s="26">
        <f>CUSTOS!$F$34</f>
        <v>0</v>
      </c>
      <c r="Q48" s="26">
        <f>CUSTOS!$F$35</f>
        <v>0</v>
      </c>
      <c r="R48" s="26">
        <f>CUSTOS!$F$36</f>
        <v>0</v>
      </c>
      <c r="S48" s="26">
        <f>CUSTOS!$F$37</f>
        <v>0</v>
      </c>
      <c r="T48" s="26">
        <f>CUSTOS!$F$38</f>
        <v>0</v>
      </c>
      <c r="U48" s="26">
        <f>CUSTOS!$F$39</f>
        <v>0</v>
      </c>
      <c r="V48" s="26">
        <f>CUSTOS!$F$40</f>
        <v>0</v>
      </c>
      <c r="W48" s="26">
        <f>CUSTOS!$F$41</f>
        <v>0</v>
      </c>
      <c r="X48" s="26">
        <f>CUSTOS!$F$42</f>
        <v>0</v>
      </c>
      <c r="Y48" s="26">
        <f>CUSTOS!$F$43</f>
        <v>0</v>
      </c>
      <c r="Z48" s="26">
        <f>CUSTOS!$F$44</f>
        <v>0</v>
      </c>
      <c r="AA48" s="26">
        <f>CUSTOS!$F$45</f>
        <v>0</v>
      </c>
      <c r="AB48" s="26">
        <f>CUSTOS!$F$46</f>
        <v>0</v>
      </c>
    </row>
    <row r="49" spans="11:28" ht="11.25" customHeight="1" x14ac:dyDescent="0.25">
      <c r="K49" s="31" t="s">
        <v>572</v>
      </c>
      <c r="L49" s="26">
        <f>'TR TE'!$L$49*L50</f>
        <v>0</v>
      </c>
      <c r="M49" s="26">
        <f>'TR TE'!$M$49*M50</f>
        <v>0</v>
      </c>
      <c r="N49" s="26">
        <f>'TR TE'!$N$49*N50</f>
        <v>0</v>
      </c>
      <c r="O49" s="26">
        <f>'TR TE'!$O$49*O50</f>
        <v>0</v>
      </c>
      <c r="P49" s="26">
        <f>'TR TE'!$P$49*P50</f>
        <v>0</v>
      </c>
      <c r="Q49" s="26"/>
      <c r="R49" s="26">
        <f>'TR TE'!$R$49*R50</f>
        <v>0</v>
      </c>
      <c r="S49" s="26"/>
      <c r="T49" s="26">
        <f>'TR TE'!$T$49*T50</f>
        <v>0</v>
      </c>
      <c r="U49" s="26">
        <f>'TR TE'!$U$49*U50</f>
        <v>0</v>
      </c>
      <c r="V49" s="26">
        <f>'TR TE'!$V$49*V50</f>
        <v>0</v>
      </c>
      <c r="W49" s="26"/>
      <c r="X49" s="26"/>
      <c r="Y49" s="26"/>
      <c r="Z49" s="26">
        <f>'TR TE'!$Z$49*Z50</f>
        <v>0</v>
      </c>
      <c r="AA49" s="26"/>
      <c r="AB49" s="26"/>
    </row>
    <row r="50" spans="11:28" ht="11.25" customHeight="1" x14ac:dyDescent="0.25">
      <c r="K50" s="31" t="s">
        <v>567</v>
      </c>
      <c r="L50" s="26">
        <f>IF(L46&lt;&gt;0,L48/L46,0)</f>
        <v>0</v>
      </c>
      <c r="M50" s="26">
        <f>IF(M46&lt;&gt;0,M48/M46,0)</f>
        <v>0</v>
      </c>
      <c r="N50" s="26">
        <f>IF(N46&lt;&gt;0,N48/N46,0)</f>
        <v>0</v>
      </c>
      <c r="O50" s="26">
        <f>IF(O46&lt;&gt;0,O48/O46,0)</f>
        <v>0</v>
      </c>
      <c r="P50" s="26">
        <f>IF(P46&lt;&gt;0,P48/P46,0)</f>
        <v>0</v>
      </c>
      <c r="Q50" s="26"/>
      <c r="R50" s="26">
        <f>IF(R46&lt;&gt;0,R48/R46,0)</f>
        <v>0</v>
      </c>
      <c r="S50" s="26"/>
      <c r="T50" s="26">
        <f>IF(T46&lt;&gt;0,T48/T46,0)</f>
        <v>0</v>
      </c>
      <c r="U50" s="26">
        <f>IF(U46&lt;&gt;0,U48/U46,0)</f>
        <v>0</v>
      </c>
      <c r="V50" s="26">
        <f>IF(V46&lt;&gt;0,V48/V46,0)</f>
        <v>0</v>
      </c>
      <c r="W50" s="26"/>
      <c r="X50" s="26">
        <f>IF($AB46&lt;&gt;0,X48/($AB46-SUM('TR TE'!$L49:'TR TE'!$AA49)*0),0)</f>
        <v>0</v>
      </c>
      <c r="Y50" s="26"/>
      <c r="Z50" s="26">
        <f>IF(Z46&lt;&gt;0,Z48/Z46,0)</f>
        <v>0</v>
      </c>
      <c r="AA50" s="26"/>
      <c r="AB50" s="26"/>
    </row>
    <row r="51" spans="11:28" ht="11.25" customHeight="1" x14ac:dyDescent="0.25"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</sheetData>
  <mergeCells count="67">
    <mergeCell ref="E37:E39"/>
    <mergeCell ref="F37:F39"/>
    <mergeCell ref="A42:A43"/>
    <mergeCell ref="B42:B43"/>
    <mergeCell ref="C42:C43"/>
    <mergeCell ref="D37:D39"/>
    <mergeCell ref="B34:B36"/>
    <mergeCell ref="C34:C36"/>
    <mergeCell ref="A37:A41"/>
    <mergeCell ref="B37:B39"/>
    <mergeCell ref="C37:C39"/>
    <mergeCell ref="A22:A36"/>
    <mergeCell ref="B22:B24"/>
    <mergeCell ref="C22:C24"/>
    <mergeCell ref="B30:B32"/>
    <mergeCell ref="C30:C32"/>
    <mergeCell ref="B26:B28"/>
    <mergeCell ref="C26:C28"/>
    <mergeCell ref="D30:D32"/>
    <mergeCell ref="E30:E32"/>
    <mergeCell ref="F30:F32"/>
    <mergeCell ref="D22:D24"/>
    <mergeCell ref="E22:E24"/>
    <mergeCell ref="F22:F24"/>
    <mergeCell ref="D26:D28"/>
    <mergeCell ref="E26:E28"/>
    <mergeCell ref="F26:F28"/>
    <mergeCell ref="A9:A21"/>
    <mergeCell ref="B9:B11"/>
    <mergeCell ref="C9:C11"/>
    <mergeCell ref="D9:D11"/>
    <mergeCell ref="E9:E11"/>
    <mergeCell ref="F9:F11"/>
    <mergeCell ref="B12:B16"/>
    <mergeCell ref="C12:C16"/>
    <mergeCell ref="B17:B21"/>
    <mergeCell ref="C17:C21"/>
    <mergeCell ref="A7:A8"/>
    <mergeCell ref="B7:B8"/>
    <mergeCell ref="C7:C8"/>
    <mergeCell ref="D7:D8"/>
    <mergeCell ref="E7:E8"/>
    <mergeCell ref="F7:F8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5">
    <cfRule type="cellIs" dxfId="582" priority="33" operator="notEqual">
      <formula>$L$47</formula>
    </cfRule>
    <cfRule type="cellIs" dxfId="581" priority="34" operator="equal">
      <formula>$L$47</formula>
    </cfRule>
  </conditionalFormatting>
  <conditionalFormatting sqref="M45">
    <cfRule type="cellIs" dxfId="580" priority="31" operator="notEqual">
      <formula>$M$47</formula>
    </cfRule>
    <cfRule type="cellIs" dxfId="579" priority="32" operator="equal">
      <formula>$M$47</formula>
    </cfRule>
  </conditionalFormatting>
  <conditionalFormatting sqref="N45">
    <cfRule type="cellIs" dxfId="578" priority="29" operator="notEqual">
      <formula>$N$47</formula>
    </cfRule>
    <cfRule type="cellIs" dxfId="577" priority="30" operator="equal">
      <formula>$N$47</formula>
    </cfRule>
  </conditionalFormatting>
  <conditionalFormatting sqref="O45">
    <cfRule type="cellIs" dxfId="576" priority="27" operator="notEqual">
      <formula>$O$47</formula>
    </cfRule>
    <cfRule type="cellIs" dxfId="575" priority="28" operator="equal">
      <formula>$O$47</formula>
    </cfRule>
  </conditionalFormatting>
  <conditionalFormatting sqref="P45">
    <cfRule type="cellIs" dxfId="574" priority="25" operator="notEqual">
      <formula>$P$47</formula>
    </cfRule>
    <cfRule type="cellIs" dxfId="573" priority="26" operator="equal">
      <formula>$P$47</formula>
    </cfRule>
  </conditionalFormatting>
  <conditionalFormatting sqref="Q45">
    <cfRule type="cellIs" dxfId="572" priority="23" operator="notEqual">
      <formula>$Q$47</formula>
    </cfRule>
    <cfRule type="cellIs" dxfId="571" priority="24" operator="equal">
      <formula>$Q$47</formula>
    </cfRule>
  </conditionalFormatting>
  <conditionalFormatting sqref="R45">
    <cfRule type="cellIs" dxfId="570" priority="21" operator="notEqual">
      <formula>$R$47</formula>
    </cfRule>
    <cfRule type="cellIs" dxfId="569" priority="22" operator="equal">
      <formula>$R$47</formula>
    </cfRule>
  </conditionalFormatting>
  <conditionalFormatting sqref="S45">
    <cfRule type="cellIs" dxfId="568" priority="19" operator="notEqual">
      <formula>$S$47</formula>
    </cfRule>
    <cfRule type="cellIs" dxfId="567" priority="20" operator="equal">
      <formula>$S$47</formula>
    </cfRule>
  </conditionalFormatting>
  <conditionalFormatting sqref="T45">
    <cfRule type="cellIs" dxfId="566" priority="17" operator="notEqual">
      <formula>$T$47</formula>
    </cfRule>
    <cfRule type="cellIs" dxfId="565" priority="18" operator="equal">
      <formula>$T$47</formula>
    </cfRule>
  </conditionalFormatting>
  <conditionalFormatting sqref="U45">
    <cfRule type="cellIs" dxfId="564" priority="15" operator="notEqual">
      <formula>$U$47</formula>
    </cfRule>
    <cfRule type="cellIs" dxfId="563" priority="16" operator="equal">
      <formula>$U$47</formula>
    </cfRule>
  </conditionalFormatting>
  <conditionalFormatting sqref="V45">
    <cfRule type="cellIs" dxfId="562" priority="13" operator="notEqual">
      <formula>$V$47</formula>
    </cfRule>
    <cfRule type="cellIs" dxfId="561" priority="14" operator="equal">
      <formula>$V$47</formula>
    </cfRule>
  </conditionalFormatting>
  <conditionalFormatting sqref="W45">
    <cfRule type="cellIs" dxfId="560" priority="11" operator="notEqual">
      <formula>$W$47</formula>
    </cfRule>
    <cfRule type="cellIs" dxfId="559" priority="12" operator="equal">
      <formula>$W$47</formula>
    </cfRule>
  </conditionalFormatting>
  <conditionalFormatting sqref="X45">
    <cfRule type="cellIs" dxfId="558" priority="9" operator="notEqual">
      <formula>$X$47</formula>
    </cfRule>
    <cfRule type="cellIs" dxfId="557" priority="10" operator="equal">
      <formula>$X$47</formula>
    </cfRule>
  </conditionalFormatting>
  <conditionalFormatting sqref="Y45">
    <cfRule type="cellIs" dxfId="556" priority="7" operator="notEqual">
      <formula>$Y$47</formula>
    </cfRule>
    <cfRule type="cellIs" dxfId="555" priority="8" operator="equal">
      <formula>$Y$47</formula>
    </cfRule>
  </conditionalFormatting>
  <conditionalFormatting sqref="Z45">
    <cfRule type="cellIs" dxfId="554" priority="5" operator="notEqual">
      <formula>$Z$47</formula>
    </cfRule>
    <cfRule type="cellIs" dxfId="553" priority="6" operator="equal">
      <formula>$Z$47</formula>
    </cfRule>
  </conditionalFormatting>
  <conditionalFormatting sqref="AA45">
    <cfRule type="cellIs" dxfId="552" priority="3" operator="notEqual">
      <formula>$AA$47</formula>
    </cfRule>
    <cfRule type="cellIs" dxfId="551" priority="4" operator="equal">
      <formula>$AA$47</formula>
    </cfRule>
  </conditionalFormatting>
  <conditionalFormatting sqref="AB45">
    <cfRule type="cellIs" dxfId="550" priority="1" operator="notEqual">
      <formula>$AB$47</formula>
    </cfRule>
    <cfRule type="cellIs" dxfId="549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B7EE-BCD7-4B90-ACE6-24A2C01F520C}">
  <dimension ref="A1:AB51"/>
  <sheetViews>
    <sheetView showGridLines="0" topLeftCell="L1" workbookViewId="0">
      <selection activeCell="AB45" sqref="AB45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82"/>
      <c r="L1" s="101" t="s">
        <v>577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476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449</v>
      </c>
      <c r="M3" s="101"/>
      <c r="N3" s="101"/>
      <c r="O3" s="101"/>
      <c r="P3" s="101"/>
      <c r="Q3" s="101"/>
      <c r="R3" s="101" t="s">
        <v>480</v>
      </c>
      <c r="S3" s="101"/>
      <c r="T3" s="101" t="s">
        <v>458</v>
      </c>
      <c r="U3" s="101"/>
      <c r="V3" s="101"/>
      <c r="W3" s="101"/>
      <c r="X3" s="101" t="s">
        <v>468</v>
      </c>
      <c r="Y3" s="101"/>
      <c r="Z3" s="101" t="s">
        <v>471</v>
      </c>
      <c r="AA3" s="101"/>
      <c r="AB3" s="101" t="s">
        <v>457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451</v>
      </c>
      <c r="M4" s="30" t="s">
        <v>477</v>
      </c>
      <c r="N4" s="30" t="s">
        <v>478</v>
      </c>
      <c r="O4" s="30" t="s">
        <v>537</v>
      </c>
      <c r="P4" s="30" t="s">
        <v>479</v>
      </c>
      <c r="Q4" s="30" t="s">
        <v>457</v>
      </c>
      <c r="R4" s="30" t="s">
        <v>481</v>
      </c>
      <c r="S4" s="30" t="s">
        <v>457</v>
      </c>
      <c r="T4" s="30" t="s">
        <v>482</v>
      </c>
      <c r="U4" s="30" t="s">
        <v>483</v>
      </c>
      <c r="V4" s="30" t="s">
        <v>484</v>
      </c>
      <c r="W4" s="30" t="s">
        <v>457</v>
      </c>
      <c r="X4" s="30" t="s">
        <v>469</v>
      </c>
      <c r="Y4" s="30" t="s">
        <v>457</v>
      </c>
      <c r="Z4" s="30" t="s">
        <v>485</v>
      </c>
      <c r="AA4" s="30" t="s">
        <v>457</v>
      </c>
      <c r="AB4" s="102"/>
    </row>
    <row r="5" spans="1:28" ht="11.25" customHeight="1" x14ac:dyDescent="0.25">
      <c r="A5" s="99" t="s">
        <v>35</v>
      </c>
      <c r="B5" s="99" t="s">
        <v>73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75</v>
      </c>
      <c r="H5" s="29" t="s">
        <v>74</v>
      </c>
      <c r="I5" s="29">
        <f>'MERCADO TE'!$U$2</f>
        <v>1179.2529999999999</v>
      </c>
      <c r="J5" s="15"/>
      <c r="L5" s="26">
        <f>'TE BE'!$L$5*'TE BF'!$L$50</f>
        <v>0</v>
      </c>
      <c r="M5" s="26">
        <f>'TE BE'!$M$5*'TE BF'!$M$50</f>
        <v>0</v>
      </c>
      <c r="N5" s="26">
        <f>'TE BE'!$N$5*'TE BF'!$N$50</f>
        <v>0</v>
      </c>
      <c r="O5" s="26">
        <f>'TE BE'!$O$5*'TE BF'!$O$50</f>
        <v>0</v>
      </c>
      <c r="P5" s="26">
        <f>'TE BE'!$P$5*'TE BF'!$P$50</f>
        <v>0</v>
      </c>
      <c r="Q5" s="26">
        <f>SUM($L$5:$P$5)</f>
        <v>0</v>
      </c>
      <c r="R5" s="26">
        <f>'TE BE'!$R$5*'TE BF'!$R$50</f>
        <v>0</v>
      </c>
      <c r="S5" s="26">
        <f>SUM($R$5:$R$5)</f>
        <v>0</v>
      </c>
      <c r="T5" s="26">
        <f>'TE BE'!$T$5*'TE BF'!$T$50</f>
        <v>0</v>
      </c>
      <c r="U5" s="26">
        <f>'TE BE'!$U$5*'TE BF'!$U$50</f>
        <v>0</v>
      </c>
      <c r="V5" s="26">
        <f>'TE BE'!$V$5*'TE BF'!$V$50</f>
        <v>0</v>
      </c>
      <c r="W5" s="26">
        <f>SUM($T$5:$V$5)</f>
        <v>0</v>
      </c>
      <c r="X5" s="26">
        <f>'TE BE'!$AB$5*'TE BF'!$X$50</f>
        <v>0</v>
      </c>
      <c r="Y5" s="26">
        <f>SUM($X$5:$X$5)</f>
        <v>0</v>
      </c>
      <c r="Z5" s="26">
        <f>'TE BE'!$Z$5*'TE BF'!$Z$50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76</v>
      </c>
      <c r="H6" s="29" t="s">
        <v>74</v>
      </c>
      <c r="I6" s="29">
        <f>'MERCADO TE'!$U$3</f>
        <v>12180.129000000001</v>
      </c>
      <c r="J6" s="15"/>
      <c r="L6" s="26">
        <f>'TE BE'!$L$6*'TE BF'!$L$50</f>
        <v>0</v>
      </c>
      <c r="M6" s="26">
        <f>'TE BE'!$M$6*'TE BF'!$M$50</f>
        <v>0</v>
      </c>
      <c r="N6" s="26">
        <f>'TE BE'!$N$6*'TE BF'!$N$50</f>
        <v>0</v>
      </c>
      <c r="O6" s="26">
        <f>'TE BE'!$O$6*'TE BF'!$O$50</f>
        <v>0</v>
      </c>
      <c r="P6" s="26">
        <f>'TE BE'!$P$6*'TE BF'!$P$50</f>
        <v>0</v>
      </c>
      <c r="Q6" s="26">
        <f>SUM($L$6:$P$6)</f>
        <v>0</v>
      </c>
      <c r="R6" s="26">
        <f>'TE BE'!$R$6*'TE BF'!$R$50</f>
        <v>0</v>
      </c>
      <c r="S6" s="26">
        <f>SUM($R$6:$R$6)</f>
        <v>0</v>
      </c>
      <c r="T6" s="26">
        <f>'TE BE'!$T$6*'TE BF'!$T$50</f>
        <v>0</v>
      </c>
      <c r="U6" s="26">
        <f>'TE BE'!$U$6*'TE BF'!$U$50</f>
        <v>0</v>
      </c>
      <c r="V6" s="26">
        <f>'TE BE'!$V$6*'TE BF'!$V$50</f>
        <v>0</v>
      </c>
      <c r="W6" s="26">
        <f>SUM($T$6:$V$6)</f>
        <v>0</v>
      </c>
      <c r="X6" s="26">
        <f>'TE BE'!$AB$6*'TE BF'!$X$50</f>
        <v>0</v>
      </c>
      <c r="Y6" s="26">
        <f>SUM($X$6:$X$6)</f>
        <v>0</v>
      </c>
      <c r="Z6" s="26">
        <f>'TE BE'!$Z$6*'TE BF'!$Z$50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99" t="s">
        <v>39</v>
      </c>
      <c r="B7" s="99" t="s">
        <v>73</v>
      </c>
      <c r="C7" s="99" t="s">
        <v>25</v>
      </c>
      <c r="D7" s="99" t="s">
        <v>25</v>
      </c>
      <c r="E7" s="99" t="s">
        <v>25</v>
      </c>
      <c r="F7" s="99" t="s">
        <v>25</v>
      </c>
      <c r="G7" s="29" t="s">
        <v>75</v>
      </c>
      <c r="H7" s="29" t="s">
        <v>74</v>
      </c>
      <c r="I7" s="29">
        <f>'MERCADO TE'!$U$4</f>
        <v>14718.998999999998</v>
      </c>
      <c r="J7" s="15"/>
      <c r="L7" s="26">
        <f>'TE BE'!$L$7*'TE BF'!$L$50</f>
        <v>0</v>
      </c>
      <c r="M7" s="26">
        <f>'TE BE'!$M$7*'TE BF'!$M$50</f>
        <v>0</v>
      </c>
      <c r="N7" s="26">
        <f>'TE BE'!$N$7*'TE BF'!$N$50</f>
        <v>0</v>
      </c>
      <c r="O7" s="26">
        <f>'TE BE'!$O$7*'TE BF'!$O$50</f>
        <v>0</v>
      </c>
      <c r="P7" s="26">
        <f>'TE BE'!$P$7*'TE BF'!$P$50</f>
        <v>0</v>
      </c>
      <c r="Q7" s="26">
        <f>SUM($L$7:$P$7)</f>
        <v>0</v>
      </c>
      <c r="R7" s="26">
        <f>'TE BE'!$R$7*'TE BF'!$R$50</f>
        <v>0</v>
      </c>
      <c r="S7" s="26">
        <f>SUM($R$7:$R$7)</f>
        <v>0</v>
      </c>
      <c r="T7" s="26">
        <f>'TE BE'!$T$7*'TE BF'!$T$50</f>
        <v>0</v>
      </c>
      <c r="U7" s="26">
        <f>'TE BE'!$U$7*'TE BF'!$U$50</f>
        <v>0</v>
      </c>
      <c r="V7" s="26">
        <f>'TE BE'!$V$7*'TE BF'!$V$50</f>
        <v>0</v>
      </c>
      <c r="W7" s="26">
        <f>SUM($T$7:$V$7)</f>
        <v>0</v>
      </c>
      <c r="X7" s="26">
        <f>'TE BE'!$AB$7*'TE BF'!$X$50</f>
        <v>0</v>
      </c>
      <c r="Y7" s="26">
        <f>SUM($X$7:$X$7)</f>
        <v>0</v>
      </c>
      <c r="Z7" s="26">
        <f>'TE BE'!$Z$7*'TE BF'!$Z$50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76</v>
      </c>
      <c r="H8" s="29" t="s">
        <v>74</v>
      </c>
      <c r="I8" s="29">
        <f>'MERCADO TE'!$U$5</f>
        <v>200745.10000000003</v>
      </c>
      <c r="J8" s="15"/>
      <c r="L8" s="26">
        <f>'TE BE'!$L$8*'TE BF'!$L$50</f>
        <v>0</v>
      </c>
      <c r="M8" s="26">
        <f>'TE BE'!$M$8*'TE BF'!$M$50</f>
        <v>0</v>
      </c>
      <c r="N8" s="26">
        <f>'TE BE'!$N$8*'TE BF'!$N$50</f>
        <v>0</v>
      </c>
      <c r="O8" s="26">
        <f>'TE BE'!$O$8*'TE BF'!$O$50</f>
        <v>0</v>
      </c>
      <c r="P8" s="26">
        <f>'TE BE'!$P$8*'TE BF'!$P$50</f>
        <v>0</v>
      </c>
      <c r="Q8" s="26">
        <f>SUM($L$8:$P$8)</f>
        <v>0</v>
      </c>
      <c r="R8" s="26">
        <f>'TE BE'!$R$8*'TE BF'!$R$50</f>
        <v>0</v>
      </c>
      <c r="S8" s="26">
        <f>SUM($R$8:$R$8)</f>
        <v>0</v>
      </c>
      <c r="T8" s="26">
        <f>'TE BE'!$T$8*'TE BF'!$T$50</f>
        <v>0</v>
      </c>
      <c r="U8" s="26">
        <f>'TE BE'!$U$8*'TE BF'!$U$50</f>
        <v>0</v>
      </c>
      <c r="V8" s="26">
        <f>'TE BE'!$V$8*'TE BF'!$V$50</f>
        <v>0</v>
      </c>
      <c r="W8" s="26">
        <f>SUM($T$8:$V$8)</f>
        <v>0</v>
      </c>
      <c r="X8" s="26">
        <f>'TE BE'!$AB$8*'TE BF'!$X$50</f>
        <v>0</v>
      </c>
      <c r="Y8" s="26">
        <f>SUM($X$8:$X$8)</f>
        <v>0</v>
      </c>
      <c r="Z8" s="26">
        <f>'TE BE'!$Z$8*'TE BF'!$Z$50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99" t="s">
        <v>22</v>
      </c>
      <c r="B9" s="99" t="s">
        <v>73</v>
      </c>
      <c r="C9" s="99" t="s">
        <v>24</v>
      </c>
      <c r="D9" s="99" t="s">
        <v>24</v>
      </c>
      <c r="E9" s="99" t="s">
        <v>25</v>
      </c>
      <c r="F9" s="99" t="s">
        <v>25</v>
      </c>
      <c r="G9" s="29" t="s">
        <v>75</v>
      </c>
      <c r="H9" s="29" t="s">
        <v>74</v>
      </c>
      <c r="I9" s="29">
        <f>'MERCADO TE'!$U$6</f>
        <v>0.154</v>
      </c>
      <c r="J9" s="15"/>
      <c r="L9" s="26">
        <f>'TE BE'!$L$9*'TE BF'!$L$50</f>
        <v>0</v>
      </c>
      <c r="M9" s="26">
        <f>'TE BE'!$M$9*'TE BF'!$M$50</f>
        <v>0</v>
      </c>
      <c r="N9" s="26">
        <f>'TE BE'!$N$9*'TE BF'!$N$50</f>
        <v>0</v>
      </c>
      <c r="O9" s="26">
        <f>'TE BE'!$O$9*'TE BF'!$O$50</f>
        <v>0</v>
      </c>
      <c r="P9" s="26">
        <f>'TE BE'!$P$9*'TE BF'!$P$50</f>
        <v>0</v>
      </c>
      <c r="Q9" s="26">
        <f>SUM($L$9:$P$9)</f>
        <v>0</v>
      </c>
      <c r="R9" s="26">
        <f>'TE BE'!$R$9*'TE BF'!$R$50</f>
        <v>0</v>
      </c>
      <c r="S9" s="26">
        <f>SUM($R$9:$R$9)</f>
        <v>0</v>
      </c>
      <c r="T9" s="26">
        <f>'TE BE'!$T$9*'TE BF'!$T$50</f>
        <v>0</v>
      </c>
      <c r="U9" s="26">
        <f>'TE BE'!$U$9*'TE BF'!$U$50</f>
        <v>0</v>
      </c>
      <c r="V9" s="26">
        <f>'TE BE'!$V$9*'TE BF'!$V$50</f>
        <v>0</v>
      </c>
      <c r="W9" s="26">
        <f>SUM($T$9:$V$9)</f>
        <v>0</v>
      </c>
      <c r="X9" s="26">
        <f>'TE BE'!$AB$9*'TE BF'!$X$50</f>
        <v>0</v>
      </c>
      <c r="Y9" s="26">
        <f>SUM($X$9:$X$9)</f>
        <v>0</v>
      </c>
      <c r="Z9" s="26">
        <f>'TE BE'!$Z$9*'TE BF'!$Z$50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99"/>
      <c r="B10" s="99"/>
      <c r="C10" s="99"/>
      <c r="D10" s="99"/>
      <c r="E10" s="99"/>
      <c r="F10" s="99"/>
      <c r="G10" s="29" t="s">
        <v>86</v>
      </c>
      <c r="H10" s="29" t="s">
        <v>74</v>
      </c>
      <c r="I10" s="29">
        <f>'MERCADO TE'!$U$7</f>
        <v>8.5999999999999993E-2</v>
      </c>
      <c r="J10" s="15"/>
      <c r="L10" s="26">
        <f>'TE BE'!$L$10*'TE BF'!$L$50</f>
        <v>0</v>
      </c>
      <c r="M10" s="26">
        <f>'TE BE'!$M$10*'TE BF'!$M$50</f>
        <v>0</v>
      </c>
      <c r="N10" s="26">
        <f>'TE BE'!$N$10*'TE BF'!$N$50</f>
        <v>0</v>
      </c>
      <c r="O10" s="26">
        <f>'TE BE'!$O$10*'TE BF'!$O$50</f>
        <v>0</v>
      </c>
      <c r="P10" s="26">
        <f>'TE BE'!$P$10*'TE BF'!$P$50</f>
        <v>0</v>
      </c>
      <c r="Q10" s="26">
        <f>SUM($L$10:$P$10)</f>
        <v>0</v>
      </c>
      <c r="R10" s="26">
        <f>'TE BE'!$R$10*'TE BF'!$R$50</f>
        <v>0</v>
      </c>
      <c r="S10" s="26">
        <f>SUM($R$10:$R$10)</f>
        <v>0</v>
      </c>
      <c r="T10" s="26">
        <f>'TE BE'!$T$10*'TE BF'!$T$50</f>
        <v>0</v>
      </c>
      <c r="U10" s="26">
        <f>'TE BE'!$U$10*'TE BF'!$U$50</f>
        <v>0</v>
      </c>
      <c r="V10" s="26">
        <f>'TE BE'!$V$10*'TE BF'!$V$50</f>
        <v>0</v>
      </c>
      <c r="W10" s="26">
        <f>SUM($T$10:$V$10)</f>
        <v>0</v>
      </c>
      <c r="X10" s="26">
        <f>'TE BE'!$AB$10*'TE BF'!$X$50</f>
        <v>0</v>
      </c>
      <c r="Y10" s="26">
        <f>SUM($X$10:$X$10)</f>
        <v>0</v>
      </c>
      <c r="Z10" s="26">
        <f>'TE BE'!$Z$10*'TE BF'!$Z$50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99"/>
      <c r="B11" s="99"/>
      <c r="C11" s="99"/>
      <c r="D11" s="99"/>
      <c r="E11" s="99"/>
      <c r="F11" s="99"/>
      <c r="G11" s="29" t="s">
        <v>76</v>
      </c>
      <c r="H11" s="29" t="s">
        <v>74</v>
      </c>
      <c r="I11" s="29">
        <f>'MERCADO TE'!$U$8</f>
        <v>0.95099999999999996</v>
      </c>
      <c r="J11" s="15"/>
      <c r="L11" s="26">
        <f>'TE BE'!$L$11*'TE BF'!$L$50</f>
        <v>0</v>
      </c>
      <c r="M11" s="26">
        <f>'TE BE'!$M$11*'TE BF'!$M$50</f>
        <v>0</v>
      </c>
      <c r="N11" s="26">
        <f>'TE BE'!$N$11*'TE BF'!$N$50</f>
        <v>0</v>
      </c>
      <c r="O11" s="26">
        <f>'TE BE'!$O$11*'TE BF'!$O$50</f>
        <v>0</v>
      </c>
      <c r="P11" s="26">
        <f>'TE BE'!$P$11*'TE BF'!$P$50</f>
        <v>0</v>
      </c>
      <c r="Q11" s="26">
        <f>SUM($L$11:$P$11)</f>
        <v>0</v>
      </c>
      <c r="R11" s="26">
        <f>'TE BE'!$R$11*'TE BF'!$R$50</f>
        <v>0</v>
      </c>
      <c r="S11" s="26">
        <f>SUM($R$11:$R$11)</f>
        <v>0</v>
      </c>
      <c r="T11" s="26">
        <f>'TE BE'!$T$11*'TE BF'!$T$50</f>
        <v>0</v>
      </c>
      <c r="U11" s="26">
        <f>'TE BE'!$U$11*'TE BF'!$U$50</f>
        <v>0</v>
      </c>
      <c r="V11" s="26">
        <f>'TE BE'!$V$11*'TE BF'!$V$50</f>
        <v>0</v>
      </c>
      <c r="W11" s="26">
        <f>SUM($T$11:$V$11)</f>
        <v>0</v>
      </c>
      <c r="X11" s="26">
        <f>'TE BE'!$AB$11*'TE BF'!$X$50</f>
        <v>0</v>
      </c>
      <c r="Y11" s="26">
        <f>SUM($X$11:$X$11)</f>
        <v>0</v>
      </c>
      <c r="Z11" s="26">
        <f>'TE BE'!$Z$11*'TE BF'!$Z$50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99"/>
      <c r="B12" s="99" t="s">
        <v>87</v>
      </c>
      <c r="C12" s="99" t="s">
        <v>24</v>
      </c>
      <c r="D12" s="28" t="s">
        <v>24</v>
      </c>
      <c r="E12" s="28" t="s">
        <v>25</v>
      </c>
      <c r="F12" s="28" t="s">
        <v>25</v>
      </c>
      <c r="G12" s="29" t="s">
        <v>80</v>
      </c>
      <c r="H12" s="29" t="s">
        <v>74</v>
      </c>
      <c r="I12" s="29">
        <f>'MERCADO TE'!$U$9</f>
        <v>58542.483</v>
      </c>
      <c r="J12" s="15"/>
      <c r="L12" s="26">
        <f>'TE BE'!$L$12*'TE BF'!$L$50</f>
        <v>0</v>
      </c>
      <c r="M12" s="26">
        <f>'TE BE'!$M$12*'TE BF'!$M$50</f>
        <v>0</v>
      </c>
      <c r="N12" s="26">
        <f>'TE BE'!$N$12*'TE BF'!$N$50</f>
        <v>0</v>
      </c>
      <c r="O12" s="26">
        <f>'TE BE'!$O$12*'TE BF'!$O$50</f>
        <v>0</v>
      </c>
      <c r="P12" s="26">
        <f>'TE BE'!$P$12*'TE BF'!$P$50</f>
        <v>0</v>
      </c>
      <c r="Q12" s="26">
        <f>SUM($L$12:$P$12)</f>
        <v>0</v>
      </c>
      <c r="R12" s="26">
        <f>'TE BE'!$R$12*'TE BF'!$R$50</f>
        <v>0</v>
      </c>
      <c r="S12" s="26">
        <f>SUM($R$12:$R$12)</f>
        <v>0</v>
      </c>
      <c r="T12" s="26">
        <f>'TE BE'!$T$12*'TE BF'!$T$50</f>
        <v>0</v>
      </c>
      <c r="U12" s="26">
        <f>'TE BE'!$U$12*'TE BF'!$U$50</f>
        <v>0</v>
      </c>
      <c r="V12" s="26">
        <f>'TE BE'!$V$12*'TE BF'!$V$50</f>
        <v>0</v>
      </c>
      <c r="W12" s="26">
        <f>SUM($T$12:$V$12)</f>
        <v>0</v>
      </c>
      <c r="X12" s="26">
        <f>'TE BE'!$AB$12*'TE BF'!$X$50</f>
        <v>0</v>
      </c>
      <c r="Y12" s="26">
        <f>SUM($X$12:$X$12)</f>
        <v>0</v>
      </c>
      <c r="Z12" s="26">
        <f>'TE BE'!$Z$12*'TE BF'!$Z$50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99"/>
      <c r="B13" s="99"/>
      <c r="C13" s="99"/>
      <c r="D13" s="28" t="s">
        <v>29</v>
      </c>
      <c r="E13" s="28" t="s">
        <v>25</v>
      </c>
      <c r="F13" s="28" t="s">
        <v>25</v>
      </c>
      <c r="G13" s="29" t="s">
        <v>80</v>
      </c>
      <c r="H13" s="29" t="s">
        <v>74</v>
      </c>
      <c r="I13" s="29">
        <f>'MERCADO TE'!$U$10</f>
        <v>209.435</v>
      </c>
      <c r="J13" s="15"/>
      <c r="L13" s="26">
        <f>'TE BE'!$L$13*'TE BF'!$L$50</f>
        <v>0</v>
      </c>
      <c r="M13" s="26">
        <f>'TE BE'!$M$13*'TE BF'!$M$50</f>
        <v>0</v>
      </c>
      <c r="N13" s="26">
        <f>'TE BE'!$N$13*'TE BF'!$N$50</f>
        <v>0</v>
      </c>
      <c r="O13" s="26">
        <f>'TE BE'!$O$13*'TE BF'!$O$50</f>
        <v>0</v>
      </c>
      <c r="P13" s="26">
        <f>'TE BE'!$P$13*'TE BF'!$P$50</f>
        <v>0</v>
      </c>
      <c r="Q13" s="26">
        <f>SUM($L$13:$P$13)</f>
        <v>0</v>
      </c>
      <c r="R13" s="26">
        <f>'TE BE'!$R$13*'TE BF'!$R$50</f>
        <v>0</v>
      </c>
      <c r="S13" s="26">
        <f>SUM($R$13:$R$13)</f>
        <v>0</v>
      </c>
      <c r="T13" s="26">
        <f>'TE BE'!$T$13*'TE BF'!$T$50</f>
        <v>0</v>
      </c>
      <c r="U13" s="26">
        <f>'TE BE'!$U$13*'TE BF'!$U$50</f>
        <v>0</v>
      </c>
      <c r="V13" s="26">
        <f>'TE BE'!$V$13*'TE BF'!$V$50</f>
        <v>0</v>
      </c>
      <c r="W13" s="26">
        <f>SUM($T$13:$V$13)</f>
        <v>0</v>
      </c>
      <c r="X13" s="26">
        <f>'TE BE'!$AB$13*'TE BF'!$X$50</f>
        <v>0</v>
      </c>
      <c r="Y13" s="26">
        <f>SUM($X$13:$X$13)</f>
        <v>0</v>
      </c>
      <c r="Z13" s="26">
        <f>'TE BE'!$Z$13*'TE BF'!$Z$50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99"/>
      <c r="B14" s="99"/>
      <c r="C14" s="99"/>
      <c r="D14" s="28" t="s">
        <v>30</v>
      </c>
      <c r="E14" s="28" t="s">
        <v>25</v>
      </c>
      <c r="F14" s="28" t="s">
        <v>25</v>
      </c>
      <c r="G14" s="29" t="s">
        <v>80</v>
      </c>
      <c r="H14" s="29" t="s">
        <v>74</v>
      </c>
      <c r="I14" s="29">
        <f>'MERCADO TE'!$U$11</f>
        <v>450.29900000000004</v>
      </c>
      <c r="J14" s="15"/>
      <c r="L14" s="26">
        <f>'TE BE'!$L$14*'TE BF'!$L$50</f>
        <v>0</v>
      </c>
      <c r="M14" s="26">
        <f>'TE BE'!$M$14*'TE BF'!$M$50</f>
        <v>0</v>
      </c>
      <c r="N14" s="26">
        <f>'TE BE'!$N$14*'TE BF'!$N$50</f>
        <v>0</v>
      </c>
      <c r="O14" s="26">
        <f>'TE BE'!$O$14*'TE BF'!$O$50</f>
        <v>0</v>
      </c>
      <c r="P14" s="26">
        <f>'TE BE'!$P$14*'TE BF'!$P$50</f>
        <v>0</v>
      </c>
      <c r="Q14" s="26">
        <f>SUM($L$14:$P$14)</f>
        <v>0</v>
      </c>
      <c r="R14" s="26">
        <f>'TE BE'!$R$14*'TE BF'!$R$50</f>
        <v>0</v>
      </c>
      <c r="S14" s="26">
        <f>SUM($R$14:$R$14)</f>
        <v>0</v>
      </c>
      <c r="T14" s="26">
        <f>'TE BE'!$T$14*'TE BF'!$T$50</f>
        <v>0</v>
      </c>
      <c r="U14" s="26">
        <f>'TE BE'!$U$14*'TE BF'!$U$50</f>
        <v>0</v>
      </c>
      <c r="V14" s="26">
        <f>'TE BE'!$V$14*'TE BF'!$V$50</f>
        <v>0</v>
      </c>
      <c r="W14" s="26">
        <f>SUM($T$14:$V$14)</f>
        <v>0</v>
      </c>
      <c r="X14" s="26">
        <f>'TE BE'!$AB$14*'TE BF'!$X$50</f>
        <v>0</v>
      </c>
      <c r="Y14" s="26">
        <f>SUM($X$14:$X$14)</f>
        <v>0</v>
      </c>
      <c r="Z14" s="26">
        <f>'TE BE'!$Z$14*'TE BF'!$Z$50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99"/>
      <c r="B15" s="99"/>
      <c r="C15" s="99"/>
      <c r="D15" s="28" t="s">
        <v>31</v>
      </c>
      <c r="E15" s="28" t="s">
        <v>25</v>
      </c>
      <c r="F15" s="28" t="s">
        <v>25</v>
      </c>
      <c r="G15" s="29" t="s">
        <v>80</v>
      </c>
      <c r="H15" s="29" t="s">
        <v>74</v>
      </c>
      <c r="I15" s="29">
        <f>'MERCADO TE'!$U$12</f>
        <v>514.49699999999996</v>
      </c>
      <c r="J15" s="15"/>
      <c r="L15" s="26">
        <f>'TE BE'!$L$15*'TE BF'!$L$50</f>
        <v>0</v>
      </c>
      <c r="M15" s="26">
        <f>'TE BE'!$M$15*'TE BF'!$M$50</f>
        <v>0</v>
      </c>
      <c r="N15" s="26">
        <f>'TE BE'!$N$15*'TE BF'!$N$50</f>
        <v>0</v>
      </c>
      <c r="O15" s="26">
        <f>'TE BE'!$O$15*'TE BF'!$O$50</f>
        <v>0</v>
      </c>
      <c r="P15" s="26">
        <f>'TE BE'!$P$15*'TE BF'!$P$50</f>
        <v>0</v>
      </c>
      <c r="Q15" s="26">
        <f>SUM($L$15:$P$15)</f>
        <v>0</v>
      </c>
      <c r="R15" s="26">
        <f>'TE BE'!$R$15*'TE BF'!$R$50</f>
        <v>0</v>
      </c>
      <c r="S15" s="26">
        <f>SUM($R$15:$R$15)</f>
        <v>0</v>
      </c>
      <c r="T15" s="26">
        <f>'TE BE'!$T$15*'TE BF'!$T$50</f>
        <v>0</v>
      </c>
      <c r="U15" s="26">
        <f>'TE BE'!$U$15*'TE BF'!$U$50</f>
        <v>0</v>
      </c>
      <c r="V15" s="26">
        <f>'TE BE'!$V$15*'TE BF'!$V$50</f>
        <v>0</v>
      </c>
      <c r="W15" s="26">
        <f>SUM($T$15:$V$15)</f>
        <v>0</v>
      </c>
      <c r="X15" s="26">
        <f>'TE BE'!$AB$15*'TE BF'!$X$50</f>
        <v>0</v>
      </c>
      <c r="Y15" s="26">
        <f>SUM($X$15:$X$15)</f>
        <v>0</v>
      </c>
      <c r="Z15" s="26">
        <f>'TE BE'!$Z$15*'TE BF'!$Z$50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99"/>
      <c r="B16" s="99"/>
      <c r="C16" s="99"/>
      <c r="D16" s="28" t="s">
        <v>32</v>
      </c>
      <c r="E16" s="28" t="s">
        <v>25</v>
      </c>
      <c r="F16" s="28" t="s">
        <v>25</v>
      </c>
      <c r="G16" s="29" t="s">
        <v>80</v>
      </c>
      <c r="H16" s="29" t="s">
        <v>74</v>
      </c>
      <c r="I16" s="29">
        <f>'MERCADO TE'!$U$13</f>
        <v>277.88899999999995</v>
      </c>
      <c r="J16" s="15"/>
      <c r="L16" s="26">
        <f>'TE BE'!$L$16*'TE BF'!$L$50</f>
        <v>0</v>
      </c>
      <c r="M16" s="26">
        <f>'TE BE'!$M$16*'TE BF'!$M$50</f>
        <v>0</v>
      </c>
      <c r="N16" s="26">
        <f>'TE BE'!$N$16*'TE BF'!$N$50</f>
        <v>0</v>
      </c>
      <c r="O16" s="26">
        <f>'TE BE'!$O$16*'TE BF'!$O$50</f>
        <v>0</v>
      </c>
      <c r="P16" s="26">
        <f>'TE BE'!$P$16*'TE BF'!$P$50</f>
        <v>0</v>
      </c>
      <c r="Q16" s="26">
        <f>SUM($L$16:$P$16)</f>
        <v>0</v>
      </c>
      <c r="R16" s="26">
        <f>'TE BE'!$R$16*'TE BF'!$R$50</f>
        <v>0</v>
      </c>
      <c r="S16" s="26">
        <f>SUM($R$16:$R$16)</f>
        <v>0</v>
      </c>
      <c r="T16" s="26">
        <f>'TE BE'!$T$16*'TE BF'!$T$50</f>
        <v>0</v>
      </c>
      <c r="U16" s="26">
        <f>'TE BE'!$U$16*'TE BF'!$U$50</f>
        <v>0</v>
      </c>
      <c r="V16" s="26">
        <f>'TE BE'!$V$16*'TE BF'!$V$50</f>
        <v>0</v>
      </c>
      <c r="W16" s="26">
        <f>SUM($T$16:$V$16)</f>
        <v>0</v>
      </c>
      <c r="X16" s="26">
        <f>'TE BE'!$AB$16*'TE BF'!$X$50</f>
        <v>0</v>
      </c>
      <c r="Y16" s="26">
        <f>SUM($X$16:$X$16)</f>
        <v>0</v>
      </c>
      <c r="Z16" s="26">
        <f>'TE BE'!$Z$16*'TE BF'!$Z$50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99"/>
      <c r="B17" s="99" t="s">
        <v>88</v>
      </c>
      <c r="C17" s="99" t="s">
        <v>24</v>
      </c>
      <c r="D17" s="28" t="s">
        <v>24</v>
      </c>
      <c r="E17" s="28" t="s">
        <v>25</v>
      </c>
      <c r="F17" s="28" t="s">
        <v>25</v>
      </c>
      <c r="G17" s="29" t="s">
        <v>80</v>
      </c>
      <c r="H17" s="29" t="s">
        <v>74</v>
      </c>
      <c r="I17" s="29">
        <f>'MERCADO TE'!$U$14</f>
        <v>0</v>
      </c>
      <c r="J17" s="15"/>
      <c r="L17" s="26">
        <f>'TE BE'!$L$17*'TE BF'!$L$50</f>
        <v>0</v>
      </c>
      <c r="M17" s="26">
        <f>'TE BE'!$M$17*'TE BF'!$M$50</f>
        <v>0</v>
      </c>
      <c r="N17" s="26">
        <f>'TE BE'!$N$17*'TE BF'!$N$50</f>
        <v>0</v>
      </c>
      <c r="O17" s="26">
        <f>'TE BE'!$O$17*'TE BF'!$O$50</f>
        <v>0</v>
      </c>
      <c r="P17" s="26">
        <f>'TE BE'!$P$17*'TE BF'!$P$50</f>
        <v>0</v>
      </c>
      <c r="Q17" s="26">
        <f>SUM($L$17:$P$17)</f>
        <v>0</v>
      </c>
      <c r="R17" s="26">
        <f>'TE BE'!$R$17*'TE BF'!$R$50</f>
        <v>0</v>
      </c>
      <c r="S17" s="26">
        <f>SUM($R$17:$R$17)</f>
        <v>0</v>
      </c>
      <c r="T17" s="26">
        <f>'TE BE'!$T$17*'TE BF'!$T$50</f>
        <v>0</v>
      </c>
      <c r="U17" s="26">
        <f>'TE BE'!$U$17*'TE BF'!$U$50</f>
        <v>0</v>
      </c>
      <c r="V17" s="26">
        <f>'TE BE'!$V$17*'TE BF'!$V$50</f>
        <v>0</v>
      </c>
      <c r="W17" s="26">
        <f>SUM($T$17:$V$17)</f>
        <v>0</v>
      </c>
      <c r="X17" s="26">
        <f>'TE BE'!$AB$17*'TE BF'!$X$50</f>
        <v>0</v>
      </c>
      <c r="Y17" s="26">
        <f>SUM($X$17:$X$17)</f>
        <v>0</v>
      </c>
      <c r="Z17" s="26">
        <f>'TE BE'!$Z$17*'TE BF'!$Z$50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99"/>
      <c r="B18" s="99"/>
      <c r="C18" s="99"/>
      <c r="D18" s="28" t="s">
        <v>29</v>
      </c>
      <c r="E18" s="28" t="s">
        <v>25</v>
      </c>
      <c r="F18" s="28" t="s">
        <v>25</v>
      </c>
      <c r="G18" s="29" t="s">
        <v>80</v>
      </c>
      <c r="H18" s="29" t="s">
        <v>74</v>
      </c>
      <c r="I18" s="29">
        <f>'MERCADO TE'!$U$15</f>
        <v>0</v>
      </c>
      <c r="J18" s="15"/>
      <c r="L18" s="26">
        <f>'TE BE'!$L$18*'TE BF'!$L$50</f>
        <v>0</v>
      </c>
      <c r="M18" s="26">
        <f>'TE BE'!$M$18*'TE BF'!$M$50</f>
        <v>0</v>
      </c>
      <c r="N18" s="26">
        <f>'TE BE'!$N$18*'TE BF'!$N$50</f>
        <v>0</v>
      </c>
      <c r="O18" s="26">
        <f>'TE BE'!$O$18*'TE BF'!$O$50</f>
        <v>0</v>
      </c>
      <c r="P18" s="26">
        <f>'TE BE'!$P$18*'TE BF'!$P$50</f>
        <v>0</v>
      </c>
      <c r="Q18" s="26">
        <f>SUM($L$18:$P$18)</f>
        <v>0</v>
      </c>
      <c r="R18" s="26">
        <f>'TE BE'!$R$18*'TE BF'!$R$50</f>
        <v>0</v>
      </c>
      <c r="S18" s="26">
        <f>SUM($R$18:$R$18)</f>
        <v>0</v>
      </c>
      <c r="T18" s="26">
        <f>'TE BE'!$T$18*'TE BF'!$T$50</f>
        <v>0</v>
      </c>
      <c r="U18" s="26">
        <f>'TE BE'!$U$18*'TE BF'!$U$50</f>
        <v>0</v>
      </c>
      <c r="V18" s="26">
        <f>'TE BE'!$V$18*'TE BF'!$V$50</f>
        <v>0</v>
      </c>
      <c r="W18" s="26">
        <f>SUM($T$18:$V$18)</f>
        <v>0</v>
      </c>
      <c r="X18" s="26">
        <f>'TE BE'!$AB$18*'TE BF'!$X$50</f>
        <v>0</v>
      </c>
      <c r="Y18" s="26">
        <f>SUM($X$18:$X$18)</f>
        <v>0</v>
      </c>
      <c r="Z18" s="26">
        <f>'TE BE'!$Z$18*'TE BF'!$Z$50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99"/>
      <c r="B19" s="99"/>
      <c r="C19" s="99"/>
      <c r="D19" s="28" t="s">
        <v>30</v>
      </c>
      <c r="E19" s="28" t="s">
        <v>25</v>
      </c>
      <c r="F19" s="28" t="s">
        <v>25</v>
      </c>
      <c r="G19" s="29" t="s">
        <v>80</v>
      </c>
      <c r="H19" s="29" t="s">
        <v>74</v>
      </c>
      <c r="I19" s="29">
        <f>'MERCADO TE'!$U$16</f>
        <v>0</v>
      </c>
      <c r="J19" s="15"/>
      <c r="L19" s="26">
        <f>'TE BE'!$L$19*'TE BF'!$L$50</f>
        <v>0</v>
      </c>
      <c r="M19" s="26">
        <f>'TE BE'!$M$19*'TE BF'!$M$50</f>
        <v>0</v>
      </c>
      <c r="N19" s="26">
        <f>'TE BE'!$N$19*'TE BF'!$N$50</f>
        <v>0</v>
      </c>
      <c r="O19" s="26">
        <f>'TE BE'!$O$19*'TE BF'!$O$50</f>
        <v>0</v>
      </c>
      <c r="P19" s="26">
        <f>'TE BE'!$P$19*'TE BF'!$P$50</f>
        <v>0</v>
      </c>
      <c r="Q19" s="26">
        <f>SUM($L$19:$P$19)</f>
        <v>0</v>
      </c>
      <c r="R19" s="26">
        <f>'TE BE'!$R$19*'TE BF'!$R$50</f>
        <v>0</v>
      </c>
      <c r="S19" s="26">
        <f>SUM($R$19:$R$19)</f>
        <v>0</v>
      </c>
      <c r="T19" s="26">
        <f>'TE BE'!$T$19*'TE BF'!$T$50</f>
        <v>0</v>
      </c>
      <c r="U19" s="26">
        <f>'TE BE'!$U$19*'TE BF'!$U$50</f>
        <v>0</v>
      </c>
      <c r="V19" s="26">
        <f>'TE BE'!$V$19*'TE BF'!$V$50</f>
        <v>0</v>
      </c>
      <c r="W19" s="26">
        <f>SUM($T$19:$V$19)</f>
        <v>0</v>
      </c>
      <c r="X19" s="26">
        <f>'TE BE'!$AB$19*'TE BF'!$X$50</f>
        <v>0</v>
      </c>
      <c r="Y19" s="26">
        <f>SUM($X$19:$X$19)</f>
        <v>0</v>
      </c>
      <c r="Z19" s="26">
        <f>'TE BE'!$Z$19*'TE BF'!$Z$50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99"/>
      <c r="B20" s="99"/>
      <c r="C20" s="99"/>
      <c r="D20" s="28" t="s">
        <v>31</v>
      </c>
      <c r="E20" s="28" t="s">
        <v>25</v>
      </c>
      <c r="F20" s="28" t="s">
        <v>25</v>
      </c>
      <c r="G20" s="29" t="s">
        <v>80</v>
      </c>
      <c r="H20" s="29" t="s">
        <v>74</v>
      </c>
      <c r="I20" s="29">
        <f>'MERCADO TE'!$U$17</f>
        <v>0</v>
      </c>
      <c r="J20" s="15"/>
      <c r="L20" s="26">
        <f>'TE BE'!$L$20*'TE BF'!$L$50</f>
        <v>0</v>
      </c>
      <c r="M20" s="26">
        <f>'TE BE'!$M$20*'TE BF'!$M$50</f>
        <v>0</v>
      </c>
      <c r="N20" s="26">
        <f>'TE BE'!$N$20*'TE BF'!$N$50</f>
        <v>0</v>
      </c>
      <c r="O20" s="26">
        <f>'TE BE'!$O$20*'TE BF'!$O$50</f>
        <v>0</v>
      </c>
      <c r="P20" s="26">
        <f>'TE BE'!$P$20*'TE BF'!$P$50</f>
        <v>0</v>
      </c>
      <c r="Q20" s="26">
        <f>SUM($L$20:$P$20)</f>
        <v>0</v>
      </c>
      <c r="R20" s="26">
        <f>'TE BE'!$R$20*'TE BF'!$R$50</f>
        <v>0</v>
      </c>
      <c r="S20" s="26">
        <f>SUM($R$20:$R$20)</f>
        <v>0</v>
      </c>
      <c r="T20" s="26">
        <f>'TE BE'!$T$20*'TE BF'!$T$50</f>
        <v>0</v>
      </c>
      <c r="U20" s="26">
        <f>'TE BE'!$U$20*'TE BF'!$U$50</f>
        <v>0</v>
      </c>
      <c r="V20" s="26">
        <f>'TE BE'!$V$20*'TE BF'!$V$50</f>
        <v>0</v>
      </c>
      <c r="W20" s="26">
        <f>SUM($T$20:$V$20)</f>
        <v>0</v>
      </c>
      <c r="X20" s="26">
        <f>'TE BE'!$AB$20*'TE BF'!$X$50</f>
        <v>0</v>
      </c>
      <c r="Y20" s="26">
        <f>SUM($X$20:$X$20)</f>
        <v>0</v>
      </c>
      <c r="Z20" s="26">
        <f>'TE BE'!$Z$20*'TE BF'!$Z$50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99"/>
      <c r="B21" s="99"/>
      <c r="C21" s="99"/>
      <c r="D21" s="28" t="s">
        <v>32</v>
      </c>
      <c r="E21" s="28" t="s">
        <v>25</v>
      </c>
      <c r="F21" s="28" t="s">
        <v>25</v>
      </c>
      <c r="G21" s="29" t="s">
        <v>80</v>
      </c>
      <c r="H21" s="29" t="s">
        <v>74</v>
      </c>
      <c r="I21" s="29">
        <f>'MERCADO TE'!$U$18</f>
        <v>0</v>
      </c>
      <c r="J21" s="15"/>
      <c r="L21" s="26">
        <f>'TE BE'!$L$21*'TE BF'!$L$50</f>
        <v>0</v>
      </c>
      <c r="M21" s="26">
        <f>'TE BE'!$M$21*'TE BF'!$M$50</f>
        <v>0</v>
      </c>
      <c r="N21" s="26">
        <f>'TE BE'!$N$21*'TE BF'!$N$50</f>
        <v>0</v>
      </c>
      <c r="O21" s="26">
        <f>'TE BE'!$O$21*'TE BF'!$O$50</f>
        <v>0</v>
      </c>
      <c r="P21" s="26">
        <f>'TE BE'!$P$21*'TE BF'!$P$50</f>
        <v>0</v>
      </c>
      <c r="Q21" s="26">
        <f>SUM($L$21:$P$21)</f>
        <v>0</v>
      </c>
      <c r="R21" s="26">
        <f>'TE BE'!$R$21*'TE BF'!$R$50</f>
        <v>0</v>
      </c>
      <c r="S21" s="26">
        <f>SUM($R$21:$R$21)</f>
        <v>0</v>
      </c>
      <c r="T21" s="26">
        <f>'TE BE'!$T$21*'TE BF'!$T$50</f>
        <v>0</v>
      </c>
      <c r="U21" s="26">
        <f>'TE BE'!$U$21*'TE BF'!$U$50</f>
        <v>0</v>
      </c>
      <c r="V21" s="26">
        <f>'TE BE'!$V$21*'TE BF'!$V$50</f>
        <v>0</v>
      </c>
      <c r="W21" s="26">
        <f>SUM($T$21:$V$21)</f>
        <v>0</v>
      </c>
      <c r="X21" s="26">
        <f>'TE BE'!$AB$21*'TE BF'!$X$50</f>
        <v>0</v>
      </c>
      <c r="Y21" s="26">
        <f>SUM($X$21:$X$21)</f>
        <v>0</v>
      </c>
      <c r="Z21" s="26">
        <f>'TE BE'!$Z$21*'TE BF'!$Z$50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99" t="s">
        <v>42</v>
      </c>
      <c r="B22" s="99" t="s">
        <v>73</v>
      </c>
      <c r="C22" s="99" t="s">
        <v>43</v>
      </c>
      <c r="D22" s="99" t="s">
        <v>25</v>
      </c>
      <c r="E22" s="99" t="s">
        <v>25</v>
      </c>
      <c r="F22" s="99" t="s">
        <v>25</v>
      </c>
      <c r="G22" s="29" t="s">
        <v>75</v>
      </c>
      <c r="H22" s="29" t="s">
        <v>74</v>
      </c>
      <c r="I22" s="29">
        <f>'MERCADO TE'!$U$19</f>
        <v>0</v>
      </c>
      <c r="J22" s="15"/>
      <c r="L22" s="26">
        <f>'TE BE'!$L$22*'TE BF'!$L$50</f>
        <v>0</v>
      </c>
      <c r="M22" s="26">
        <f>'TE BE'!$M$22*'TE BF'!$M$50</f>
        <v>0</v>
      </c>
      <c r="N22" s="26">
        <f>'TE BE'!$N$22*'TE BF'!$N$50</f>
        <v>0</v>
      </c>
      <c r="O22" s="26">
        <f>'TE BE'!$O$22*'TE BF'!$O$50</f>
        <v>0</v>
      </c>
      <c r="P22" s="26">
        <f>'TE BE'!$P$22*'TE BF'!$P$50</f>
        <v>0</v>
      </c>
      <c r="Q22" s="26">
        <f>SUM($L$22:$P$22)</f>
        <v>0</v>
      </c>
      <c r="R22" s="26">
        <f>'TE BE'!$R$22*'TE BF'!$R$50</f>
        <v>0</v>
      </c>
      <c r="S22" s="26">
        <f>SUM($R$22:$R$22)</f>
        <v>0</v>
      </c>
      <c r="T22" s="26">
        <f>'TE BE'!$T$22*'TE BF'!$T$50</f>
        <v>0</v>
      </c>
      <c r="U22" s="26">
        <f>'TE BE'!$U$22*'TE BF'!$U$50</f>
        <v>0</v>
      </c>
      <c r="V22" s="26">
        <f>'TE BE'!$V$22*'TE BF'!$V$50</f>
        <v>0</v>
      </c>
      <c r="W22" s="26">
        <f>SUM($T$22:$V$22)</f>
        <v>0</v>
      </c>
      <c r="X22" s="26">
        <f>'TE BE'!$AB$22*'TE BF'!$X$50</f>
        <v>0</v>
      </c>
      <c r="Y22" s="26">
        <f>SUM($X$22:$X$22)</f>
        <v>0</v>
      </c>
      <c r="Z22" s="26">
        <f>'TE BE'!$Z$22*'TE BF'!$Z$50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99"/>
      <c r="B23" s="99"/>
      <c r="C23" s="99"/>
      <c r="D23" s="99"/>
      <c r="E23" s="99"/>
      <c r="F23" s="99"/>
      <c r="G23" s="29" t="s">
        <v>86</v>
      </c>
      <c r="H23" s="29" t="s">
        <v>74</v>
      </c>
      <c r="I23" s="29">
        <f>'MERCADO TE'!$U$20</f>
        <v>0</v>
      </c>
      <c r="J23" s="15"/>
      <c r="L23" s="26">
        <f>'TE BE'!$L$23*'TE BF'!$L$50</f>
        <v>0</v>
      </c>
      <c r="M23" s="26">
        <f>'TE BE'!$M$23*'TE BF'!$M$50</f>
        <v>0</v>
      </c>
      <c r="N23" s="26">
        <f>'TE BE'!$N$23*'TE BF'!$N$50</f>
        <v>0</v>
      </c>
      <c r="O23" s="26">
        <f>'TE BE'!$O$23*'TE BF'!$O$50</f>
        <v>0</v>
      </c>
      <c r="P23" s="26">
        <f>'TE BE'!$P$23*'TE BF'!$P$50</f>
        <v>0</v>
      </c>
      <c r="Q23" s="26">
        <f>SUM($L$23:$P$23)</f>
        <v>0</v>
      </c>
      <c r="R23" s="26">
        <f>'TE BE'!$R$23*'TE BF'!$R$50</f>
        <v>0</v>
      </c>
      <c r="S23" s="26">
        <f>SUM($R$23:$R$23)</f>
        <v>0</v>
      </c>
      <c r="T23" s="26">
        <f>'TE BE'!$T$23*'TE BF'!$T$50</f>
        <v>0</v>
      </c>
      <c r="U23" s="26">
        <f>'TE BE'!$U$23*'TE BF'!$U$50</f>
        <v>0</v>
      </c>
      <c r="V23" s="26">
        <f>'TE BE'!$V$23*'TE BF'!$V$50</f>
        <v>0</v>
      </c>
      <c r="W23" s="26">
        <f>SUM($T$23:$V$23)</f>
        <v>0</v>
      </c>
      <c r="X23" s="26">
        <f>'TE BE'!$AB$23*'TE BF'!$X$50</f>
        <v>0</v>
      </c>
      <c r="Y23" s="26">
        <f>SUM($X$23:$X$23)</f>
        <v>0</v>
      </c>
      <c r="Z23" s="26">
        <f>'TE BE'!$Z$23*'TE BF'!$Z$50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99"/>
      <c r="B24" s="99"/>
      <c r="C24" s="99"/>
      <c r="D24" s="99"/>
      <c r="E24" s="99"/>
      <c r="F24" s="99"/>
      <c r="G24" s="29" t="s">
        <v>76</v>
      </c>
      <c r="H24" s="29" t="s">
        <v>74</v>
      </c>
      <c r="I24" s="29">
        <f>'MERCADO TE'!$U$21</f>
        <v>0</v>
      </c>
      <c r="J24" s="15"/>
      <c r="L24" s="26">
        <f>'TE BE'!$L$24*'TE BF'!$L$50</f>
        <v>0</v>
      </c>
      <c r="M24" s="26">
        <f>'TE BE'!$M$24*'TE BF'!$M$50</f>
        <v>0</v>
      </c>
      <c r="N24" s="26">
        <f>'TE BE'!$N$24*'TE BF'!$N$50</f>
        <v>0</v>
      </c>
      <c r="O24" s="26">
        <f>'TE BE'!$O$24*'TE BF'!$O$50</f>
        <v>0</v>
      </c>
      <c r="P24" s="26">
        <f>'TE BE'!$P$24*'TE BF'!$P$50</f>
        <v>0</v>
      </c>
      <c r="Q24" s="26">
        <f>SUM($L$24:$P$24)</f>
        <v>0</v>
      </c>
      <c r="R24" s="26">
        <f>'TE BE'!$R$24*'TE BF'!$R$50</f>
        <v>0</v>
      </c>
      <c r="S24" s="26">
        <f>SUM($R$24:$R$24)</f>
        <v>0</v>
      </c>
      <c r="T24" s="26">
        <f>'TE BE'!$T$24*'TE BF'!$T$50</f>
        <v>0</v>
      </c>
      <c r="U24" s="26">
        <f>'TE BE'!$U$24*'TE BF'!$U$50</f>
        <v>0</v>
      </c>
      <c r="V24" s="26">
        <f>'TE BE'!$V$24*'TE BF'!$V$50</f>
        <v>0</v>
      </c>
      <c r="W24" s="26">
        <f>SUM($T$24:$V$24)</f>
        <v>0</v>
      </c>
      <c r="X24" s="26">
        <f>'TE BE'!$AB$24*'TE BF'!$X$50</f>
        <v>0</v>
      </c>
      <c r="Y24" s="26">
        <f>SUM($X$24:$X$24)</f>
        <v>0</v>
      </c>
      <c r="Z24" s="26">
        <f>'TE BE'!$Z$24*'TE BF'!$Z$50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99"/>
      <c r="B25" s="28" t="s">
        <v>87</v>
      </c>
      <c r="C25" s="28" t="s">
        <v>43</v>
      </c>
      <c r="D25" s="28" t="s">
        <v>25</v>
      </c>
      <c r="E25" s="28" t="s">
        <v>25</v>
      </c>
      <c r="F25" s="28" t="s">
        <v>25</v>
      </c>
      <c r="G25" s="29" t="s">
        <v>80</v>
      </c>
      <c r="H25" s="29" t="s">
        <v>74</v>
      </c>
      <c r="I25" s="29">
        <f>'MERCADO TE'!$U$22</f>
        <v>15992.407000000001</v>
      </c>
      <c r="J25" s="15"/>
      <c r="L25" s="26">
        <f>'TE BE'!$L$25*'TE BF'!$L$50</f>
        <v>0</v>
      </c>
      <c r="M25" s="26">
        <f>'TE BE'!$M$25*'TE BF'!$M$50</f>
        <v>0</v>
      </c>
      <c r="N25" s="26">
        <f>'TE BE'!$N$25*'TE BF'!$N$50</f>
        <v>0</v>
      </c>
      <c r="O25" s="26">
        <f>'TE BE'!$O$25*'TE BF'!$O$50</f>
        <v>0</v>
      </c>
      <c r="P25" s="26">
        <f>'TE BE'!$P$25*'TE BF'!$P$50</f>
        <v>0</v>
      </c>
      <c r="Q25" s="26">
        <f>SUM($L$25:$P$25)</f>
        <v>0</v>
      </c>
      <c r="R25" s="26">
        <f>'TE BE'!$R$25*'TE BF'!$R$50</f>
        <v>0</v>
      </c>
      <c r="S25" s="26">
        <f>SUM($R$25:$R$25)</f>
        <v>0</v>
      </c>
      <c r="T25" s="26">
        <f>'TE BE'!$T$25*'TE BF'!$T$50</f>
        <v>0</v>
      </c>
      <c r="U25" s="26">
        <f>'TE BE'!$U$25*'TE BF'!$U$50</f>
        <v>0</v>
      </c>
      <c r="V25" s="26">
        <f>'TE BE'!$V$25*'TE BF'!$V$50</f>
        <v>0</v>
      </c>
      <c r="W25" s="26">
        <f>SUM($T$25:$V$25)</f>
        <v>0</v>
      </c>
      <c r="X25" s="26">
        <f>'TE BE'!$AB$25*'TE BF'!$X$50</f>
        <v>0</v>
      </c>
      <c r="Y25" s="26">
        <f>SUM($X$25:$X$25)</f>
        <v>0</v>
      </c>
      <c r="Z25" s="26">
        <f>'TE BE'!$Z$25*'TE BF'!$Z$50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99"/>
      <c r="B26" s="99" t="s">
        <v>73</v>
      </c>
      <c r="C26" s="99" t="s">
        <v>43</v>
      </c>
      <c r="D26" s="99" t="s">
        <v>90</v>
      </c>
      <c r="E26" s="99" t="s">
        <v>25</v>
      </c>
      <c r="F26" s="99" t="s">
        <v>25</v>
      </c>
      <c r="G26" s="29" t="s">
        <v>75</v>
      </c>
      <c r="H26" s="29" t="s">
        <v>74</v>
      </c>
      <c r="I26" s="29">
        <f>'MERCADO TE'!$U$23</f>
        <v>0</v>
      </c>
      <c r="J26" s="15"/>
      <c r="L26" s="26">
        <f>'TE BE'!$L$26*'TE BF'!$L$50</f>
        <v>0</v>
      </c>
      <c r="M26" s="26">
        <f>'TE BE'!$M$26*'TE BF'!$M$50</f>
        <v>0</v>
      </c>
      <c r="N26" s="26">
        <f>'TE BE'!$N$26*'TE BF'!$N$50</f>
        <v>0</v>
      </c>
      <c r="O26" s="26">
        <f>'TE BE'!$O$26*'TE BF'!$O$50</f>
        <v>0</v>
      </c>
      <c r="P26" s="26">
        <f>'TE BE'!$P$26*'TE BF'!$P$50</f>
        <v>0</v>
      </c>
      <c r="Q26" s="26">
        <f>SUM($L$26:$P$26)</f>
        <v>0</v>
      </c>
      <c r="R26" s="26">
        <f>'TE BE'!$R$26*'TE BF'!$R$50</f>
        <v>0</v>
      </c>
      <c r="S26" s="26">
        <f>SUM($R$26:$R$26)</f>
        <v>0</v>
      </c>
      <c r="T26" s="26">
        <f>'TE BE'!$T$26*'TE BF'!$T$50</f>
        <v>0</v>
      </c>
      <c r="U26" s="26">
        <f>'TE BE'!$U$26*'TE BF'!$U$50</f>
        <v>0</v>
      </c>
      <c r="V26" s="26">
        <f>'TE BE'!$V$26*'TE BF'!$V$50</f>
        <v>0</v>
      </c>
      <c r="W26" s="26">
        <f>SUM($T$26:$V$26)</f>
        <v>0</v>
      </c>
      <c r="X26" s="26">
        <f>'TE BE'!$AB$26*'TE BF'!$X$50</f>
        <v>0</v>
      </c>
      <c r="Y26" s="26">
        <f>SUM($X$26:$X$26)</f>
        <v>0</v>
      </c>
      <c r="Z26" s="26">
        <f>'TE BE'!$Z$26*'TE BF'!$Z$50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99"/>
      <c r="B27" s="99"/>
      <c r="C27" s="99"/>
      <c r="D27" s="99"/>
      <c r="E27" s="99"/>
      <c r="F27" s="99"/>
      <c r="G27" s="29" t="s">
        <v>86</v>
      </c>
      <c r="H27" s="29" t="s">
        <v>74</v>
      </c>
      <c r="I27" s="29">
        <f>'MERCADO TE'!$U$24</f>
        <v>0</v>
      </c>
      <c r="J27" s="15"/>
      <c r="L27" s="26">
        <f>'TE BE'!$L$27*'TE BF'!$L$50</f>
        <v>0</v>
      </c>
      <c r="M27" s="26">
        <f>'TE BE'!$M$27*'TE BF'!$M$50</f>
        <v>0</v>
      </c>
      <c r="N27" s="26">
        <f>'TE BE'!$N$27*'TE BF'!$N$50</f>
        <v>0</v>
      </c>
      <c r="O27" s="26">
        <f>'TE BE'!$O$27*'TE BF'!$O$50</f>
        <v>0</v>
      </c>
      <c r="P27" s="26">
        <f>'TE BE'!$P$27*'TE BF'!$P$50</f>
        <v>0</v>
      </c>
      <c r="Q27" s="26">
        <f>SUM($L$27:$P$27)</f>
        <v>0</v>
      </c>
      <c r="R27" s="26">
        <f>'TE BE'!$R$27*'TE BF'!$R$50</f>
        <v>0</v>
      </c>
      <c r="S27" s="26">
        <f>SUM($R$27:$R$27)</f>
        <v>0</v>
      </c>
      <c r="T27" s="26">
        <f>'TE BE'!$T$27*'TE BF'!$T$50</f>
        <v>0</v>
      </c>
      <c r="U27" s="26">
        <f>'TE BE'!$U$27*'TE BF'!$U$50</f>
        <v>0</v>
      </c>
      <c r="V27" s="26">
        <f>'TE BE'!$V$27*'TE BF'!$V$50</f>
        <v>0</v>
      </c>
      <c r="W27" s="26">
        <f>SUM($T$27:$V$27)</f>
        <v>0</v>
      </c>
      <c r="X27" s="26">
        <f>'TE BE'!$AB$27*'TE BF'!$X$50</f>
        <v>0</v>
      </c>
      <c r="Y27" s="26">
        <f>SUM($X$27:$X$27)</f>
        <v>0</v>
      </c>
      <c r="Z27" s="26">
        <f>'TE BE'!$Z$27*'TE BF'!$Z$50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99"/>
      <c r="B28" s="99"/>
      <c r="C28" s="99"/>
      <c r="D28" s="99"/>
      <c r="E28" s="99"/>
      <c r="F28" s="99"/>
      <c r="G28" s="29" t="s">
        <v>76</v>
      </c>
      <c r="H28" s="29" t="s">
        <v>74</v>
      </c>
      <c r="I28" s="29">
        <f>'MERCADO TE'!$U$25</f>
        <v>0</v>
      </c>
      <c r="J28" s="15"/>
      <c r="L28" s="26">
        <f>'TE BE'!$L$28*'TE BF'!$L$50</f>
        <v>0</v>
      </c>
      <c r="M28" s="26">
        <f>'TE BE'!$M$28*'TE BF'!$M$50</f>
        <v>0</v>
      </c>
      <c r="N28" s="26">
        <f>'TE BE'!$N$28*'TE BF'!$N$50</f>
        <v>0</v>
      </c>
      <c r="O28" s="26">
        <f>'TE BE'!$O$28*'TE BF'!$O$50</f>
        <v>0</v>
      </c>
      <c r="P28" s="26">
        <f>'TE BE'!$P$28*'TE BF'!$P$50</f>
        <v>0</v>
      </c>
      <c r="Q28" s="26">
        <f>SUM($L$28:$P$28)</f>
        <v>0</v>
      </c>
      <c r="R28" s="26">
        <f>'TE BE'!$R$28*'TE BF'!$R$50</f>
        <v>0</v>
      </c>
      <c r="S28" s="26">
        <f>SUM($R$28:$R$28)</f>
        <v>0</v>
      </c>
      <c r="T28" s="26">
        <f>'TE BE'!$T$28*'TE BF'!$T$50</f>
        <v>0</v>
      </c>
      <c r="U28" s="26">
        <f>'TE BE'!$U$28*'TE BF'!$U$50</f>
        <v>0</v>
      </c>
      <c r="V28" s="26">
        <f>'TE BE'!$V$28*'TE BF'!$V$50</f>
        <v>0</v>
      </c>
      <c r="W28" s="26">
        <f>SUM($T$28:$V$28)</f>
        <v>0</v>
      </c>
      <c r="X28" s="26">
        <f>'TE BE'!$AB$28*'TE BF'!$X$50</f>
        <v>0</v>
      </c>
      <c r="Y28" s="26">
        <f>SUM($X$28:$X$28)</f>
        <v>0</v>
      </c>
      <c r="Z28" s="26">
        <f>'TE BE'!$Z$28*'TE BF'!$Z$50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99"/>
      <c r="B29" s="28" t="s">
        <v>87</v>
      </c>
      <c r="C29" s="28" t="s">
        <v>43</v>
      </c>
      <c r="D29" s="28" t="s">
        <v>90</v>
      </c>
      <c r="E29" s="28" t="s">
        <v>25</v>
      </c>
      <c r="F29" s="28" t="s">
        <v>25</v>
      </c>
      <c r="G29" s="29" t="s">
        <v>80</v>
      </c>
      <c r="H29" s="29" t="s">
        <v>74</v>
      </c>
      <c r="I29" s="29">
        <f>'MERCADO TE'!$U$26</f>
        <v>0</v>
      </c>
      <c r="J29" s="15"/>
      <c r="L29" s="26">
        <f>'TE BE'!$L$29*'TE BF'!$L$50</f>
        <v>0</v>
      </c>
      <c r="M29" s="26">
        <f>'TE BE'!$M$29*'TE BF'!$M$50</f>
        <v>0</v>
      </c>
      <c r="N29" s="26">
        <f>'TE BE'!$N$29*'TE BF'!$N$50</f>
        <v>0</v>
      </c>
      <c r="O29" s="26">
        <f>'TE BE'!$O$29*'TE BF'!$O$50</f>
        <v>0</v>
      </c>
      <c r="P29" s="26">
        <f>'TE BE'!$P$29*'TE BF'!$P$50</f>
        <v>0</v>
      </c>
      <c r="Q29" s="26">
        <f>SUM($L$29:$P$29)</f>
        <v>0</v>
      </c>
      <c r="R29" s="26">
        <f>'TE BE'!$R$29*'TE BF'!$R$50</f>
        <v>0</v>
      </c>
      <c r="S29" s="26">
        <f>SUM($R$29:$R$29)</f>
        <v>0</v>
      </c>
      <c r="T29" s="26">
        <f>'TE BE'!$T$29*'TE BF'!$T$50</f>
        <v>0</v>
      </c>
      <c r="U29" s="26">
        <f>'TE BE'!$U$29*'TE BF'!$U$50</f>
        <v>0</v>
      </c>
      <c r="V29" s="26">
        <f>'TE BE'!$V$29*'TE BF'!$V$50</f>
        <v>0</v>
      </c>
      <c r="W29" s="26">
        <f>SUM($T$29:$V$29)</f>
        <v>0</v>
      </c>
      <c r="X29" s="26">
        <f>'TE BE'!$AB$29*'TE BF'!$X$50</f>
        <v>0</v>
      </c>
      <c r="Y29" s="26">
        <f>SUM($X$29:$X$29)</f>
        <v>0</v>
      </c>
      <c r="Z29" s="26">
        <f>'TE BE'!$Z$29*'TE BF'!$Z$50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99"/>
      <c r="B30" s="99" t="s">
        <v>73</v>
      </c>
      <c r="C30" s="99" t="s">
        <v>43</v>
      </c>
      <c r="D30" s="99" t="s">
        <v>91</v>
      </c>
      <c r="E30" s="99" t="s">
        <v>25</v>
      </c>
      <c r="F30" s="99" t="s">
        <v>25</v>
      </c>
      <c r="G30" s="29" t="s">
        <v>75</v>
      </c>
      <c r="H30" s="29" t="s">
        <v>74</v>
      </c>
      <c r="I30" s="29">
        <f>'MERCADO TE'!$U$27</f>
        <v>0</v>
      </c>
      <c r="J30" s="15"/>
      <c r="L30" s="26">
        <f>'TE BE'!$L$30*'TE BF'!$L$50</f>
        <v>0</v>
      </c>
      <c r="M30" s="26">
        <f>'TE BE'!$M$30*'TE BF'!$M$50</f>
        <v>0</v>
      </c>
      <c r="N30" s="26">
        <f>'TE BE'!$N$30*'TE BF'!$N$50</f>
        <v>0</v>
      </c>
      <c r="O30" s="26">
        <f>'TE BE'!$O$30*'TE BF'!$O$50</f>
        <v>0</v>
      </c>
      <c r="P30" s="26">
        <f>'TE BE'!$P$30*'TE BF'!$P$50</f>
        <v>0</v>
      </c>
      <c r="Q30" s="26">
        <f>SUM($L$30:$P$30)</f>
        <v>0</v>
      </c>
      <c r="R30" s="26">
        <f>'TE BE'!$R$30*'TE BF'!$R$50</f>
        <v>0</v>
      </c>
      <c r="S30" s="26">
        <f>SUM($R$30:$R$30)</f>
        <v>0</v>
      </c>
      <c r="T30" s="26">
        <f>'TE BE'!$T$30*'TE BF'!$T$50</f>
        <v>0</v>
      </c>
      <c r="U30" s="26">
        <f>'TE BE'!$U$30*'TE BF'!$U$50</f>
        <v>0</v>
      </c>
      <c r="V30" s="26">
        <f>'TE BE'!$V$30*'TE BF'!$V$50</f>
        <v>0</v>
      </c>
      <c r="W30" s="26">
        <f>SUM($T$30:$V$30)</f>
        <v>0</v>
      </c>
      <c r="X30" s="26">
        <f>'TE BE'!$AB$30*'TE BF'!$X$50</f>
        <v>0</v>
      </c>
      <c r="Y30" s="26">
        <f>SUM($X$30:$X$30)</f>
        <v>0</v>
      </c>
      <c r="Z30" s="26">
        <f>'TE BE'!$Z$30*'TE BF'!$Z$50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99"/>
      <c r="B31" s="99"/>
      <c r="C31" s="99"/>
      <c r="D31" s="99"/>
      <c r="E31" s="99"/>
      <c r="F31" s="99"/>
      <c r="G31" s="29" t="s">
        <v>86</v>
      </c>
      <c r="H31" s="29" t="s">
        <v>74</v>
      </c>
      <c r="I31" s="29">
        <f>'MERCADO TE'!$U$28</f>
        <v>0</v>
      </c>
      <c r="J31" s="15"/>
      <c r="L31" s="26">
        <f>'TE BE'!$L$31*'TE BF'!$L$50</f>
        <v>0</v>
      </c>
      <c r="M31" s="26">
        <f>'TE BE'!$M$31*'TE BF'!$M$50</f>
        <v>0</v>
      </c>
      <c r="N31" s="26">
        <f>'TE BE'!$N$31*'TE BF'!$N$50</f>
        <v>0</v>
      </c>
      <c r="O31" s="26">
        <f>'TE BE'!$O$31*'TE BF'!$O$50</f>
        <v>0</v>
      </c>
      <c r="P31" s="26">
        <f>'TE BE'!$P$31*'TE BF'!$P$50</f>
        <v>0</v>
      </c>
      <c r="Q31" s="26">
        <f>SUM($L$31:$P$31)</f>
        <v>0</v>
      </c>
      <c r="R31" s="26">
        <f>'TE BE'!$R$31*'TE BF'!$R$50</f>
        <v>0</v>
      </c>
      <c r="S31" s="26">
        <f>SUM($R$31:$R$31)</f>
        <v>0</v>
      </c>
      <c r="T31" s="26">
        <f>'TE BE'!$T$31*'TE BF'!$T$50</f>
        <v>0</v>
      </c>
      <c r="U31" s="26">
        <f>'TE BE'!$U$31*'TE BF'!$U$50</f>
        <v>0</v>
      </c>
      <c r="V31" s="26">
        <f>'TE BE'!$V$31*'TE BF'!$V$50</f>
        <v>0</v>
      </c>
      <c r="W31" s="26">
        <f>SUM($T$31:$V$31)</f>
        <v>0</v>
      </c>
      <c r="X31" s="26">
        <f>'TE BE'!$AB$31*'TE BF'!$X$50</f>
        <v>0</v>
      </c>
      <c r="Y31" s="26">
        <f>SUM($X$31:$X$31)</f>
        <v>0</v>
      </c>
      <c r="Z31" s="26">
        <f>'TE BE'!$Z$31*'TE BF'!$Z$50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99"/>
      <c r="B32" s="99"/>
      <c r="C32" s="99"/>
      <c r="D32" s="99"/>
      <c r="E32" s="99"/>
      <c r="F32" s="99"/>
      <c r="G32" s="29" t="s">
        <v>76</v>
      </c>
      <c r="H32" s="29" t="s">
        <v>74</v>
      </c>
      <c r="I32" s="29">
        <f>'MERCADO TE'!$U$29</f>
        <v>0</v>
      </c>
      <c r="J32" s="15"/>
      <c r="L32" s="26">
        <f>'TE BE'!$L$32*'TE BF'!$L$50</f>
        <v>0</v>
      </c>
      <c r="M32" s="26">
        <f>'TE BE'!$M$32*'TE BF'!$M$50</f>
        <v>0</v>
      </c>
      <c r="N32" s="26">
        <f>'TE BE'!$N$32*'TE BF'!$N$50</f>
        <v>0</v>
      </c>
      <c r="O32" s="26">
        <f>'TE BE'!$O$32*'TE BF'!$O$50</f>
        <v>0</v>
      </c>
      <c r="P32" s="26">
        <f>'TE BE'!$P$32*'TE BF'!$P$50</f>
        <v>0</v>
      </c>
      <c r="Q32" s="26">
        <f>SUM($L$32:$P$32)</f>
        <v>0</v>
      </c>
      <c r="R32" s="26">
        <f>'TE BE'!$R$32*'TE BF'!$R$50</f>
        <v>0</v>
      </c>
      <c r="S32" s="26">
        <f>SUM($R$32:$R$32)</f>
        <v>0</v>
      </c>
      <c r="T32" s="26">
        <f>'TE BE'!$T$32*'TE BF'!$T$50</f>
        <v>0</v>
      </c>
      <c r="U32" s="26">
        <f>'TE BE'!$U$32*'TE BF'!$U$50</f>
        <v>0</v>
      </c>
      <c r="V32" s="26">
        <f>'TE BE'!$V$32*'TE BF'!$V$50</f>
        <v>0</v>
      </c>
      <c r="W32" s="26">
        <f>SUM($T$32:$V$32)</f>
        <v>0</v>
      </c>
      <c r="X32" s="26">
        <f>'TE BE'!$AB$32*'TE BF'!$X$50</f>
        <v>0</v>
      </c>
      <c r="Y32" s="26">
        <f>SUM($X$32:$X$32)</f>
        <v>0</v>
      </c>
      <c r="Z32" s="26">
        <f>'TE BE'!$Z$32*'TE BF'!$Z$50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99"/>
      <c r="B33" s="28" t="s">
        <v>87</v>
      </c>
      <c r="C33" s="28" t="s">
        <v>43</v>
      </c>
      <c r="D33" s="28" t="s">
        <v>91</v>
      </c>
      <c r="E33" s="28" t="s">
        <v>25</v>
      </c>
      <c r="F33" s="28" t="s">
        <v>25</v>
      </c>
      <c r="G33" s="29" t="s">
        <v>80</v>
      </c>
      <c r="H33" s="29" t="s">
        <v>74</v>
      </c>
      <c r="I33" s="29">
        <f>'MERCADO TE'!$U$30</f>
        <v>0</v>
      </c>
      <c r="J33" s="15"/>
      <c r="L33" s="26">
        <f>'TE BE'!$L$33*'TE BF'!$L$50</f>
        <v>0</v>
      </c>
      <c r="M33" s="26">
        <f>'TE BE'!$M$33*'TE BF'!$M$50</f>
        <v>0</v>
      </c>
      <c r="N33" s="26">
        <f>'TE BE'!$N$33*'TE BF'!$N$50</f>
        <v>0</v>
      </c>
      <c r="O33" s="26">
        <f>'TE BE'!$O$33*'TE BF'!$O$50</f>
        <v>0</v>
      </c>
      <c r="P33" s="26">
        <f>'TE BE'!$P$33*'TE BF'!$P$50</f>
        <v>0</v>
      </c>
      <c r="Q33" s="26">
        <f>SUM($L$33:$P$33)</f>
        <v>0</v>
      </c>
      <c r="R33" s="26">
        <f>'TE BE'!$R$33*'TE BF'!$R$50</f>
        <v>0</v>
      </c>
      <c r="S33" s="26">
        <f>SUM($R$33:$R$33)</f>
        <v>0</v>
      </c>
      <c r="T33" s="26">
        <f>'TE BE'!$T$33*'TE BF'!$T$50</f>
        <v>0</v>
      </c>
      <c r="U33" s="26">
        <f>'TE BE'!$U$33*'TE BF'!$U$50</f>
        <v>0</v>
      </c>
      <c r="V33" s="26">
        <f>'TE BE'!$V$33*'TE BF'!$V$50</f>
        <v>0</v>
      </c>
      <c r="W33" s="26">
        <f>SUM($T$33:$V$33)</f>
        <v>0</v>
      </c>
      <c r="X33" s="26">
        <f>'TE BE'!$AB$33*'TE BF'!$X$50</f>
        <v>0</v>
      </c>
      <c r="Y33" s="26">
        <f>SUM($X$33:$X$33)</f>
        <v>0</v>
      </c>
      <c r="Z33" s="26">
        <f>'TE BE'!$Z$33*'TE BF'!$Z$50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99"/>
      <c r="B34" s="99" t="s">
        <v>88</v>
      </c>
      <c r="C34" s="99" t="s">
        <v>43</v>
      </c>
      <c r="D34" s="28" t="s">
        <v>25</v>
      </c>
      <c r="E34" s="28" t="s">
        <v>25</v>
      </c>
      <c r="F34" s="28" t="s">
        <v>25</v>
      </c>
      <c r="G34" s="29" t="s">
        <v>80</v>
      </c>
      <c r="H34" s="29" t="s">
        <v>74</v>
      </c>
      <c r="I34" s="29">
        <f>'MERCADO TE'!$U$31</f>
        <v>0</v>
      </c>
      <c r="J34" s="15"/>
      <c r="L34" s="26">
        <f>'TE BE'!$L$34*'TE BF'!$L$50</f>
        <v>0</v>
      </c>
      <c r="M34" s="26">
        <f>'TE BE'!$M$34*'TE BF'!$M$50</f>
        <v>0</v>
      </c>
      <c r="N34" s="26">
        <f>'TE BE'!$N$34*'TE BF'!$N$50</f>
        <v>0</v>
      </c>
      <c r="O34" s="26">
        <f>'TE BE'!$O$34*'TE BF'!$O$50</f>
        <v>0</v>
      </c>
      <c r="P34" s="26">
        <f>'TE BE'!$P$34*'TE BF'!$P$50</f>
        <v>0</v>
      </c>
      <c r="Q34" s="26">
        <f>SUM($L$34:$P$34)</f>
        <v>0</v>
      </c>
      <c r="R34" s="26">
        <f>'TE BE'!$R$34*'TE BF'!$R$50</f>
        <v>0</v>
      </c>
      <c r="S34" s="26">
        <f>SUM($R$34:$R$34)</f>
        <v>0</v>
      </c>
      <c r="T34" s="26">
        <f>'TE BE'!$T$34*'TE BF'!$T$50</f>
        <v>0</v>
      </c>
      <c r="U34" s="26">
        <f>'TE BE'!$U$34*'TE BF'!$U$50</f>
        <v>0</v>
      </c>
      <c r="V34" s="26">
        <f>'TE BE'!$V$34*'TE BF'!$V$50</f>
        <v>0</v>
      </c>
      <c r="W34" s="26">
        <f>SUM($T$34:$V$34)</f>
        <v>0</v>
      </c>
      <c r="X34" s="26">
        <f>'TE BE'!$AB$34*'TE BF'!$X$50</f>
        <v>0</v>
      </c>
      <c r="Y34" s="26">
        <f>SUM($X$34:$X$34)</f>
        <v>0</v>
      </c>
      <c r="Z34" s="26">
        <f>'TE BE'!$Z$34*'TE BF'!$Z$50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99"/>
      <c r="B35" s="99"/>
      <c r="C35" s="99"/>
      <c r="D35" s="28" t="s">
        <v>90</v>
      </c>
      <c r="E35" s="28" t="s">
        <v>25</v>
      </c>
      <c r="F35" s="28" t="s">
        <v>25</v>
      </c>
      <c r="G35" s="29" t="s">
        <v>80</v>
      </c>
      <c r="H35" s="29" t="s">
        <v>74</v>
      </c>
      <c r="I35" s="29">
        <f>'MERCADO TE'!$U$32</f>
        <v>0</v>
      </c>
      <c r="J35" s="15"/>
      <c r="L35" s="26">
        <f>'TE BE'!$L$35*'TE BF'!$L$50</f>
        <v>0</v>
      </c>
      <c r="M35" s="26">
        <f>'TE BE'!$M$35*'TE BF'!$M$50</f>
        <v>0</v>
      </c>
      <c r="N35" s="26">
        <f>'TE BE'!$N$35*'TE BF'!$N$50</f>
        <v>0</v>
      </c>
      <c r="O35" s="26">
        <f>'TE BE'!$O$35*'TE BF'!$O$50</f>
        <v>0</v>
      </c>
      <c r="P35" s="26">
        <f>'TE BE'!$P$35*'TE BF'!$P$50</f>
        <v>0</v>
      </c>
      <c r="Q35" s="26">
        <f>SUM($L$35:$P$35)</f>
        <v>0</v>
      </c>
      <c r="R35" s="26">
        <f>'TE BE'!$R$35*'TE BF'!$R$50</f>
        <v>0</v>
      </c>
      <c r="S35" s="26">
        <f>SUM($R$35:$R$35)</f>
        <v>0</v>
      </c>
      <c r="T35" s="26">
        <f>'TE BE'!$T$35*'TE BF'!$T$50</f>
        <v>0</v>
      </c>
      <c r="U35" s="26">
        <f>'TE BE'!$U$35*'TE BF'!$U$50</f>
        <v>0</v>
      </c>
      <c r="V35" s="26">
        <f>'TE BE'!$V$35*'TE BF'!$V$50</f>
        <v>0</v>
      </c>
      <c r="W35" s="26">
        <f>SUM($T$35:$V$35)</f>
        <v>0</v>
      </c>
      <c r="X35" s="26">
        <f>'TE BE'!$AB$35*'TE BF'!$X$50</f>
        <v>0</v>
      </c>
      <c r="Y35" s="26">
        <f>SUM($X$35:$X$35)</f>
        <v>0</v>
      </c>
      <c r="Z35" s="26">
        <f>'TE BE'!$Z$35*'TE BF'!$Z$50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99"/>
      <c r="B36" s="99"/>
      <c r="C36" s="99"/>
      <c r="D36" s="28" t="s">
        <v>91</v>
      </c>
      <c r="E36" s="28" t="s">
        <v>25</v>
      </c>
      <c r="F36" s="28" t="s">
        <v>25</v>
      </c>
      <c r="G36" s="29" t="s">
        <v>80</v>
      </c>
      <c r="H36" s="29" t="s">
        <v>74</v>
      </c>
      <c r="I36" s="29">
        <f>'MERCADO TE'!$U$33</f>
        <v>0</v>
      </c>
      <c r="J36" s="15"/>
      <c r="L36" s="26">
        <f>'TE BE'!$L$36*'TE BF'!$L$50</f>
        <v>0</v>
      </c>
      <c r="M36" s="26">
        <f>'TE BE'!$M$36*'TE BF'!$M$50</f>
        <v>0</v>
      </c>
      <c r="N36" s="26">
        <f>'TE BE'!$N$36*'TE BF'!$N$50</f>
        <v>0</v>
      </c>
      <c r="O36" s="26">
        <f>'TE BE'!$O$36*'TE BF'!$O$50</f>
        <v>0</v>
      </c>
      <c r="P36" s="26">
        <f>'TE BE'!$P$36*'TE BF'!$P$50</f>
        <v>0</v>
      </c>
      <c r="Q36" s="26">
        <f>SUM($L$36:$P$36)</f>
        <v>0</v>
      </c>
      <c r="R36" s="26">
        <f>'TE BE'!$R$36*'TE BF'!$R$50</f>
        <v>0</v>
      </c>
      <c r="S36" s="26">
        <f>SUM($R$36:$R$36)</f>
        <v>0</v>
      </c>
      <c r="T36" s="26">
        <f>'TE BE'!$T$36*'TE BF'!$T$50</f>
        <v>0</v>
      </c>
      <c r="U36" s="26">
        <f>'TE BE'!$U$36*'TE BF'!$U$50</f>
        <v>0</v>
      </c>
      <c r="V36" s="26">
        <f>'TE BE'!$V$36*'TE BF'!$V$50</f>
        <v>0</v>
      </c>
      <c r="W36" s="26">
        <f>SUM($T$36:$V$36)</f>
        <v>0</v>
      </c>
      <c r="X36" s="26">
        <f>'TE BE'!$AB$36*'TE BF'!$X$50</f>
        <v>0</v>
      </c>
      <c r="Y36" s="26">
        <f>SUM($X$36:$X$36)</f>
        <v>0</v>
      </c>
      <c r="Z36" s="26">
        <f>'TE BE'!$Z$36*'TE BF'!$Z$50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99" t="s">
        <v>33</v>
      </c>
      <c r="B37" s="99" t="s">
        <v>73</v>
      </c>
      <c r="C37" s="99" t="s">
        <v>25</v>
      </c>
      <c r="D37" s="99" t="s">
        <v>25</v>
      </c>
      <c r="E37" s="99" t="s">
        <v>25</v>
      </c>
      <c r="F37" s="99" t="s">
        <v>25</v>
      </c>
      <c r="G37" s="29" t="s">
        <v>75</v>
      </c>
      <c r="H37" s="29" t="s">
        <v>74</v>
      </c>
      <c r="I37" s="29">
        <f>'MERCADO TE'!$U$34</f>
        <v>0</v>
      </c>
      <c r="J37" s="15"/>
      <c r="L37" s="26">
        <f>'TE BE'!$L$37*'TE BF'!$L$50</f>
        <v>0</v>
      </c>
      <c r="M37" s="26">
        <f>'TE BE'!$M$37*'TE BF'!$M$50</f>
        <v>0</v>
      </c>
      <c r="N37" s="26">
        <f>'TE BE'!$N$37*'TE BF'!$N$50</f>
        <v>0</v>
      </c>
      <c r="O37" s="26">
        <f>'TE BE'!$O$37*'TE BF'!$O$50</f>
        <v>0</v>
      </c>
      <c r="P37" s="26">
        <f>'TE BE'!$P$37*'TE BF'!$P$50</f>
        <v>0</v>
      </c>
      <c r="Q37" s="26">
        <f>SUM($L$37:$P$37)</f>
        <v>0</v>
      </c>
      <c r="R37" s="26">
        <f>'TE BE'!$R$37*'TE BF'!$R$50</f>
        <v>0</v>
      </c>
      <c r="S37" s="26">
        <f>SUM($R$37:$R$37)</f>
        <v>0</v>
      </c>
      <c r="T37" s="26">
        <f>'TE BE'!$T$37*'TE BF'!$T$50</f>
        <v>0</v>
      </c>
      <c r="U37" s="26">
        <f>'TE BE'!$U$37*'TE BF'!$U$50</f>
        <v>0</v>
      </c>
      <c r="V37" s="26">
        <f>'TE BE'!$V$37*'TE BF'!$V$50</f>
        <v>0</v>
      </c>
      <c r="W37" s="26">
        <f>SUM($T$37:$V$37)</f>
        <v>0</v>
      </c>
      <c r="X37" s="26">
        <f>'TE BE'!$AB$37*'TE BF'!$X$50</f>
        <v>0</v>
      </c>
      <c r="Y37" s="26">
        <f>SUM($X$37:$X$37)</f>
        <v>0</v>
      </c>
      <c r="Z37" s="26">
        <f>'TE BE'!$Z$37*'TE BF'!$Z$50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99"/>
      <c r="B38" s="99"/>
      <c r="C38" s="99"/>
      <c r="D38" s="99"/>
      <c r="E38" s="99"/>
      <c r="F38" s="99"/>
      <c r="G38" s="29" t="s">
        <v>86</v>
      </c>
      <c r="H38" s="29" t="s">
        <v>74</v>
      </c>
      <c r="I38" s="29">
        <f>'MERCADO TE'!$U$35</f>
        <v>0</v>
      </c>
      <c r="J38" s="15"/>
      <c r="L38" s="26">
        <f>'TE BE'!$L$38*'TE BF'!$L$50</f>
        <v>0</v>
      </c>
      <c r="M38" s="26">
        <f>'TE BE'!$M$38*'TE BF'!$M$50</f>
        <v>0</v>
      </c>
      <c r="N38" s="26">
        <f>'TE BE'!$N$38*'TE BF'!$N$50</f>
        <v>0</v>
      </c>
      <c r="O38" s="26">
        <f>'TE BE'!$O$38*'TE BF'!$O$50</f>
        <v>0</v>
      </c>
      <c r="P38" s="26">
        <f>'TE BE'!$P$38*'TE BF'!$P$50</f>
        <v>0</v>
      </c>
      <c r="Q38" s="26">
        <f>SUM($L$38:$P$38)</f>
        <v>0</v>
      </c>
      <c r="R38" s="26">
        <f>'TE BE'!$R$38*'TE BF'!$R$50</f>
        <v>0</v>
      </c>
      <c r="S38" s="26">
        <f>SUM($R$38:$R$38)</f>
        <v>0</v>
      </c>
      <c r="T38" s="26">
        <f>'TE BE'!$T$38*'TE BF'!$T$50</f>
        <v>0</v>
      </c>
      <c r="U38" s="26">
        <f>'TE BE'!$U$38*'TE BF'!$U$50</f>
        <v>0</v>
      </c>
      <c r="V38" s="26">
        <f>'TE BE'!$V$38*'TE BF'!$V$50</f>
        <v>0</v>
      </c>
      <c r="W38" s="26">
        <f>SUM($T$38:$V$38)</f>
        <v>0</v>
      </c>
      <c r="X38" s="26">
        <f>'TE BE'!$AB$38*'TE BF'!$X$50</f>
        <v>0</v>
      </c>
      <c r="Y38" s="26">
        <f>SUM($X$38:$X$38)</f>
        <v>0</v>
      </c>
      <c r="Z38" s="26">
        <f>'TE BE'!$Z$38*'TE BF'!$Z$50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99"/>
      <c r="B39" s="99"/>
      <c r="C39" s="99"/>
      <c r="D39" s="99"/>
      <c r="E39" s="99"/>
      <c r="F39" s="99"/>
      <c r="G39" s="29" t="s">
        <v>76</v>
      </c>
      <c r="H39" s="29" t="s">
        <v>74</v>
      </c>
      <c r="I39" s="29">
        <f>'MERCADO TE'!$U$36</f>
        <v>0</v>
      </c>
      <c r="J39" s="15"/>
      <c r="L39" s="26">
        <f>'TE BE'!$L$39*'TE BF'!$L$50</f>
        <v>0</v>
      </c>
      <c r="M39" s="26">
        <f>'TE BE'!$M$39*'TE BF'!$M$50</f>
        <v>0</v>
      </c>
      <c r="N39" s="26">
        <f>'TE BE'!$N$39*'TE BF'!$N$50</f>
        <v>0</v>
      </c>
      <c r="O39" s="26">
        <f>'TE BE'!$O$39*'TE BF'!$O$50</f>
        <v>0</v>
      </c>
      <c r="P39" s="26">
        <f>'TE BE'!$P$39*'TE BF'!$P$50</f>
        <v>0</v>
      </c>
      <c r="Q39" s="26">
        <f>SUM($L$39:$P$39)</f>
        <v>0</v>
      </c>
      <c r="R39" s="26">
        <f>'TE BE'!$R$39*'TE BF'!$R$50</f>
        <v>0</v>
      </c>
      <c r="S39" s="26">
        <f>SUM($R$39:$R$39)</f>
        <v>0</v>
      </c>
      <c r="T39" s="26">
        <f>'TE BE'!$T$39*'TE BF'!$T$50</f>
        <v>0</v>
      </c>
      <c r="U39" s="26">
        <f>'TE BE'!$U$39*'TE BF'!$U$50</f>
        <v>0</v>
      </c>
      <c r="V39" s="26">
        <f>'TE BE'!$V$39*'TE BF'!$V$50</f>
        <v>0</v>
      </c>
      <c r="W39" s="26">
        <f>SUM($T$39:$V$39)</f>
        <v>0</v>
      </c>
      <c r="X39" s="26">
        <f>'TE BE'!$AB$39*'TE BF'!$X$50</f>
        <v>0</v>
      </c>
      <c r="Y39" s="26">
        <f>SUM($X$39:$X$39)</f>
        <v>0</v>
      </c>
      <c r="Z39" s="26">
        <f>'TE BE'!$Z$39*'TE BF'!$Z$50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99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80</v>
      </c>
      <c r="H40" s="29" t="s">
        <v>74</v>
      </c>
      <c r="I40" s="29">
        <f>'MERCADO TE'!$U$37</f>
        <v>21501.073</v>
      </c>
      <c r="J40" s="15"/>
      <c r="L40" s="26">
        <f>'TE BE'!$L$40*'TE BF'!$L$50</f>
        <v>0</v>
      </c>
      <c r="M40" s="26">
        <f>'TE BE'!$M$40*'TE BF'!$M$50</f>
        <v>0</v>
      </c>
      <c r="N40" s="26">
        <f>'TE BE'!$N$40*'TE BF'!$N$50</f>
        <v>0</v>
      </c>
      <c r="O40" s="26">
        <f>'TE BE'!$O$40*'TE BF'!$O$50</f>
        <v>0</v>
      </c>
      <c r="P40" s="26">
        <f>'TE BE'!$P$40*'TE BF'!$P$50</f>
        <v>0</v>
      </c>
      <c r="Q40" s="26">
        <f>SUM($L$40:$P$40)</f>
        <v>0</v>
      </c>
      <c r="R40" s="26">
        <f>'TE BE'!$R$40*'TE BF'!$R$50</f>
        <v>0</v>
      </c>
      <c r="S40" s="26">
        <f>SUM($R$40:$R$40)</f>
        <v>0</v>
      </c>
      <c r="T40" s="26">
        <f>'TE BE'!$T$40*'TE BF'!$T$50</f>
        <v>0</v>
      </c>
      <c r="U40" s="26">
        <f>'TE BE'!$U$40*'TE BF'!$U$50</f>
        <v>0</v>
      </c>
      <c r="V40" s="26">
        <f>'TE BE'!$V$40*'TE BF'!$V$50</f>
        <v>0</v>
      </c>
      <c r="W40" s="26">
        <f>SUM($T$40:$V$40)</f>
        <v>0</v>
      </c>
      <c r="X40" s="26">
        <f>'TE BE'!$AB$40*'TE BF'!$X$50</f>
        <v>0</v>
      </c>
      <c r="Y40" s="26">
        <f>SUM($X$40:$X$40)</f>
        <v>0</v>
      </c>
      <c r="Z40" s="26">
        <f>'TE BE'!$Z$40*'TE BF'!$Z$50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99"/>
      <c r="B41" s="28" t="s">
        <v>88</v>
      </c>
      <c r="C41" s="28" t="s">
        <v>25</v>
      </c>
      <c r="D41" s="28" t="s">
        <v>25</v>
      </c>
      <c r="E41" s="28" t="s">
        <v>25</v>
      </c>
      <c r="F41" s="28" t="s">
        <v>25</v>
      </c>
      <c r="G41" s="29" t="s">
        <v>80</v>
      </c>
      <c r="H41" s="29" t="s">
        <v>74</v>
      </c>
      <c r="I41" s="29">
        <f>'MERCADO TE'!$U$38</f>
        <v>0</v>
      </c>
      <c r="J41" s="15"/>
      <c r="L41" s="26">
        <f>'TE BE'!$L$41*'TE BF'!$L$50</f>
        <v>0</v>
      </c>
      <c r="M41" s="26">
        <f>'TE BE'!$M$41*'TE BF'!$M$50</f>
        <v>0</v>
      </c>
      <c r="N41" s="26">
        <f>'TE BE'!$N$41*'TE BF'!$N$50</f>
        <v>0</v>
      </c>
      <c r="O41" s="26">
        <f>'TE BE'!$O$41*'TE BF'!$O$50</f>
        <v>0</v>
      </c>
      <c r="P41" s="26">
        <f>'TE BE'!$P$41*'TE BF'!$P$50</f>
        <v>0</v>
      </c>
      <c r="Q41" s="26">
        <f>SUM($L$41:$P$41)</f>
        <v>0</v>
      </c>
      <c r="R41" s="26">
        <f>'TE BE'!$R$41*'TE BF'!$R$50</f>
        <v>0</v>
      </c>
      <c r="S41" s="26">
        <f>SUM($R$41:$R$41)</f>
        <v>0</v>
      </c>
      <c r="T41" s="26">
        <f>'TE BE'!$T$41*'TE BF'!$T$50</f>
        <v>0</v>
      </c>
      <c r="U41" s="26">
        <f>'TE BE'!$U$41*'TE BF'!$U$50</f>
        <v>0</v>
      </c>
      <c r="V41" s="26">
        <f>'TE BE'!$V$41*'TE BF'!$V$50</f>
        <v>0</v>
      </c>
      <c r="W41" s="26">
        <f>SUM($T$41:$V$41)</f>
        <v>0</v>
      </c>
      <c r="X41" s="26">
        <f>'TE BE'!$AB$41*'TE BF'!$X$50</f>
        <v>0</v>
      </c>
      <c r="Y41" s="26">
        <f>SUM($X$41:$X$41)</f>
        <v>0</v>
      </c>
      <c r="Z41" s="26">
        <f>'TE BE'!$Z$41*'TE BF'!$Z$50</f>
        <v>0</v>
      </c>
      <c r="AA41" s="26">
        <f>SUM($Z$41:$Z$41)</f>
        <v>0</v>
      </c>
      <c r="AB41" s="26">
        <f>SUMIF($L$4:$AA$4,"SUBTOTAL",$L$41:$AA$41)</f>
        <v>0</v>
      </c>
    </row>
    <row r="42" spans="1:28" ht="11.25" customHeight="1" x14ac:dyDescent="0.25">
      <c r="A42" s="99" t="s">
        <v>45</v>
      </c>
      <c r="B42" s="99" t="s">
        <v>87</v>
      </c>
      <c r="C42" s="99" t="s">
        <v>46</v>
      </c>
      <c r="D42" s="28" t="s">
        <v>47</v>
      </c>
      <c r="E42" s="28" t="s">
        <v>25</v>
      </c>
      <c r="F42" s="28" t="s">
        <v>25</v>
      </c>
      <c r="G42" s="29" t="s">
        <v>80</v>
      </c>
      <c r="H42" s="29" t="s">
        <v>74</v>
      </c>
      <c r="I42" s="29">
        <f>'MERCADO TE'!$U$39</f>
        <v>10480.718000000001</v>
      </c>
      <c r="J42" s="15"/>
      <c r="L42" s="26">
        <f>'TE BE'!$L$42*'TE BF'!$L$50</f>
        <v>0</v>
      </c>
      <c r="M42" s="26">
        <f>'TE BE'!$M$42*'TE BF'!$M$50</f>
        <v>0</v>
      </c>
      <c r="N42" s="26">
        <f>'TE BE'!$N$42*'TE BF'!$N$50</f>
        <v>0</v>
      </c>
      <c r="O42" s="26">
        <f>'TE BE'!$O$42*'TE BF'!$O$50</f>
        <v>0</v>
      </c>
      <c r="P42" s="26">
        <f>'TE BE'!$P$42*'TE BF'!$P$50</f>
        <v>0</v>
      </c>
      <c r="Q42" s="26">
        <f>SUM($L$42:$P$42)</f>
        <v>0</v>
      </c>
      <c r="R42" s="26">
        <f>'TE BE'!$R$42*'TE BF'!$R$50</f>
        <v>0</v>
      </c>
      <c r="S42" s="26">
        <f>SUM($R$42:$R$42)</f>
        <v>0</v>
      </c>
      <c r="T42" s="26">
        <f>'TE BE'!$T$42*'TE BF'!$T$50</f>
        <v>0</v>
      </c>
      <c r="U42" s="26">
        <f>'TE BE'!$U$42*'TE BF'!$U$50</f>
        <v>0</v>
      </c>
      <c r="V42" s="26">
        <f>'TE BE'!$V$42*'TE BF'!$V$50</f>
        <v>0</v>
      </c>
      <c r="W42" s="26">
        <f>SUM($T$42:$V$42)</f>
        <v>0</v>
      </c>
      <c r="X42" s="26">
        <f>'TE BE'!$AB$42*'TE BF'!$X$50</f>
        <v>0</v>
      </c>
      <c r="Y42" s="26">
        <f>SUM($X$42:$X$42)</f>
        <v>0</v>
      </c>
      <c r="Z42" s="26">
        <f>'TE BE'!$Z$42*'TE BF'!$Z$50</f>
        <v>0</v>
      </c>
      <c r="AA42" s="26">
        <f>SUM($Z$42:$Z$42)</f>
        <v>0</v>
      </c>
      <c r="AB42" s="26">
        <f>SUMIF($L$4:$AA$4,"SUBTOTAL",$L$42:$AA$42)</f>
        <v>0</v>
      </c>
    </row>
    <row r="43" spans="1:28" ht="11.25" customHeight="1" x14ac:dyDescent="0.25">
      <c r="A43" s="99"/>
      <c r="B43" s="99"/>
      <c r="C43" s="99"/>
      <c r="D43" s="29" t="s">
        <v>92</v>
      </c>
      <c r="E43" s="29" t="s">
        <v>25</v>
      </c>
      <c r="F43" s="29" t="s">
        <v>25</v>
      </c>
      <c r="G43" s="29" t="s">
        <v>80</v>
      </c>
      <c r="H43" s="29" t="s">
        <v>74</v>
      </c>
      <c r="I43" s="29">
        <f>'MERCADO TE'!$U$40</f>
        <v>0</v>
      </c>
      <c r="J43" s="15"/>
      <c r="L43" s="26">
        <f>'TE BE'!$L$43*'TE BF'!$L$50</f>
        <v>0</v>
      </c>
      <c r="M43" s="26">
        <f>'TE BE'!$M$43*'TE BF'!$M$50</f>
        <v>0</v>
      </c>
      <c r="N43" s="26">
        <f>'TE BE'!$N$43*'TE BF'!$N$50</f>
        <v>0</v>
      </c>
      <c r="O43" s="26">
        <f>'TE BE'!$O$43*'TE BF'!$O$50</f>
        <v>0</v>
      </c>
      <c r="P43" s="26">
        <f>'TE BE'!$P$43*'TE BF'!$P$50</f>
        <v>0</v>
      </c>
      <c r="Q43" s="26">
        <f>SUM($L$43:$P$43)</f>
        <v>0</v>
      </c>
      <c r="R43" s="26">
        <f>'TE BE'!$R$43*'TE BF'!$R$50</f>
        <v>0</v>
      </c>
      <c r="S43" s="26">
        <f>SUM($R$43:$R$43)</f>
        <v>0</v>
      </c>
      <c r="T43" s="26">
        <f>'TE BE'!$T$43*'TE BF'!$T$50</f>
        <v>0</v>
      </c>
      <c r="U43" s="26">
        <f>'TE BE'!$U$43*'TE BF'!$U$50</f>
        <v>0</v>
      </c>
      <c r="V43" s="26">
        <f>'TE BE'!$V$43*'TE BF'!$V$50</f>
        <v>0</v>
      </c>
      <c r="W43" s="26">
        <f>SUM($T$43:$V$43)</f>
        <v>0</v>
      </c>
      <c r="X43" s="26">
        <f>'TE BE'!$AB$43*'TE BF'!$X$50</f>
        <v>0</v>
      </c>
      <c r="Y43" s="26">
        <f>SUM($X$43:$X$43)</f>
        <v>0</v>
      </c>
      <c r="Z43" s="26">
        <f>'TE BE'!$Z$43*'TE BF'!$Z$50</f>
        <v>0</v>
      </c>
      <c r="AA43" s="26">
        <f>SUM($Z$43:$Z$43)</f>
        <v>0</v>
      </c>
      <c r="AB43" s="26">
        <f>SUMIF($L$4:$AA$4,"SUBTOTAL",$L$43:$AA$43)</f>
        <v>0</v>
      </c>
    </row>
    <row r="45" spans="1:28" ht="11.25" customHeight="1" x14ac:dyDescent="0.25">
      <c r="K45" s="31" t="s">
        <v>571</v>
      </c>
      <c r="L45" s="26">
        <f t="shared" ref="L45:AB45" si="0">SUMPRODUCT($I$5:$I$43,L$5:L$43)</f>
        <v>0</v>
      </c>
      <c r="M45" s="26">
        <f t="shared" si="0"/>
        <v>0</v>
      </c>
      <c r="N45" s="26">
        <f t="shared" si="0"/>
        <v>0</v>
      </c>
      <c r="O45" s="26">
        <f t="shared" si="0"/>
        <v>0</v>
      </c>
      <c r="P45" s="26">
        <f t="shared" si="0"/>
        <v>0</v>
      </c>
      <c r="Q45" s="26">
        <f t="shared" si="0"/>
        <v>0</v>
      </c>
      <c r="R45" s="26">
        <f t="shared" si="0"/>
        <v>0</v>
      </c>
      <c r="S45" s="26">
        <f t="shared" si="0"/>
        <v>0</v>
      </c>
      <c r="T45" s="26">
        <f t="shared" si="0"/>
        <v>0</v>
      </c>
      <c r="U45" s="26">
        <f t="shared" si="0"/>
        <v>0</v>
      </c>
      <c r="V45" s="26">
        <f t="shared" si="0"/>
        <v>0</v>
      </c>
      <c r="W45" s="26">
        <f t="shared" si="0"/>
        <v>0</v>
      </c>
      <c r="X45" s="26">
        <f t="shared" si="0"/>
        <v>0</v>
      </c>
      <c r="Y45" s="26">
        <f t="shared" si="0"/>
        <v>0</v>
      </c>
      <c r="Z45" s="26">
        <f t="shared" si="0"/>
        <v>0</v>
      </c>
      <c r="AA45" s="26">
        <f t="shared" si="0"/>
        <v>0</v>
      </c>
      <c r="AB45" s="26">
        <f t="shared" si="0"/>
        <v>0</v>
      </c>
    </row>
    <row r="46" spans="1:28" ht="11.25" customHeight="1" x14ac:dyDescent="0.25">
      <c r="K46" s="31" t="s">
        <v>490</v>
      </c>
      <c r="L46" s="26">
        <f>CUSTOS!$D$30</f>
        <v>0</v>
      </c>
      <c r="M46" s="26">
        <f>CUSTOS!$D$31</f>
        <v>0</v>
      </c>
      <c r="N46" s="26">
        <f>CUSTOS!$D$32</f>
        <v>0</v>
      </c>
      <c r="O46" s="26">
        <f>CUSTOS!$D$33</f>
        <v>0</v>
      </c>
      <c r="P46" s="26">
        <f>CUSTOS!$D$34</f>
        <v>0</v>
      </c>
      <c r="Q46" s="26">
        <f>CUSTOS!$D$35</f>
        <v>0</v>
      </c>
      <c r="R46" s="26">
        <f>CUSTOS!$D$36</f>
        <v>38717711.038305797</v>
      </c>
      <c r="S46" s="26">
        <f>CUSTOS!$D$37</f>
        <v>38717711.038305797</v>
      </c>
      <c r="T46" s="26">
        <f>CUSTOS!$D$38</f>
        <v>0</v>
      </c>
      <c r="U46" s="26">
        <f>CUSTOS!$D$39</f>
        <v>0</v>
      </c>
      <c r="V46" s="26">
        <f>CUSTOS!$D$40</f>
        <v>0</v>
      </c>
      <c r="W46" s="26">
        <f>CUSTOS!$D$41</f>
        <v>0</v>
      </c>
      <c r="X46" s="26">
        <f>CUSTOS!$D$42</f>
        <v>0</v>
      </c>
      <c r="Y46" s="26">
        <f>CUSTOS!$D$43</f>
        <v>0</v>
      </c>
      <c r="Z46" s="26">
        <f>CUSTOS!$D$44</f>
        <v>0</v>
      </c>
      <c r="AA46" s="26">
        <f>CUSTOS!$D$45</f>
        <v>0</v>
      </c>
      <c r="AB46" s="26">
        <f>CUSTOS!$D$46</f>
        <v>38717711.038305797</v>
      </c>
    </row>
    <row r="47" spans="1:28" ht="11.25" customHeight="1" x14ac:dyDescent="0.25">
      <c r="K47" s="31" t="s">
        <v>491</v>
      </c>
      <c r="L47" s="26">
        <f>CUSTOS!$E$30</f>
        <v>0</v>
      </c>
      <c r="M47" s="26">
        <f>CUSTOS!$E$31</f>
        <v>0</v>
      </c>
      <c r="N47" s="26">
        <f>CUSTOS!$E$32</f>
        <v>0</v>
      </c>
      <c r="O47" s="26">
        <f>CUSTOS!$E$33</f>
        <v>0</v>
      </c>
      <c r="P47" s="26">
        <f>CUSTOS!$E$34</f>
        <v>0</v>
      </c>
      <c r="Q47" s="26">
        <f>CUSTOS!$E$35</f>
        <v>0</v>
      </c>
      <c r="R47" s="26">
        <f>CUSTOS!$E$36</f>
        <v>-606777.67560267111</v>
      </c>
      <c r="S47" s="26">
        <f>CUSTOS!$E$37</f>
        <v>-606777.67560267111</v>
      </c>
      <c r="T47" s="26">
        <f>CUSTOS!$E$38</f>
        <v>0</v>
      </c>
      <c r="U47" s="26">
        <f>CUSTOS!$E$39</f>
        <v>0</v>
      </c>
      <c r="V47" s="26">
        <f>CUSTOS!$E$40</f>
        <v>0</v>
      </c>
      <c r="W47" s="26">
        <f>CUSTOS!$E$41</f>
        <v>0</v>
      </c>
      <c r="X47" s="26">
        <f>CUSTOS!$E$42</f>
        <v>0</v>
      </c>
      <c r="Y47" s="26">
        <f>CUSTOS!$E$43</f>
        <v>0</v>
      </c>
      <c r="Z47" s="26">
        <f>CUSTOS!$E$44</f>
        <v>0</v>
      </c>
      <c r="AA47" s="26">
        <f>CUSTOS!$E$45</f>
        <v>0</v>
      </c>
      <c r="AB47" s="26">
        <f>CUSTOS!$E$46</f>
        <v>-606777.67560267111</v>
      </c>
    </row>
    <row r="48" spans="1:28" ht="11.25" customHeight="1" x14ac:dyDescent="0.25">
      <c r="K48" s="31" t="s">
        <v>492</v>
      </c>
      <c r="L48" s="26">
        <f>CUSTOS!$F$30</f>
        <v>0</v>
      </c>
      <c r="M48" s="26">
        <f>CUSTOS!$F$31</f>
        <v>0</v>
      </c>
      <c r="N48" s="26">
        <f>CUSTOS!$F$32</f>
        <v>0</v>
      </c>
      <c r="O48" s="26">
        <f>CUSTOS!$F$33</f>
        <v>0</v>
      </c>
      <c r="P48" s="26">
        <f>CUSTOS!$F$34</f>
        <v>0</v>
      </c>
      <c r="Q48" s="26">
        <f>CUSTOS!$F$35</f>
        <v>0</v>
      </c>
      <c r="R48" s="26">
        <f>CUSTOS!$F$36</f>
        <v>0</v>
      </c>
      <c r="S48" s="26">
        <f>CUSTOS!$F$37</f>
        <v>0</v>
      </c>
      <c r="T48" s="26">
        <f>CUSTOS!$F$38</f>
        <v>0</v>
      </c>
      <c r="U48" s="26">
        <f>CUSTOS!$F$39</f>
        <v>0</v>
      </c>
      <c r="V48" s="26">
        <f>CUSTOS!$F$40</f>
        <v>0</v>
      </c>
      <c r="W48" s="26">
        <f>CUSTOS!$F$41</f>
        <v>0</v>
      </c>
      <c r="X48" s="26">
        <f>CUSTOS!$F$42</f>
        <v>0</v>
      </c>
      <c r="Y48" s="26">
        <f>CUSTOS!$F$43</f>
        <v>0</v>
      </c>
      <c r="Z48" s="26">
        <f>CUSTOS!$F$44</f>
        <v>0</v>
      </c>
      <c r="AA48" s="26">
        <f>CUSTOS!$F$45</f>
        <v>0</v>
      </c>
      <c r="AB48" s="26">
        <f>CUSTOS!$F$46</f>
        <v>0</v>
      </c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1:28" ht="11.25" customHeight="1" x14ac:dyDescent="0.25"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</sheetData>
  <mergeCells count="67">
    <mergeCell ref="E37:E39"/>
    <mergeCell ref="F37:F39"/>
    <mergeCell ref="A42:A43"/>
    <mergeCell ref="B42:B43"/>
    <mergeCell ref="C42:C43"/>
    <mergeCell ref="D37:D39"/>
    <mergeCell ref="B34:B36"/>
    <mergeCell ref="C34:C36"/>
    <mergeCell ref="A37:A41"/>
    <mergeCell ref="B37:B39"/>
    <mergeCell ref="C37:C39"/>
    <mergeCell ref="A22:A36"/>
    <mergeCell ref="B22:B24"/>
    <mergeCell ref="C22:C24"/>
    <mergeCell ref="B30:B32"/>
    <mergeCell ref="C30:C32"/>
    <mergeCell ref="B26:B28"/>
    <mergeCell ref="C26:C28"/>
    <mergeCell ref="D30:D32"/>
    <mergeCell ref="E30:E32"/>
    <mergeCell ref="F30:F32"/>
    <mergeCell ref="D22:D24"/>
    <mergeCell ref="E22:E24"/>
    <mergeCell ref="F22:F24"/>
    <mergeCell ref="D26:D28"/>
    <mergeCell ref="E26:E28"/>
    <mergeCell ref="F26:F28"/>
    <mergeCell ref="A9:A21"/>
    <mergeCell ref="B9:B11"/>
    <mergeCell ref="C9:C11"/>
    <mergeCell ref="D9:D11"/>
    <mergeCell ref="E9:E11"/>
    <mergeCell ref="F9:F11"/>
    <mergeCell ref="B12:B16"/>
    <mergeCell ref="C12:C16"/>
    <mergeCell ref="B17:B21"/>
    <mergeCell ref="C17:C21"/>
    <mergeCell ref="A7:A8"/>
    <mergeCell ref="B7:B8"/>
    <mergeCell ref="C7:C8"/>
    <mergeCell ref="D7:D8"/>
    <mergeCell ref="E7:E8"/>
    <mergeCell ref="F7:F8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5">
    <cfRule type="cellIs" dxfId="548" priority="33" operator="notEqual">
      <formula>$L$48</formula>
    </cfRule>
    <cfRule type="cellIs" dxfId="547" priority="34" operator="equal">
      <formula>$L$48</formula>
    </cfRule>
  </conditionalFormatting>
  <conditionalFormatting sqref="M45">
    <cfRule type="cellIs" dxfId="546" priority="31" operator="notEqual">
      <formula>$M$48</formula>
    </cfRule>
    <cfRule type="cellIs" dxfId="545" priority="32" operator="equal">
      <formula>$M$48</formula>
    </cfRule>
  </conditionalFormatting>
  <conditionalFormatting sqref="N45">
    <cfRule type="cellIs" dxfId="544" priority="29" operator="notEqual">
      <formula>$N$48</formula>
    </cfRule>
    <cfRule type="cellIs" dxfId="543" priority="30" operator="equal">
      <formula>$N$48</formula>
    </cfRule>
  </conditionalFormatting>
  <conditionalFormatting sqref="O45">
    <cfRule type="cellIs" dxfId="542" priority="27" operator="notEqual">
      <formula>$O$48</formula>
    </cfRule>
    <cfRule type="cellIs" dxfId="541" priority="28" operator="equal">
      <formula>$O$48</formula>
    </cfRule>
  </conditionalFormatting>
  <conditionalFormatting sqref="P45">
    <cfRule type="cellIs" dxfId="540" priority="25" operator="notEqual">
      <formula>$P$48</formula>
    </cfRule>
    <cfRule type="cellIs" dxfId="539" priority="26" operator="equal">
      <formula>$P$48</formula>
    </cfRule>
  </conditionalFormatting>
  <conditionalFormatting sqref="Q45">
    <cfRule type="cellIs" dxfId="538" priority="23" operator="notEqual">
      <formula>$Q$48</formula>
    </cfRule>
    <cfRule type="cellIs" dxfId="537" priority="24" operator="equal">
      <formula>$Q$48</formula>
    </cfRule>
  </conditionalFormatting>
  <conditionalFormatting sqref="R45">
    <cfRule type="cellIs" dxfId="536" priority="21" operator="notEqual">
      <formula>$R$48</formula>
    </cfRule>
    <cfRule type="cellIs" dxfId="535" priority="22" operator="equal">
      <formula>$R$48</formula>
    </cfRule>
  </conditionalFormatting>
  <conditionalFormatting sqref="S45">
    <cfRule type="cellIs" dxfId="534" priority="19" operator="notEqual">
      <formula>$S$48</formula>
    </cfRule>
    <cfRule type="cellIs" dxfId="533" priority="20" operator="equal">
      <formula>$S$48</formula>
    </cfRule>
  </conditionalFormatting>
  <conditionalFormatting sqref="T45">
    <cfRule type="cellIs" dxfId="532" priority="17" operator="notEqual">
      <formula>$T$48</formula>
    </cfRule>
    <cfRule type="cellIs" dxfId="531" priority="18" operator="equal">
      <formula>$T$48</formula>
    </cfRule>
  </conditionalFormatting>
  <conditionalFormatting sqref="U45">
    <cfRule type="cellIs" dxfId="530" priority="15" operator="notEqual">
      <formula>$U$48</formula>
    </cfRule>
    <cfRule type="cellIs" dxfId="529" priority="16" operator="equal">
      <formula>$U$48</formula>
    </cfRule>
  </conditionalFormatting>
  <conditionalFormatting sqref="V45">
    <cfRule type="cellIs" dxfId="528" priority="13" operator="notEqual">
      <formula>$V$48</formula>
    </cfRule>
    <cfRule type="cellIs" dxfId="527" priority="14" operator="equal">
      <formula>$V$48</formula>
    </cfRule>
  </conditionalFormatting>
  <conditionalFormatting sqref="W45">
    <cfRule type="cellIs" dxfId="526" priority="11" operator="notEqual">
      <formula>$W$48</formula>
    </cfRule>
    <cfRule type="cellIs" dxfId="525" priority="12" operator="equal">
      <formula>$W$48</formula>
    </cfRule>
  </conditionalFormatting>
  <conditionalFormatting sqref="X45">
    <cfRule type="cellIs" dxfId="524" priority="9" operator="notEqual">
      <formula>$X$48</formula>
    </cfRule>
    <cfRule type="cellIs" dxfId="523" priority="10" operator="equal">
      <formula>$X$48</formula>
    </cfRule>
  </conditionalFormatting>
  <conditionalFormatting sqref="Y45">
    <cfRule type="cellIs" dxfId="522" priority="7" operator="notEqual">
      <formula>$Y$48</formula>
    </cfRule>
    <cfRule type="cellIs" dxfId="521" priority="8" operator="equal">
      <formula>$Y$48</formula>
    </cfRule>
  </conditionalFormatting>
  <conditionalFormatting sqref="Z45">
    <cfRule type="cellIs" dxfId="520" priority="5" operator="notEqual">
      <formula>$Z$48</formula>
    </cfRule>
    <cfRule type="cellIs" dxfId="519" priority="6" operator="equal">
      <formula>$Z$48</formula>
    </cfRule>
  </conditionalFormatting>
  <conditionalFormatting sqref="AA45">
    <cfRule type="cellIs" dxfId="518" priority="3" operator="notEqual">
      <formula>$AA$48</formula>
    </cfRule>
    <cfRule type="cellIs" dxfId="517" priority="4" operator="equal">
      <formula>$AA$48</formula>
    </cfRule>
  </conditionalFormatting>
  <conditionalFormatting sqref="AB45">
    <cfRule type="cellIs" dxfId="516" priority="1" operator="notEqual">
      <formula>$AB$48</formula>
    </cfRule>
    <cfRule type="cellIs" dxfId="515" priority="2" operator="equal">
      <formula>$AB$48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B8D1-19E1-4229-A977-A730CDFEE23B}">
  <dimension ref="A1:AV505"/>
  <sheetViews>
    <sheetView showGridLines="0" workbookViewId="0">
      <selection sqref="A1:AG505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1.71093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I1" s="40" t="s">
        <v>64</v>
      </c>
      <c r="AJ1" s="40" t="s">
        <v>620</v>
      </c>
      <c r="AK1" s="40" t="s">
        <v>621</v>
      </c>
      <c r="AL1" s="40" t="s">
        <v>622</v>
      </c>
      <c r="AN1" s="40" t="s">
        <v>64</v>
      </c>
      <c r="AO1" s="40" t="s">
        <v>623</v>
      </c>
      <c r="AP1" s="40" t="s">
        <v>624</v>
      </c>
      <c r="AQ1" s="40" t="s">
        <v>622</v>
      </c>
      <c r="AS1" s="40" t="s">
        <v>64</v>
      </c>
      <c r="AT1" s="40" t="s">
        <v>625</v>
      </c>
      <c r="AU1" s="40" t="s">
        <v>626</v>
      </c>
      <c r="AV1" s="40" t="s">
        <v>622</v>
      </c>
    </row>
    <row r="2" spans="1:48" ht="11.25" customHeight="1" x14ac:dyDescent="0.25">
      <c r="A2" s="4" t="s">
        <v>21</v>
      </c>
      <c r="B2" s="4" t="s">
        <v>35</v>
      </c>
      <c r="C2" s="4" t="s">
        <v>36</v>
      </c>
      <c r="D2" s="4" t="s">
        <v>34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44440</v>
      </c>
      <c r="J2" s="6">
        <v>2438</v>
      </c>
      <c r="K2" s="6">
        <v>2438</v>
      </c>
      <c r="L2" s="6">
        <v>1006.154</v>
      </c>
      <c r="M2" s="6">
        <v>1006.154</v>
      </c>
      <c r="N2" s="6">
        <v>1006.154</v>
      </c>
      <c r="O2" s="6">
        <v>1006.154</v>
      </c>
      <c r="P2" s="6">
        <v>0</v>
      </c>
      <c r="Q2" s="4" t="s">
        <v>26</v>
      </c>
      <c r="R2" s="4">
        <v>0</v>
      </c>
      <c r="S2" s="6">
        <v>20</v>
      </c>
      <c r="T2" s="6">
        <v>7</v>
      </c>
      <c r="U2" s="6">
        <v>48</v>
      </c>
      <c r="V2" s="6">
        <f>IF(ISERROR(VLOOKUP($S$2,'TAR FIN'!$A$1:$O$91,15,0)),0,VLOOKUP($S$2,'TAR FIN'!$A$1:$O$91,15,0))</f>
        <v>8.76</v>
      </c>
      <c r="W2" s="6">
        <f>IF(ISERROR(VLOOKUP($T$2,'TAR FIN'!$A$1:$O$91,15,0)),0,VLOOKUP($T$2,'TAR FIN'!$A$1:$O$91,15,0))</f>
        <v>70.59</v>
      </c>
      <c r="X2" s="6">
        <f>IF(ISERROR(VLOOKUP($U$2,'TAR FIN'!$A$1:$O$91,15,0)),0,VLOOKUP($U$2,'TAR FIN'!$A$1:$O$91,15,0))</f>
        <v>133.97</v>
      </c>
      <c r="Y2" s="6">
        <f ca="1">('TUSD BE'!$AM$6+'TUSD BF'!$AM$6+'TUSD CVA'!$AM$6)*1</f>
        <v>11.498438014700289</v>
      </c>
      <c r="Z2" s="6">
        <f ca="1">('TUSD BE'!$AM$7+'TUSD BF'!$AM$7+'TUSD CVA'!$AM$7)*1</f>
        <v>92.6281433384992</v>
      </c>
      <c r="AA2" s="6">
        <f>('TE BE'!$AB$6+'TE BF'!$AB$6+'TE CVA'!$AB$6)*1</f>
        <v>114.76529888966962</v>
      </c>
      <c r="AB2" s="6">
        <f>$K$2*$V$2</f>
        <v>21356.880000000001</v>
      </c>
      <c r="AC2" s="6">
        <f>$M$2*$W$2</f>
        <v>71024.410860000004</v>
      </c>
      <c r="AD2" s="6">
        <f>$O$2*$X$2</f>
        <v>134794.45137999998</v>
      </c>
      <c r="AE2" s="6">
        <f ca="1">$K$2*$Y$2</f>
        <v>28033.191879839305</v>
      </c>
      <c r="AF2" s="6">
        <f ca="1">$M$2*$Z$2</f>
        <v>93198.176932604329</v>
      </c>
      <c r="AG2" s="6">
        <f>$O$2*$AA$2</f>
        <v>115471.56453903666</v>
      </c>
      <c r="AI2" s="41" t="s">
        <v>35</v>
      </c>
      <c r="AJ2" s="42">
        <f t="shared" ref="AJ2:AJ7" si="0">SUMIF($B$2:$B$505,AI2,$AB$2:$AB$505)+SUMIF($B$2:$B$505,AI2,$AC$2:$AC$505)</f>
        <v>1838437.4053800001</v>
      </c>
      <c r="AK2" s="42">
        <f t="shared" ref="AK2:AK7" ca="1" si="1">SUMIF($B$2:$B$505,AI2,$AE$2:$AE$505)+SUMIF($B$2:$B$505,AI2,$AF$2:$AF$505)</f>
        <v>2375911.8050375767</v>
      </c>
      <c r="AL2" s="43">
        <f t="shared" ref="AL2:AL10" ca="1" si="2">IF(AJ2&lt;&gt;0,AK2/AJ2-1,0)</f>
        <v>0.29235392952988892</v>
      </c>
      <c r="AN2" s="41" t="s">
        <v>35</v>
      </c>
      <c r="AO2" s="42">
        <f t="shared" ref="AO2:AO7" si="3">SUMIF($B$2:$B$505,AN2,$AD$2:$AD$505)</f>
        <v>1789756.4065399999</v>
      </c>
      <c r="AP2" s="42">
        <f t="shared" ref="AP2:AP7" si="4">SUMIF($B$2:$B$505,AN2,$AG$2:$AG$505)</f>
        <v>1533193.4682112725</v>
      </c>
      <c r="AQ2" s="43">
        <f t="shared" ref="AQ2:AQ10" si="5">IF(AO2&lt;&gt;0,AP2/AO2-1,0)</f>
        <v>-0.14335075845585099</v>
      </c>
      <c r="AS2" s="41" t="s">
        <v>35</v>
      </c>
      <c r="AT2" s="42">
        <f t="shared" ref="AT2:AT7" si="6">SUMIF($B$2:$B$505,AS2,$AB$2:$AB$505)+SUMIF($B$2:$B$505,AS2,$AC$2:$AC$505)+SUMIF($B$2:$B$505,AS2,$AD$2:$AD$505)</f>
        <v>3628193.8119200002</v>
      </c>
      <c r="AU2" s="42">
        <f t="shared" ref="AU2:AU7" ca="1" si="7">SUMIF($B$2:$B$505,AS2,$AE$2:$AE$505)+SUMIF($B$2:$B$505,AS2,$AF$2:$AF$505)+SUMIF($B$2:$B$505,AS2,$AG$2:$AG$505)</f>
        <v>3909105.2732488494</v>
      </c>
      <c r="AV2" s="43">
        <f t="shared" ref="AV2:AV10" ca="1" si="8">IF(AT2&lt;&gt;0,AU2/AT2-1,0)</f>
        <v>7.742460185173905E-2</v>
      </c>
    </row>
    <row r="3" spans="1:48" ht="11.25" customHeight="1" x14ac:dyDescent="0.25">
      <c r="A3" s="4" t="s">
        <v>21</v>
      </c>
      <c r="B3" s="4" t="s">
        <v>35</v>
      </c>
      <c r="C3" s="4" t="s">
        <v>36</v>
      </c>
      <c r="D3" s="4" t="s">
        <v>34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44470</v>
      </c>
      <c r="J3" s="6">
        <v>2538</v>
      </c>
      <c r="K3" s="6">
        <v>2538</v>
      </c>
      <c r="L3" s="6">
        <v>1003.545</v>
      </c>
      <c r="M3" s="6">
        <v>1003.545</v>
      </c>
      <c r="N3" s="6">
        <v>1003.545</v>
      </c>
      <c r="O3" s="6">
        <v>1003.545</v>
      </c>
      <c r="P3" s="6">
        <v>0</v>
      </c>
      <c r="Q3" s="4" t="s">
        <v>26</v>
      </c>
      <c r="R3" s="4">
        <v>0</v>
      </c>
      <c r="S3" s="6">
        <v>20</v>
      </c>
      <c r="T3" s="6">
        <v>7</v>
      </c>
      <c r="U3" s="6">
        <v>48</v>
      </c>
      <c r="V3" s="6">
        <f>IF(ISERROR(VLOOKUP($S$3,'TAR FIN'!$A$1:$O$91,15,0)),0,VLOOKUP($S$3,'TAR FIN'!$A$1:$O$91,15,0))</f>
        <v>8.76</v>
      </c>
      <c r="W3" s="6">
        <f>IF(ISERROR(VLOOKUP($T$3,'TAR FIN'!$A$1:$O$91,15,0)),0,VLOOKUP($T$3,'TAR FIN'!$A$1:$O$91,15,0))</f>
        <v>70.59</v>
      </c>
      <c r="X3" s="6">
        <f>IF(ISERROR(VLOOKUP($U$3,'TAR FIN'!$A$1:$O$91,15,0)),0,VLOOKUP($U$3,'TAR FIN'!$A$1:$O$91,15,0))</f>
        <v>133.97</v>
      </c>
      <c r="Y3" s="6">
        <f ca="1">('TUSD BE'!$AM$6+'TUSD BF'!$AM$6+'TUSD CVA'!$AM$6)*1</f>
        <v>11.498438014700289</v>
      </c>
      <c r="Z3" s="6">
        <f ca="1">('TUSD BE'!$AM$7+'TUSD BF'!$AM$7+'TUSD CVA'!$AM$7)*1</f>
        <v>92.6281433384992</v>
      </c>
      <c r="AA3" s="6">
        <f>('TE BE'!$AB$6+'TE BF'!$AB$6+'TE CVA'!$AB$6)*1</f>
        <v>114.76529888966962</v>
      </c>
      <c r="AB3" s="6">
        <f>$K$3*$V$3</f>
        <v>22232.880000000001</v>
      </c>
      <c r="AC3" s="6">
        <f>$M$3*$W$3</f>
        <v>70840.241550000006</v>
      </c>
      <c r="AD3" s="6">
        <f>$O$3*$X$3</f>
        <v>134444.92364999998</v>
      </c>
      <c r="AE3" s="6">
        <f ca="1">$K$3*$Y$3</f>
        <v>29183.035681309335</v>
      </c>
      <c r="AF3" s="6">
        <f ca="1">$M$3*$Z$3</f>
        <v>92956.510106634174</v>
      </c>
      <c r="AG3" s="6">
        <f>$O$3*$AA$3</f>
        <v>115172.14187423349</v>
      </c>
      <c r="AI3" s="41" t="s">
        <v>39</v>
      </c>
      <c r="AJ3" s="42">
        <f t="shared" si="0"/>
        <v>42367346.344897389</v>
      </c>
      <c r="AK3" s="42">
        <f t="shared" ca="1" si="1"/>
        <v>54799315.932107583</v>
      </c>
      <c r="AL3" s="43">
        <f t="shared" ca="1" si="2"/>
        <v>0.29343281228911477</v>
      </c>
      <c r="AN3" s="41" t="s">
        <v>39</v>
      </c>
      <c r="AO3" s="42">
        <f t="shared" si="3"/>
        <v>28849679.383693408</v>
      </c>
      <c r="AP3" s="42">
        <f t="shared" si="4"/>
        <v>24720928.842280589</v>
      </c>
      <c r="AQ3" s="43">
        <f t="shared" si="5"/>
        <v>-0.14311252775122685</v>
      </c>
      <c r="AS3" s="41" t="s">
        <v>39</v>
      </c>
      <c r="AT3" s="42">
        <f t="shared" si="6"/>
        <v>71217025.728590801</v>
      </c>
      <c r="AU3" s="42">
        <f t="shared" ca="1" si="7"/>
        <v>79520244.774388164</v>
      </c>
      <c r="AV3" s="43">
        <f t="shared" ca="1" si="8"/>
        <v>0.11659036530732214</v>
      </c>
    </row>
    <row r="4" spans="1:48" ht="11.25" customHeight="1" x14ac:dyDescent="0.25">
      <c r="A4" s="4" t="s">
        <v>21</v>
      </c>
      <c r="B4" s="4" t="s">
        <v>35</v>
      </c>
      <c r="C4" s="4" t="s">
        <v>36</v>
      </c>
      <c r="D4" s="4" t="s">
        <v>34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44501</v>
      </c>
      <c r="J4" s="6">
        <v>2402</v>
      </c>
      <c r="K4" s="6">
        <v>2402</v>
      </c>
      <c r="L4" s="6">
        <v>1072.8430000000001</v>
      </c>
      <c r="M4" s="6">
        <v>1072.8430000000001</v>
      </c>
      <c r="N4" s="6">
        <v>1072.8430000000001</v>
      </c>
      <c r="O4" s="6">
        <v>1072.8430000000001</v>
      </c>
      <c r="P4" s="6">
        <v>0</v>
      </c>
      <c r="Q4" s="4" t="s">
        <v>26</v>
      </c>
      <c r="R4" s="4">
        <v>0</v>
      </c>
      <c r="S4" s="6">
        <v>20</v>
      </c>
      <c r="T4" s="6">
        <v>7</v>
      </c>
      <c r="U4" s="6">
        <v>48</v>
      </c>
      <c r="V4" s="6">
        <f>IF(ISERROR(VLOOKUP($S$4,'TAR FIN'!$A$1:$O$91,15,0)),0,VLOOKUP($S$4,'TAR FIN'!$A$1:$O$91,15,0))</f>
        <v>8.76</v>
      </c>
      <c r="W4" s="6">
        <f>IF(ISERROR(VLOOKUP($T$4,'TAR FIN'!$A$1:$O$91,15,0)),0,VLOOKUP($T$4,'TAR FIN'!$A$1:$O$91,15,0))</f>
        <v>70.59</v>
      </c>
      <c r="X4" s="6">
        <f>IF(ISERROR(VLOOKUP($U$4,'TAR FIN'!$A$1:$O$91,15,0)),0,VLOOKUP($U$4,'TAR FIN'!$A$1:$O$91,15,0))</f>
        <v>133.97</v>
      </c>
      <c r="Y4" s="6">
        <f ca="1">('TUSD BE'!$AM$6+'TUSD BF'!$AM$6+'TUSD CVA'!$AM$6)*1</f>
        <v>11.498438014700289</v>
      </c>
      <c r="Z4" s="6">
        <f ca="1">('TUSD BE'!$AM$7+'TUSD BF'!$AM$7+'TUSD CVA'!$AM$7)*1</f>
        <v>92.6281433384992</v>
      </c>
      <c r="AA4" s="6">
        <f>('TE BE'!$AB$6+'TE BF'!$AB$6+'TE CVA'!$AB$6)*1</f>
        <v>114.76529888966962</v>
      </c>
      <c r="AB4" s="6">
        <f>$K$4*$V$4</f>
        <v>21041.52</v>
      </c>
      <c r="AC4" s="6">
        <f>$M$4*$W$4</f>
        <v>75731.987370000003</v>
      </c>
      <c r="AD4" s="6">
        <f>$O$4*$X$4</f>
        <v>143728.77671000001</v>
      </c>
      <c r="AE4" s="6">
        <f ca="1">$K$4*$Y$4</f>
        <v>27619.248111310095</v>
      </c>
      <c r="AF4" s="6">
        <f ca="1">$M$4*$Z$4</f>
        <v>99375.455183705504</v>
      </c>
      <c r="AG4" s="6">
        <f>$O$4*$AA$4</f>
        <v>123125.14755668983</v>
      </c>
      <c r="AI4" s="41" t="s">
        <v>22</v>
      </c>
      <c r="AJ4" s="42">
        <f t="shared" si="0"/>
        <v>15939273.373879999</v>
      </c>
      <c r="AK4" s="42">
        <f t="shared" ca="1" si="1"/>
        <v>20353401.552566759</v>
      </c>
      <c r="AL4" s="43">
        <f t="shared" ca="1" si="2"/>
        <v>0.27693409072964892</v>
      </c>
      <c r="AN4" s="41" t="s">
        <v>22</v>
      </c>
      <c r="AO4" s="42">
        <f t="shared" si="3"/>
        <v>7988373.1391699994</v>
      </c>
      <c r="AP4" s="42">
        <f t="shared" si="4"/>
        <v>6843235.7948624529</v>
      </c>
      <c r="AQ4" s="43">
        <f t="shared" si="5"/>
        <v>-0.14335050758864876</v>
      </c>
      <c r="AS4" s="41" t="s">
        <v>22</v>
      </c>
      <c r="AT4" s="42">
        <f t="shared" si="6"/>
        <v>23927646.513049997</v>
      </c>
      <c r="AU4" s="42">
        <f t="shared" ca="1" si="7"/>
        <v>27196637.347429212</v>
      </c>
      <c r="AV4" s="43">
        <f t="shared" ca="1" si="8"/>
        <v>0.13661982312369614</v>
      </c>
    </row>
    <row r="5" spans="1:48" ht="11.25" customHeight="1" x14ac:dyDescent="0.25">
      <c r="A5" s="4" t="s">
        <v>21</v>
      </c>
      <c r="B5" s="4" t="s">
        <v>35</v>
      </c>
      <c r="C5" s="4" t="s">
        <v>36</v>
      </c>
      <c r="D5" s="4" t="s">
        <v>34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44531</v>
      </c>
      <c r="J5" s="6">
        <v>2500</v>
      </c>
      <c r="K5" s="6">
        <v>2500</v>
      </c>
      <c r="L5" s="6">
        <v>1023.229</v>
      </c>
      <c r="M5" s="6">
        <v>1023.229</v>
      </c>
      <c r="N5" s="6">
        <v>1023.229</v>
      </c>
      <c r="O5" s="6">
        <v>1023.229</v>
      </c>
      <c r="P5" s="6">
        <v>0</v>
      </c>
      <c r="Q5" s="4" t="s">
        <v>26</v>
      </c>
      <c r="R5" s="4">
        <v>0</v>
      </c>
      <c r="S5" s="6">
        <v>20</v>
      </c>
      <c r="T5" s="6">
        <v>7</v>
      </c>
      <c r="U5" s="6">
        <v>48</v>
      </c>
      <c r="V5" s="6">
        <f>IF(ISERROR(VLOOKUP($S$5,'TAR FIN'!$A$1:$O$91,15,0)),0,VLOOKUP($S$5,'TAR FIN'!$A$1:$O$91,15,0))</f>
        <v>8.76</v>
      </c>
      <c r="W5" s="6">
        <f>IF(ISERROR(VLOOKUP($T$5,'TAR FIN'!$A$1:$O$91,15,0)),0,VLOOKUP($T$5,'TAR FIN'!$A$1:$O$91,15,0))</f>
        <v>70.59</v>
      </c>
      <c r="X5" s="6">
        <f>IF(ISERROR(VLOOKUP($U$5,'TAR FIN'!$A$1:$O$91,15,0)),0,VLOOKUP($U$5,'TAR FIN'!$A$1:$O$91,15,0))</f>
        <v>133.97</v>
      </c>
      <c r="Y5" s="6">
        <f ca="1">('TUSD BE'!$AM$6+'TUSD BF'!$AM$6+'TUSD CVA'!$AM$6)*1</f>
        <v>11.498438014700289</v>
      </c>
      <c r="Z5" s="6">
        <f ca="1">('TUSD BE'!$AM$7+'TUSD BF'!$AM$7+'TUSD CVA'!$AM$7)*1</f>
        <v>92.6281433384992</v>
      </c>
      <c r="AA5" s="6">
        <f>('TE BE'!$AB$6+'TE BF'!$AB$6+'TE CVA'!$AB$6)*1</f>
        <v>114.76529888966962</v>
      </c>
      <c r="AB5" s="6">
        <f>$K$5*$V$5</f>
        <v>21900</v>
      </c>
      <c r="AC5" s="6">
        <f>$M$5*$W$5</f>
        <v>72229.735110000009</v>
      </c>
      <c r="AD5" s="6">
        <f>$O$5*$X$5</f>
        <v>137081.98913</v>
      </c>
      <c r="AE5" s="6">
        <f ca="1">$K$5*$Y$5</f>
        <v>28746.095036750721</v>
      </c>
      <c r="AF5" s="6">
        <f ca="1">$M$5*$Z$5</f>
        <v>94779.802480109196</v>
      </c>
      <c r="AG5" s="6">
        <f>$O$5*$AA$5</f>
        <v>117431.18201757777</v>
      </c>
      <c r="AI5" s="41" t="s">
        <v>42</v>
      </c>
      <c r="AJ5" s="42">
        <f t="shared" si="0"/>
        <v>3694799.1647799998</v>
      </c>
      <c r="AK5" s="42">
        <f t="shared" ca="1" si="1"/>
        <v>5043319.1198441219</v>
      </c>
      <c r="AL5" s="43">
        <f t="shared" ca="1" si="2"/>
        <v>0.36497787698953799</v>
      </c>
      <c r="AN5" s="41" t="s">
        <v>42</v>
      </c>
      <c r="AO5" s="42">
        <f t="shared" si="3"/>
        <v>1839675.1004600001</v>
      </c>
      <c r="AP5" s="42">
        <f t="shared" si="4"/>
        <v>1683459.2501342304</v>
      </c>
      <c r="AQ5" s="43">
        <f t="shared" si="5"/>
        <v>-8.4914912577068069E-2</v>
      </c>
      <c r="AS5" s="41" t="s">
        <v>42</v>
      </c>
      <c r="AT5" s="42">
        <f t="shared" si="6"/>
        <v>5534474.2652399996</v>
      </c>
      <c r="AU5" s="42">
        <f t="shared" ca="1" si="7"/>
        <v>6726778.3699783524</v>
      </c>
      <c r="AV5" s="43">
        <f t="shared" ca="1" si="8"/>
        <v>0.2154322249227496</v>
      </c>
    </row>
    <row r="6" spans="1:48" ht="11.25" customHeight="1" x14ac:dyDescent="0.25">
      <c r="A6" s="4" t="s">
        <v>21</v>
      </c>
      <c r="B6" s="4" t="s">
        <v>35</v>
      </c>
      <c r="C6" s="4" t="s">
        <v>36</v>
      </c>
      <c r="D6" s="4" t="s">
        <v>34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44562</v>
      </c>
      <c r="J6" s="6">
        <v>2459</v>
      </c>
      <c r="K6" s="6">
        <v>2459</v>
      </c>
      <c r="L6" s="6">
        <v>1381.9390000000001</v>
      </c>
      <c r="M6" s="6">
        <v>1381.9390000000001</v>
      </c>
      <c r="N6" s="6">
        <v>1381.9390000000001</v>
      </c>
      <c r="O6" s="6">
        <v>1381.9390000000001</v>
      </c>
      <c r="P6" s="6">
        <v>0</v>
      </c>
      <c r="Q6" s="4" t="s">
        <v>26</v>
      </c>
      <c r="R6" s="4">
        <v>0</v>
      </c>
      <c r="S6" s="6">
        <v>20</v>
      </c>
      <c r="T6" s="6">
        <v>7</v>
      </c>
      <c r="U6" s="6">
        <v>48</v>
      </c>
      <c r="V6" s="6">
        <f>IF(ISERROR(VLOOKUP($S$6,'TAR FIN'!$A$1:$O$91,15,0)),0,VLOOKUP($S$6,'TAR FIN'!$A$1:$O$91,15,0))</f>
        <v>8.76</v>
      </c>
      <c r="W6" s="6">
        <f>IF(ISERROR(VLOOKUP($T$6,'TAR FIN'!$A$1:$O$91,15,0)),0,VLOOKUP($T$6,'TAR FIN'!$A$1:$O$91,15,0))</f>
        <v>70.59</v>
      </c>
      <c r="X6" s="6">
        <f>IF(ISERROR(VLOOKUP($U$6,'TAR FIN'!$A$1:$O$91,15,0)),0,VLOOKUP($U$6,'TAR FIN'!$A$1:$O$91,15,0))</f>
        <v>133.97</v>
      </c>
      <c r="Y6" s="6">
        <f ca="1">('TUSD BE'!$AM$6+'TUSD BF'!$AM$6+'TUSD CVA'!$AM$6)*1</f>
        <v>11.498438014700289</v>
      </c>
      <c r="Z6" s="6">
        <f ca="1">('TUSD BE'!$AM$7+'TUSD BF'!$AM$7+'TUSD CVA'!$AM$7)*1</f>
        <v>92.6281433384992</v>
      </c>
      <c r="AA6" s="6">
        <f>('TE BE'!$AB$6+'TE BF'!$AB$6+'TE CVA'!$AB$6)*1</f>
        <v>114.76529888966962</v>
      </c>
      <c r="AB6" s="6">
        <f>$K$6*$V$6</f>
        <v>21540.84</v>
      </c>
      <c r="AC6" s="6">
        <f>$M$6*$W$6</f>
        <v>97551.074010000011</v>
      </c>
      <c r="AD6" s="6">
        <f>$O$6*$X$6</f>
        <v>185138.36783</v>
      </c>
      <c r="AE6" s="6">
        <f ca="1">$K$6*$Y$6</f>
        <v>28274.659078148012</v>
      </c>
      <c r="AF6" s="6">
        <f ca="1">$M$6*$Z$6</f>
        <v>128006.44377706225</v>
      </c>
      <c r="AG6" s="6">
        <f>$O$6*$AA$6</f>
        <v>158598.64238229115</v>
      </c>
      <c r="AI6" s="41" t="s">
        <v>33</v>
      </c>
      <c r="AJ6" s="42">
        <f t="shared" si="0"/>
        <v>5770718.9853236014</v>
      </c>
      <c r="AK6" s="42">
        <f t="shared" ca="1" si="1"/>
        <v>7383210.1396582732</v>
      </c>
      <c r="AL6" s="43">
        <f t="shared" ca="1" si="2"/>
        <v>0.279426386631483</v>
      </c>
      <c r="AN6" s="41" t="s">
        <v>33</v>
      </c>
      <c r="AO6" s="42">
        <f t="shared" si="3"/>
        <v>2873348.778948199</v>
      </c>
      <c r="AP6" s="42">
        <f t="shared" si="4"/>
        <v>2464514.5607356941</v>
      </c>
      <c r="AQ6" s="43">
        <f t="shared" si="5"/>
        <v>-0.14228492594002473</v>
      </c>
      <c r="AS6" s="41" t="s">
        <v>33</v>
      </c>
      <c r="AT6" s="42">
        <f t="shared" si="6"/>
        <v>8644067.7642717995</v>
      </c>
      <c r="AU6" s="42">
        <f t="shared" ca="1" si="7"/>
        <v>9847724.7003939673</v>
      </c>
      <c r="AV6" s="43">
        <f t="shared" ca="1" si="8"/>
        <v>0.13924658724879491</v>
      </c>
    </row>
    <row r="7" spans="1:48" ht="11.25" customHeight="1" x14ac:dyDescent="0.25">
      <c r="A7" s="4" t="s">
        <v>21</v>
      </c>
      <c r="B7" s="4" t="s">
        <v>35</v>
      </c>
      <c r="C7" s="4" t="s">
        <v>36</v>
      </c>
      <c r="D7" s="4" t="s">
        <v>34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44593</v>
      </c>
      <c r="J7" s="6">
        <v>2361</v>
      </c>
      <c r="K7" s="6">
        <v>2361</v>
      </c>
      <c r="L7" s="6">
        <v>1251.78</v>
      </c>
      <c r="M7" s="6">
        <v>1251.78</v>
      </c>
      <c r="N7" s="6">
        <v>1251.78</v>
      </c>
      <c r="O7" s="6">
        <v>1251.78</v>
      </c>
      <c r="P7" s="6">
        <v>0</v>
      </c>
      <c r="Q7" s="4" t="s">
        <v>26</v>
      </c>
      <c r="R7" s="4">
        <v>0</v>
      </c>
      <c r="S7" s="6">
        <v>20</v>
      </c>
      <c r="T7" s="6">
        <v>7</v>
      </c>
      <c r="U7" s="6">
        <v>48</v>
      </c>
      <c r="V7" s="6">
        <f>IF(ISERROR(VLOOKUP($S$7,'TAR FIN'!$A$1:$O$91,15,0)),0,VLOOKUP($S$7,'TAR FIN'!$A$1:$O$91,15,0))</f>
        <v>8.76</v>
      </c>
      <c r="W7" s="6">
        <f>IF(ISERROR(VLOOKUP($T$7,'TAR FIN'!$A$1:$O$91,15,0)),0,VLOOKUP($T$7,'TAR FIN'!$A$1:$O$91,15,0))</f>
        <v>70.59</v>
      </c>
      <c r="X7" s="6">
        <f>IF(ISERROR(VLOOKUP($U$7,'TAR FIN'!$A$1:$O$91,15,0)),0,VLOOKUP($U$7,'TAR FIN'!$A$1:$O$91,15,0))</f>
        <v>133.97</v>
      </c>
      <c r="Y7" s="6">
        <f ca="1">('TUSD BE'!$AM$6+'TUSD BF'!$AM$6+'TUSD CVA'!$AM$6)*1</f>
        <v>11.498438014700289</v>
      </c>
      <c r="Z7" s="6">
        <f ca="1">('TUSD BE'!$AM$7+'TUSD BF'!$AM$7+'TUSD CVA'!$AM$7)*1</f>
        <v>92.6281433384992</v>
      </c>
      <c r="AA7" s="6">
        <f>('TE BE'!$AB$6+'TE BF'!$AB$6+'TE CVA'!$AB$6)*1</f>
        <v>114.76529888966962</v>
      </c>
      <c r="AB7" s="6">
        <f>$K$7*$V$7</f>
        <v>20682.36</v>
      </c>
      <c r="AC7" s="6">
        <f>$M$7*$W$7</f>
        <v>88363.150200000004</v>
      </c>
      <c r="AD7" s="6">
        <f>$O$7*$X$7</f>
        <v>167700.96659999999</v>
      </c>
      <c r="AE7" s="6">
        <f ca="1">$K$7*$Y$7</f>
        <v>27147.812152707382</v>
      </c>
      <c r="AF7" s="6">
        <f ca="1">$M$7*$Z$7</f>
        <v>115950.05726826652</v>
      </c>
      <c r="AG7" s="6">
        <f>$O$7*$AA$7</f>
        <v>143660.90584411065</v>
      </c>
      <c r="AI7" s="41" t="s">
        <v>45</v>
      </c>
      <c r="AJ7" s="42">
        <f t="shared" si="0"/>
        <v>1550936.64964</v>
      </c>
      <c r="AK7" s="42">
        <f t="shared" ca="1" si="1"/>
        <v>1981883.6660312705</v>
      </c>
      <c r="AL7" s="43">
        <f t="shared" ca="1" si="2"/>
        <v>0.27786242364657587</v>
      </c>
      <c r="AN7" s="41" t="s">
        <v>45</v>
      </c>
      <c r="AO7" s="42">
        <f t="shared" si="3"/>
        <v>772219.30224000011</v>
      </c>
      <c r="AP7" s="42">
        <f t="shared" si="4"/>
        <v>661552.50361658749</v>
      </c>
      <c r="AQ7" s="43">
        <f t="shared" si="5"/>
        <v>-0.14331006529155388</v>
      </c>
      <c r="AS7" s="41" t="s">
        <v>45</v>
      </c>
      <c r="AT7" s="42">
        <f t="shared" si="6"/>
        <v>2323155.9518800001</v>
      </c>
      <c r="AU7" s="42">
        <f t="shared" ca="1" si="7"/>
        <v>2643436.169647858</v>
      </c>
      <c r="AV7" s="43">
        <f t="shared" ca="1" si="8"/>
        <v>0.13786427790552458</v>
      </c>
    </row>
    <row r="8" spans="1:48" ht="11.25" customHeight="1" x14ac:dyDescent="0.25">
      <c r="A8" s="4" t="s">
        <v>21</v>
      </c>
      <c r="B8" s="4" t="s">
        <v>35</v>
      </c>
      <c r="C8" s="4" t="s">
        <v>36</v>
      </c>
      <c r="D8" s="4" t="s">
        <v>34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44621</v>
      </c>
      <c r="J8" s="6">
        <v>2500</v>
      </c>
      <c r="K8" s="6">
        <v>2500</v>
      </c>
      <c r="L8" s="6">
        <v>954.22400000000005</v>
      </c>
      <c r="M8" s="6">
        <v>954.22400000000005</v>
      </c>
      <c r="N8" s="6">
        <v>954.22400000000005</v>
      </c>
      <c r="O8" s="6">
        <v>954.22400000000005</v>
      </c>
      <c r="P8" s="6">
        <v>0</v>
      </c>
      <c r="Q8" s="4" t="s">
        <v>26</v>
      </c>
      <c r="R8" s="4">
        <v>0</v>
      </c>
      <c r="S8" s="6">
        <v>20</v>
      </c>
      <c r="T8" s="6">
        <v>7</v>
      </c>
      <c r="U8" s="6">
        <v>48</v>
      </c>
      <c r="V8" s="6">
        <f>IF(ISERROR(VLOOKUP($S$8,'TAR FIN'!$A$1:$O$91,15,0)),0,VLOOKUP($S$8,'TAR FIN'!$A$1:$O$91,15,0))</f>
        <v>8.76</v>
      </c>
      <c r="W8" s="6">
        <f>IF(ISERROR(VLOOKUP($T$8,'TAR FIN'!$A$1:$O$91,15,0)),0,VLOOKUP($T$8,'TAR FIN'!$A$1:$O$91,15,0))</f>
        <v>70.59</v>
      </c>
      <c r="X8" s="6">
        <f>IF(ISERROR(VLOOKUP($U$8,'TAR FIN'!$A$1:$O$91,15,0)),0,VLOOKUP($U$8,'TAR FIN'!$A$1:$O$91,15,0))</f>
        <v>133.97</v>
      </c>
      <c r="Y8" s="6">
        <f ca="1">('TUSD BE'!$AM$6+'TUSD BF'!$AM$6+'TUSD CVA'!$AM$6)*1</f>
        <v>11.498438014700289</v>
      </c>
      <c r="Z8" s="6">
        <f ca="1">('TUSD BE'!$AM$7+'TUSD BF'!$AM$7+'TUSD CVA'!$AM$7)*1</f>
        <v>92.6281433384992</v>
      </c>
      <c r="AA8" s="6">
        <f>('TE BE'!$AB$6+'TE BF'!$AB$6+'TE CVA'!$AB$6)*1</f>
        <v>114.76529888966962</v>
      </c>
      <c r="AB8" s="6">
        <f>$K$8*$V$8</f>
        <v>21900</v>
      </c>
      <c r="AC8" s="6">
        <f>$M$8*$W$8</f>
        <v>67358.672160000002</v>
      </c>
      <c r="AD8" s="6">
        <f>$O$8*$X$8</f>
        <v>127837.38928</v>
      </c>
      <c r="AE8" s="6">
        <f ca="1">$K$8*$Y$8</f>
        <v>28746.095036750721</v>
      </c>
      <c r="AF8" s="6">
        <f ca="1">$M$8*$Z$8</f>
        <v>88387.997449036062</v>
      </c>
      <c r="AG8" s="6">
        <f>$O$8*$AA$8</f>
        <v>109511.80256769611</v>
      </c>
      <c r="AI8" s="41" t="s">
        <v>627</v>
      </c>
      <c r="AJ8" s="42">
        <f>+$AJ$2+$AJ$3</f>
        <v>44205783.750277393</v>
      </c>
      <c r="AK8" s="42">
        <f ca="1">+$AK$2+$AK$3</f>
        <v>57175227.737145156</v>
      </c>
      <c r="AL8" s="43">
        <f t="shared" ca="1" si="2"/>
        <v>0.29338794353547404</v>
      </c>
      <c r="AN8" s="41" t="s">
        <v>627</v>
      </c>
      <c r="AO8" s="42">
        <f>+$AO$2+$AO$3</f>
        <v>30639435.790233407</v>
      </c>
      <c r="AP8" s="42">
        <f>+$AP$2+$AP$3</f>
        <v>26254122.31049186</v>
      </c>
      <c r="AQ8" s="43">
        <f t="shared" si="5"/>
        <v>-0.14312644363834548</v>
      </c>
      <c r="AS8" s="41" t="s">
        <v>627</v>
      </c>
      <c r="AT8" s="42">
        <f>+$AT$2+$AT$3</f>
        <v>74845219.540510803</v>
      </c>
      <c r="AU8" s="42">
        <f ca="1">+$AU$2+$AU$3</f>
        <v>83429350.047637016</v>
      </c>
      <c r="AV8" s="43">
        <f t="shared" ca="1" si="8"/>
        <v>0.11469176735435926</v>
      </c>
    </row>
    <row r="9" spans="1:48" ht="11.25" customHeight="1" x14ac:dyDescent="0.25">
      <c r="A9" s="4" t="s">
        <v>21</v>
      </c>
      <c r="B9" s="4" t="s">
        <v>35</v>
      </c>
      <c r="C9" s="4" t="s">
        <v>36</v>
      </c>
      <c r="D9" s="4" t="s">
        <v>34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44652</v>
      </c>
      <c r="J9" s="6">
        <v>2500</v>
      </c>
      <c r="K9" s="6">
        <v>2500</v>
      </c>
      <c r="L9" s="6">
        <v>879.77</v>
      </c>
      <c r="M9" s="6">
        <v>879.77</v>
      </c>
      <c r="N9" s="6">
        <v>879.77</v>
      </c>
      <c r="O9" s="6">
        <v>879.77</v>
      </c>
      <c r="P9" s="6">
        <v>0</v>
      </c>
      <c r="Q9" s="4" t="s">
        <v>26</v>
      </c>
      <c r="R9" s="4">
        <v>0</v>
      </c>
      <c r="S9" s="6">
        <v>20</v>
      </c>
      <c r="T9" s="6">
        <v>7</v>
      </c>
      <c r="U9" s="6">
        <v>48</v>
      </c>
      <c r="V9" s="6">
        <f>IF(ISERROR(VLOOKUP($S$9,'TAR FIN'!$A$1:$O$91,15,0)),0,VLOOKUP($S$9,'TAR FIN'!$A$1:$O$91,15,0))</f>
        <v>8.76</v>
      </c>
      <c r="W9" s="6">
        <f>IF(ISERROR(VLOOKUP($T$9,'TAR FIN'!$A$1:$O$91,15,0)),0,VLOOKUP($T$9,'TAR FIN'!$A$1:$O$91,15,0))</f>
        <v>70.59</v>
      </c>
      <c r="X9" s="6">
        <f>IF(ISERROR(VLOOKUP($U$9,'TAR FIN'!$A$1:$O$91,15,0)),0,VLOOKUP($U$9,'TAR FIN'!$A$1:$O$91,15,0))</f>
        <v>133.97</v>
      </c>
      <c r="Y9" s="6">
        <f ca="1">('TUSD BE'!$AM$6+'TUSD BF'!$AM$6+'TUSD CVA'!$AM$6)*1</f>
        <v>11.498438014700289</v>
      </c>
      <c r="Z9" s="6">
        <f ca="1">('TUSD BE'!$AM$7+'TUSD BF'!$AM$7+'TUSD CVA'!$AM$7)*1</f>
        <v>92.6281433384992</v>
      </c>
      <c r="AA9" s="6">
        <f>('TE BE'!$AB$6+'TE BF'!$AB$6+'TE CVA'!$AB$6)*1</f>
        <v>114.76529888966962</v>
      </c>
      <c r="AB9" s="6">
        <f>$K$9*$V$9</f>
        <v>21900</v>
      </c>
      <c r="AC9" s="6">
        <f>$M$9*$W$9</f>
        <v>62102.9643</v>
      </c>
      <c r="AD9" s="6">
        <f>$O$9*$X$9</f>
        <v>117862.78689999999</v>
      </c>
      <c r="AE9" s="6">
        <f ca="1">$K$9*$Y$9</f>
        <v>28746.095036750721</v>
      </c>
      <c r="AF9" s="6">
        <f ca="1">$M$9*$Z$9</f>
        <v>81491.461664911432</v>
      </c>
      <c r="AG9" s="6">
        <f>$O$9*$AA$9</f>
        <v>100967.06700416464</v>
      </c>
      <c r="AI9" s="41" t="s">
        <v>83</v>
      </c>
      <c r="AJ9" s="42">
        <f>+$AJ$4+$AJ$5+$AJ$6+$AJ$7</f>
        <v>26955728.173623599</v>
      </c>
      <c r="AK9" s="42">
        <f ca="1">+$AK$4+$AK$5+$AK$6+$AK$7</f>
        <v>34761814.478100426</v>
      </c>
      <c r="AL9" s="43">
        <f t="shared" ca="1" si="2"/>
        <v>0.28958914610643482</v>
      </c>
      <c r="AN9" s="41" t="s">
        <v>83</v>
      </c>
      <c r="AO9" s="42">
        <f>+$AO$4+$AO$5+$AO$6+$AO$7</f>
        <v>13473616.320818197</v>
      </c>
      <c r="AP9" s="42">
        <f>+$AP$4+$AP$5+$AP$6+$AP$7</f>
        <v>11652762.109348966</v>
      </c>
      <c r="AQ9" s="43">
        <f t="shared" si="5"/>
        <v>-0.13514220444705805</v>
      </c>
      <c r="AS9" s="41" t="s">
        <v>83</v>
      </c>
      <c r="AT9" s="42">
        <f>+$AT$4+$AT$5+$AT$6+$AT$7</f>
        <v>40429344.4944418</v>
      </c>
      <c r="AU9" s="42">
        <f ca="1">+$AU$4+$AU$5+$AU$6+$AU$7</f>
        <v>46414576.587449387</v>
      </c>
      <c r="AV9" s="43">
        <f t="shared" ca="1" si="8"/>
        <v>0.14804177925344386</v>
      </c>
    </row>
    <row r="10" spans="1:48" ht="11.25" customHeight="1" x14ac:dyDescent="0.25">
      <c r="A10" s="4" t="s">
        <v>21</v>
      </c>
      <c r="B10" s="4" t="s">
        <v>35</v>
      </c>
      <c r="C10" s="4" t="s">
        <v>36</v>
      </c>
      <c r="D10" s="4" t="s">
        <v>34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2502</v>
      </c>
      <c r="K10" s="6">
        <v>2502</v>
      </c>
      <c r="L10" s="6">
        <v>1084.095</v>
      </c>
      <c r="M10" s="6">
        <v>1084.095</v>
      </c>
      <c r="N10" s="6">
        <v>1084.095</v>
      </c>
      <c r="O10" s="6">
        <v>1084.095</v>
      </c>
      <c r="P10" s="6">
        <v>0</v>
      </c>
      <c r="Q10" s="4" t="s">
        <v>26</v>
      </c>
      <c r="R10" s="4">
        <v>0</v>
      </c>
      <c r="S10" s="6">
        <v>20</v>
      </c>
      <c r="T10" s="6">
        <v>7</v>
      </c>
      <c r="U10" s="6">
        <v>48</v>
      </c>
      <c r="V10" s="6">
        <f>IF(ISERROR(VLOOKUP($S$10,'TAR FIN'!$A$1:$O$91,15,0)),0,VLOOKUP($S$10,'TAR FIN'!$A$1:$O$91,15,0))</f>
        <v>8.76</v>
      </c>
      <c r="W10" s="6">
        <f>IF(ISERROR(VLOOKUP($T$10,'TAR FIN'!$A$1:$O$91,15,0)),0,VLOOKUP($T$10,'TAR FIN'!$A$1:$O$91,15,0))</f>
        <v>70.59</v>
      </c>
      <c r="X10" s="6">
        <f>IF(ISERROR(VLOOKUP($U$10,'TAR FIN'!$A$1:$O$91,15,0)),0,VLOOKUP($U$10,'TAR FIN'!$A$1:$O$91,15,0))</f>
        <v>133.97</v>
      </c>
      <c r="Y10" s="6">
        <f ca="1">('TUSD BE'!$AM$6+'TUSD BF'!$AM$6+'TUSD CVA'!$AM$6)*1</f>
        <v>11.498438014700289</v>
      </c>
      <c r="Z10" s="6">
        <f ca="1">('TUSD BE'!$AM$7+'TUSD BF'!$AM$7+'TUSD CVA'!$AM$7)*1</f>
        <v>92.6281433384992</v>
      </c>
      <c r="AA10" s="6">
        <f>('TE BE'!$AB$6+'TE BF'!$AB$6+'TE CVA'!$AB$6)*1</f>
        <v>114.76529888966962</v>
      </c>
      <c r="AB10" s="6">
        <f>$K$10*$V$10</f>
        <v>21917.52</v>
      </c>
      <c r="AC10" s="6">
        <f>$M$10*$W$10</f>
        <v>76526.266050000006</v>
      </c>
      <c r="AD10" s="6">
        <f>$O$10*$X$10</f>
        <v>145236.20715</v>
      </c>
      <c r="AE10" s="6">
        <f ca="1">$K$10*$Y$10</f>
        <v>28769.091912780124</v>
      </c>
      <c r="AF10" s="6">
        <f ca="1">$M$10*$Z$10</f>
        <v>100417.70705255029</v>
      </c>
      <c r="AG10" s="6">
        <f>$O$10*$AA$10</f>
        <v>124416.4866997964</v>
      </c>
      <c r="AI10" s="41" t="s">
        <v>628</v>
      </c>
      <c r="AJ10" s="42">
        <f>AJ9+AJ8</f>
        <v>71161511.923900992</v>
      </c>
      <c r="AK10" s="42">
        <f ca="1">AK9+AK8</f>
        <v>91937042.215245575</v>
      </c>
      <c r="AL10" s="43">
        <f t="shared" ca="1" si="2"/>
        <v>0.29194897255080265</v>
      </c>
      <c r="AN10" s="41" t="s">
        <v>628</v>
      </c>
      <c r="AO10" s="42">
        <f>AO9+AO8</f>
        <v>44113052.111051604</v>
      </c>
      <c r="AP10" s="42">
        <f>AP9+AP8</f>
        <v>37906884.419840828</v>
      </c>
      <c r="AQ10" s="43">
        <f t="shared" si="5"/>
        <v>-0.14068778726956299</v>
      </c>
      <c r="AS10" s="41" t="s">
        <v>628</v>
      </c>
      <c r="AT10" s="42">
        <f>AT9+AT8</f>
        <v>115274564.03495261</v>
      </c>
      <c r="AU10" s="42">
        <f ca="1">AU9+AU8</f>
        <v>129843926.6350864</v>
      </c>
      <c r="AV10" s="43">
        <f t="shared" ca="1" si="8"/>
        <v>0.12638835568023654</v>
      </c>
    </row>
    <row r="11" spans="1:48" ht="11.25" customHeight="1" x14ac:dyDescent="0.25">
      <c r="A11" s="4" t="s">
        <v>21</v>
      </c>
      <c r="B11" s="4" t="s">
        <v>35</v>
      </c>
      <c r="C11" s="4" t="s">
        <v>36</v>
      </c>
      <c r="D11" s="4" t="s">
        <v>34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2495</v>
      </c>
      <c r="K11" s="6">
        <v>2495</v>
      </c>
      <c r="L11" s="6">
        <v>783.94200000000001</v>
      </c>
      <c r="M11" s="6">
        <v>783.94200000000001</v>
      </c>
      <c r="N11" s="6">
        <v>783.94200000000001</v>
      </c>
      <c r="O11" s="6">
        <v>783.94200000000001</v>
      </c>
      <c r="P11" s="6">
        <v>0</v>
      </c>
      <c r="Q11" s="4" t="s">
        <v>26</v>
      </c>
      <c r="R11" s="4">
        <v>0</v>
      </c>
      <c r="S11" s="6">
        <v>20</v>
      </c>
      <c r="T11" s="6">
        <v>7</v>
      </c>
      <c r="U11" s="6">
        <v>48</v>
      </c>
      <c r="V11" s="6">
        <f>IF(ISERROR(VLOOKUP($S$11,'TAR FIN'!$A$1:$O$91,15,0)),0,VLOOKUP($S$11,'TAR FIN'!$A$1:$O$91,15,0))</f>
        <v>8.76</v>
      </c>
      <c r="W11" s="6">
        <f>IF(ISERROR(VLOOKUP($T$11,'TAR FIN'!$A$1:$O$91,15,0)),0,VLOOKUP($T$11,'TAR FIN'!$A$1:$O$91,15,0))</f>
        <v>70.59</v>
      </c>
      <c r="X11" s="6">
        <f>IF(ISERROR(VLOOKUP($U$11,'TAR FIN'!$A$1:$O$91,15,0)),0,VLOOKUP($U$11,'TAR FIN'!$A$1:$O$91,15,0))</f>
        <v>133.97</v>
      </c>
      <c r="Y11" s="6">
        <f ca="1">('TUSD BE'!$AM$6+'TUSD BF'!$AM$6+'TUSD CVA'!$AM$6)*1</f>
        <v>11.498438014700289</v>
      </c>
      <c r="Z11" s="6">
        <f ca="1">('TUSD BE'!$AM$7+'TUSD BF'!$AM$7+'TUSD CVA'!$AM$7)*1</f>
        <v>92.6281433384992</v>
      </c>
      <c r="AA11" s="6">
        <f>('TE BE'!$AB$6+'TE BF'!$AB$6+'TE CVA'!$AB$6)*1</f>
        <v>114.76529888966962</v>
      </c>
      <c r="AB11" s="6">
        <f>$K$11*$V$11</f>
        <v>21856.2</v>
      </c>
      <c r="AC11" s="6">
        <f>$M$11*$W$11</f>
        <v>55338.465780000006</v>
      </c>
      <c r="AD11" s="6">
        <f>$O$11*$X$11</f>
        <v>105024.70974000001</v>
      </c>
      <c r="AE11" s="6">
        <f ca="1">$K$11*$Y$11</f>
        <v>28688.602846677222</v>
      </c>
      <c r="AF11" s="6">
        <f ca="1">$M$11*$Z$11</f>
        <v>72615.09194506974</v>
      </c>
      <c r="AG11" s="6">
        <f>$O$11*$AA$11</f>
        <v>89969.337942165381</v>
      </c>
    </row>
    <row r="12" spans="1:48" ht="11.25" customHeight="1" x14ac:dyDescent="0.25">
      <c r="A12" s="4" t="s">
        <v>21</v>
      </c>
      <c r="B12" s="4" t="s">
        <v>35</v>
      </c>
      <c r="C12" s="4" t="s">
        <v>36</v>
      </c>
      <c r="D12" s="4" t="s">
        <v>34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2434</v>
      </c>
      <c r="K12" s="6">
        <v>2434</v>
      </c>
      <c r="L12" s="6">
        <v>869.30399999999997</v>
      </c>
      <c r="M12" s="6">
        <v>869.30399999999997</v>
      </c>
      <c r="N12" s="6">
        <v>869.30399999999997</v>
      </c>
      <c r="O12" s="6">
        <v>869.30399999999997</v>
      </c>
      <c r="P12" s="6">
        <v>0</v>
      </c>
      <c r="Q12" s="4" t="s">
        <v>26</v>
      </c>
      <c r="R12" s="4">
        <v>0</v>
      </c>
      <c r="S12" s="6">
        <v>20</v>
      </c>
      <c r="T12" s="6">
        <v>7</v>
      </c>
      <c r="U12" s="6">
        <v>48</v>
      </c>
      <c r="V12" s="6">
        <f>IF(ISERROR(VLOOKUP($S$12,'TAR FIN'!$A$1:$O$91,15,0)),0,VLOOKUP($S$12,'TAR FIN'!$A$1:$O$91,15,0))</f>
        <v>8.76</v>
      </c>
      <c r="W12" s="6">
        <f>IF(ISERROR(VLOOKUP($T$12,'TAR FIN'!$A$1:$O$91,15,0)),0,VLOOKUP($T$12,'TAR FIN'!$A$1:$O$91,15,0))</f>
        <v>70.59</v>
      </c>
      <c r="X12" s="6">
        <f>IF(ISERROR(VLOOKUP($U$12,'TAR FIN'!$A$1:$O$91,15,0)),0,VLOOKUP($U$12,'TAR FIN'!$A$1:$O$91,15,0))</f>
        <v>133.97</v>
      </c>
      <c r="Y12" s="6">
        <f ca="1">('TUSD BE'!$AM$6+'TUSD BF'!$AM$6+'TUSD CVA'!$AM$6)*1</f>
        <v>11.498438014700289</v>
      </c>
      <c r="Z12" s="6">
        <f ca="1">('TUSD BE'!$AM$7+'TUSD BF'!$AM$7+'TUSD CVA'!$AM$7)*1</f>
        <v>92.6281433384992</v>
      </c>
      <c r="AA12" s="6">
        <f>('TE BE'!$AB$6+'TE BF'!$AB$6+'TE CVA'!$AB$6)*1</f>
        <v>114.76529888966962</v>
      </c>
      <c r="AB12" s="6">
        <f>$K$12*$V$12</f>
        <v>21321.84</v>
      </c>
      <c r="AC12" s="6">
        <f>$M$12*$W$12</f>
        <v>61364.16936</v>
      </c>
      <c r="AD12" s="6">
        <f>$O$12*$X$12</f>
        <v>116460.65687999999</v>
      </c>
      <c r="AE12" s="6">
        <f ca="1">$K$12*$Y$12</f>
        <v>27987.198127780503</v>
      </c>
      <c r="AF12" s="6">
        <f ca="1">$M$12*$Z$12</f>
        <v>80522.015516730709</v>
      </c>
      <c r="AG12" s="6">
        <f>$O$12*$AA$12</f>
        <v>99765.933385985365</v>
      </c>
    </row>
    <row r="13" spans="1:48" ht="11.25" customHeight="1" x14ac:dyDescent="0.25">
      <c r="A13" s="4" t="s">
        <v>57</v>
      </c>
      <c r="B13" s="4" t="s">
        <v>35</v>
      </c>
      <c r="C13" s="4" t="s">
        <v>36</v>
      </c>
      <c r="D13" s="4" t="s">
        <v>34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2434</v>
      </c>
      <c r="K13" s="6">
        <v>2434</v>
      </c>
      <c r="L13" s="6">
        <v>869.30399999999997</v>
      </c>
      <c r="M13" s="6">
        <v>869.30399999999997</v>
      </c>
      <c r="N13" s="6">
        <v>869.30399999999997</v>
      </c>
      <c r="O13" s="6">
        <v>869.30399999999997</v>
      </c>
      <c r="P13" s="6">
        <v>0</v>
      </c>
      <c r="Q13" s="4" t="s">
        <v>26</v>
      </c>
      <c r="R13" s="4">
        <v>0</v>
      </c>
      <c r="S13" s="6">
        <v>20</v>
      </c>
      <c r="T13" s="6">
        <v>7</v>
      </c>
      <c r="U13" s="6">
        <v>48</v>
      </c>
      <c r="V13" s="6">
        <f>IF(ISERROR(VLOOKUP($S$13,'TAR FIN'!$A$1:$O$91,15,0)),0,VLOOKUP($S$13,'TAR FIN'!$A$1:$O$91,15,0))</f>
        <v>8.76</v>
      </c>
      <c r="W13" s="6">
        <f>IF(ISERROR(VLOOKUP($T$13,'TAR FIN'!$A$1:$O$91,15,0)),0,VLOOKUP($T$13,'TAR FIN'!$A$1:$O$91,15,0))</f>
        <v>70.59</v>
      </c>
      <c r="X13" s="6">
        <f>IF(ISERROR(VLOOKUP($U$13,'TAR FIN'!$A$1:$O$91,15,0)),0,VLOOKUP($U$13,'TAR FIN'!$A$1:$O$91,15,0))</f>
        <v>133.97</v>
      </c>
      <c r="Y13" s="6">
        <f ca="1">('TUSD BE'!$AM$6+'TUSD BF'!$AM$6+'TUSD CVA'!$AM$6)*1</f>
        <v>11.498438014700289</v>
      </c>
      <c r="Z13" s="6">
        <f ca="1">('TUSD BE'!$AM$7+'TUSD BF'!$AM$7+'TUSD CVA'!$AM$7)*1</f>
        <v>92.6281433384992</v>
      </c>
      <c r="AA13" s="6">
        <f>('TE BE'!$AB$6+'TE BF'!$AB$6+'TE CVA'!$AB$6)*1</f>
        <v>114.76529888966962</v>
      </c>
      <c r="AB13" s="6">
        <f>$K$13*$V$13</f>
        <v>21321.84</v>
      </c>
      <c r="AC13" s="6">
        <f>$M$13*$W$13</f>
        <v>61364.16936</v>
      </c>
      <c r="AD13" s="6">
        <f>$O$13*$X$13</f>
        <v>116460.65687999999</v>
      </c>
      <c r="AE13" s="6">
        <f ca="1">$K$13*$Y$13</f>
        <v>27987.198127780503</v>
      </c>
      <c r="AF13" s="6">
        <f ca="1">$M$13*$Z$13</f>
        <v>80522.015516730709</v>
      </c>
      <c r="AG13" s="6">
        <f>$O$13*$AA$13</f>
        <v>99765.933385985365</v>
      </c>
    </row>
    <row r="14" spans="1:48" ht="11.25" customHeight="1" x14ac:dyDescent="0.25">
      <c r="A14" s="4" t="s">
        <v>21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2386</v>
      </c>
      <c r="K14" s="6">
        <v>2386</v>
      </c>
      <c r="L14" s="6">
        <v>98.867000000000004</v>
      </c>
      <c r="M14" s="6">
        <v>98.867000000000004</v>
      </c>
      <c r="N14" s="6">
        <v>98.867000000000004</v>
      </c>
      <c r="O14" s="6">
        <v>98.867000000000004</v>
      </c>
      <c r="P14" s="6">
        <v>0</v>
      </c>
      <c r="Q14" s="4" t="s">
        <v>26</v>
      </c>
      <c r="R14" s="4">
        <v>0</v>
      </c>
      <c r="S14" s="6">
        <v>15</v>
      </c>
      <c r="T14" s="6">
        <v>7</v>
      </c>
      <c r="U14" s="6">
        <v>37</v>
      </c>
      <c r="V14" s="6">
        <f>IF(ISERROR(VLOOKUP($S$14,'TAR FIN'!$A$1:$O$91,15,0)),0,VLOOKUP($S$14,'TAR FIN'!$A$1:$O$91,15,0))</f>
        <v>21.75</v>
      </c>
      <c r="W14" s="6">
        <f>IF(ISERROR(VLOOKUP($T$14,'TAR FIN'!$A$1:$O$91,15,0)),0,VLOOKUP($T$14,'TAR FIN'!$A$1:$O$91,15,0))</f>
        <v>70.59</v>
      </c>
      <c r="X14" s="6">
        <f>IF(ISERROR(VLOOKUP($U$14,'TAR FIN'!$A$1:$O$91,15,0)),0,VLOOKUP($U$14,'TAR FIN'!$A$1:$O$91,15,0))</f>
        <v>133.97</v>
      </c>
      <c r="Y14" s="6">
        <f ca="1">('TUSD BE'!$AM$5+'TUSD BF'!$AM$5+'TUSD CVA'!$AM$5)*1</f>
        <v>27.289864707263106</v>
      </c>
      <c r="Z14" s="6">
        <f ca="1">('TUSD BE'!$AM$7+'TUSD BF'!$AM$7+'TUSD CVA'!$AM$7)*1</f>
        <v>92.6281433384992</v>
      </c>
      <c r="AA14" s="6">
        <f>('TE BE'!$AB$5+'TE BF'!$AB$5+'TE CVA'!$AB$5)*1</f>
        <v>114.76529888966962</v>
      </c>
      <c r="AB14" s="6">
        <f>$K$14*$V$14</f>
        <v>51895.5</v>
      </c>
      <c r="AC14" s="6">
        <f>$M$14*$W$14</f>
        <v>6979.0215300000009</v>
      </c>
      <c r="AD14" s="6">
        <f>$O$14*$X$14</f>
        <v>13245.21199</v>
      </c>
      <c r="AE14" s="6">
        <f ca="1">$K$14*$Y$14</f>
        <v>65113.617191529775</v>
      </c>
      <c r="AF14" s="6">
        <f ca="1">$M$14*$Z$14</f>
        <v>9157.8666474474012</v>
      </c>
      <c r="AG14" s="6">
        <f>$O$14*$AA$14</f>
        <v>11346.500805324968</v>
      </c>
    </row>
    <row r="15" spans="1:48" ht="11.25" customHeight="1" x14ac:dyDescent="0.25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2497</v>
      </c>
      <c r="K15" s="6">
        <v>2497</v>
      </c>
      <c r="L15" s="6">
        <v>88.641000000000005</v>
      </c>
      <c r="M15" s="6">
        <v>88.641000000000005</v>
      </c>
      <c r="N15" s="6">
        <v>88.641000000000005</v>
      </c>
      <c r="O15" s="6">
        <v>88.641000000000005</v>
      </c>
      <c r="P15" s="6">
        <v>0</v>
      </c>
      <c r="Q15" s="4" t="s">
        <v>26</v>
      </c>
      <c r="R15" s="4">
        <v>0</v>
      </c>
      <c r="S15" s="6">
        <v>15</v>
      </c>
      <c r="T15" s="6">
        <v>7</v>
      </c>
      <c r="U15" s="6">
        <v>37</v>
      </c>
      <c r="V15" s="6">
        <f>IF(ISERROR(VLOOKUP($S$15,'TAR FIN'!$A$1:$O$91,15,0)),0,VLOOKUP($S$15,'TAR FIN'!$A$1:$O$91,15,0))</f>
        <v>21.75</v>
      </c>
      <c r="W15" s="6">
        <f>IF(ISERROR(VLOOKUP($T$15,'TAR FIN'!$A$1:$O$91,15,0)),0,VLOOKUP($T$15,'TAR FIN'!$A$1:$O$91,15,0))</f>
        <v>70.59</v>
      </c>
      <c r="X15" s="6">
        <f>IF(ISERROR(VLOOKUP($U$15,'TAR FIN'!$A$1:$O$91,15,0)),0,VLOOKUP($U$15,'TAR FIN'!$A$1:$O$91,15,0))</f>
        <v>133.97</v>
      </c>
      <c r="Y15" s="6">
        <f ca="1">('TUSD BE'!$AM$5+'TUSD BF'!$AM$5+'TUSD CVA'!$AM$5)*1</f>
        <v>27.289864707263106</v>
      </c>
      <c r="Z15" s="6">
        <f ca="1">('TUSD BE'!$AM$7+'TUSD BF'!$AM$7+'TUSD CVA'!$AM$7)*1</f>
        <v>92.6281433384992</v>
      </c>
      <c r="AA15" s="6">
        <f>('TE BE'!$AB$5+'TE BF'!$AB$5+'TE CVA'!$AB$5)*1</f>
        <v>114.76529888966962</v>
      </c>
      <c r="AB15" s="6">
        <f>$K$15*$V$15</f>
        <v>54309.75</v>
      </c>
      <c r="AC15" s="6">
        <f>$M$15*$W$15</f>
        <v>6257.1681900000003</v>
      </c>
      <c r="AD15" s="6">
        <f>$O$15*$X$15</f>
        <v>11875.234770000001</v>
      </c>
      <c r="AE15" s="6">
        <f ca="1">$K$15*$Y$15</f>
        <v>68142.792174035974</v>
      </c>
      <c r="AF15" s="6">
        <f ca="1">$M$15*$Z$15</f>
        <v>8210.6512536679074</v>
      </c>
      <c r="AG15" s="6">
        <f>$O$15*$AA$15</f>
        <v>10172.910858879206</v>
      </c>
    </row>
    <row r="16" spans="1:48" ht="11.25" customHeight="1" x14ac:dyDescent="0.25">
      <c r="A16" s="4" t="s">
        <v>21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2353</v>
      </c>
      <c r="K16" s="6">
        <v>2353</v>
      </c>
      <c r="L16" s="6">
        <v>101.35</v>
      </c>
      <c r="M16" s="6">
        <v>101.35</v>
      </c>
      <c r="N16" s="6">
        <v>101.35</v>
      </c>
      <c r="O16" s="6">
        <v>101.35</v>
      </c>
      <c r="P16" s="6">
        <v>0</v>
      </c>
      <c r="Q16" s="4" t="s">
        <v>26</v>
      </c>
      <c r="R16" s="4">
        <v>0</v>
      </c>
      <c r="S16" s="6">
        <v>15</v>
      </c>
      <c r="T16" s="6">
        <v>7</v>
      </c>
      <c r="U16" s="6">
        <v>37</v>
      </c>
      <c r="V16" s="6">
        <f>IF(ISERROR(VLOOKUP($S$16,'TAR FIN'!$A$1:$O$91,15,0)),0,VLOOKUP($S$16,'TAR FIN'!$A$1:$O$91,15,0))</f>
        <v>21.75</v>
      </c>
      <c r="W16" s="6">
        <f>IF(ISERROR(VLOOKUP($T$16,'TAR FIN'!$A$1:$O$91,15,0)),0,VLOOKUP($T$16,'TAR FIN'!$A$1:$O$91,15,0))</f>
        <v>70.59</v>
      </c>
      <c r="X16" s="6">
        <f>IF(ISERROR(VLOOKUP($U$16,'TAR FIN'!$A$1:$O$91,15,0)),0,VLOOKUP($U$16,'TAR FIN'!$A$1:$O$91,15,0))</f>
        <v>133.97</v>
      </c>
      <c r="Y16" s="6">
        <f ca="1">('TUSD BE'!$AM$5+'TUSD BF'!$AM$5+'TUSD CVA'!$AM$5)*1</f>
        <v>27.289864707263106</v>
      </c>
      <c r="Z16" s="6">
        <f ca="1">('TUSD BE'!$AM$7+'TUSD BF'!$AM$7+'TUSD CVA'!$AM$7)*1</f>
        <v>92.6281433384992</v>
      </c>
      <c r="AA16" s="6">
        <f>('TE BE'!$AB$5+'TE BF'!$AB$5+'TE CVA'!$AB$5)*1</f>
        <v>114.76529888966962</v>
      </c>
      <c r="AB16" s="6">
        <f>$K$16*$V$16</f>
        <v>51177.75</v>
      </c>
      <c r="AC16" s="6">
        <f>$M$16*$W$16</f>
        <v>7154.2965000000004</v>
      </c>
      <c r="AD16" s="6">
        <f>$O$16*$X$16</f>
        <v>13577.859499999999</v>
      </c>
      <c r="AE16" s="6">
        <f ca="1">$K$16*$Y$16</f>
        <v>64213.051656190088</v>
      </c>
      <c r="AF16" s="6">
        <f ca="1">$M$16*$Z$16</f>
        <v>9387.8623273568937</v>
      </c>
      <c r="AG16" s="6">
        <f>$O$16*$AA$16</f>
        <v>11631.463042468016</v>
      </c>
    </row>
    <row r="17" spans="1:33" ht="11.25" customHeight="1" x14ac:dyDescent="0.25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2442</v>
      </c>
      <c r="K17" s="6">
        <v>2442</v>
      </c>
      <c r="L17" s="6">
        <v>110.199</v>
      </c>
      <c r="M17" s="6">
        <v>110.199</v>
      </c>
      <c r="N17" s="6">
        <v>110.199</v>
      </c>
      <c r="O17" s="6">
        <v>110.199</v>
      </c>
      <c r="P17" s="6">
        <v>0</v>
      </c>
      <c r="Q17" s="4" t="s">
        <v>26</v>
      </c>
      <c r="R17" s="4">
        <v>0</v>
      </c>
      <c r="S17" s="6">
        <v>15</v>
      </c>
      <c r="T17" s="6">
        <v>7</v>
      </c>
      <c r="U17" s="6">
        <v>37</v>
      </c>
      <c r="V17" s="6">
        <f>IF(ISERROR(VLOOKUP($S$17,'TAR FIN'!$A$1:$O$91,15,0)),0,VLOOKUP($S$17,'TAR FIN'!$A$1:$O$91,15,0))</f>
        <v>21.75</v>
      </c>
      <c r="W17" s="6">
        <f>IF(ISERROR(VLOOKUP($T$17,'TAR FIN'!$A$1:$O$91,15,0)),0,VLOOKUP($T$17,'TAR FIN'!$A$1:$O$91,15,0))</f>
        <v>70.59</v>
      </c>
      <c r="X17" s="6">
        <f>IF(ISERROR(VLOOKUP($U$17,'TAR FIN'!$A$1:$O$91,15,0)),0,VLOOKUP($U$17,'TAR FIN'!$A$1:$O$91,15,0))</f>
        <v>133.97</v>
      </c>
      <c r="Y17" s="6">
        <f ca="1">('TUSD BE'!$AM$5+'TUSD BF'!$AM$5+'TUSD CVA'!$AM$5)*1</f>
        <v>27.289864707263106</v>
      </c>
      <c r="Z17" s="6">
        <f ca="1">('TUSD BE'!$AM$7+'TUSD BF'!$AM$7+'TUSD CVA'!$AM$7)*1</f>
        <v>92.6281433384992</v>
      </c>
      <c r="AA17" s="6">
        <f>('TE BE'!$AB$5+'TE BF'!$AB$5+'TE CVA'!$AB$5)*1</f>
        <v>114.76529888966962</v>
      </c>
      <c r="AB17" s="6">
        <f>$K$17*$V$17</f>
        <v>53113.5</v>
      </c>
      <c r="AC17" s="6">
        <f>$M$17*$W$17</f>
        <v>7778.9474100000007</v>
      </c>
      <c r="AD17" s="6">
        <f>$O$17*$X$17</f>
        <v>14763.36003</v>
      </c>
      <c r="AE17" s="6">
        <f ca="1">$K$17*$Y$17</f>
        <v>66641.849615136511</v>
      </c>
      <c r="AF17" s="6">
        <f ca="1">$M$17*$Z$17</f>
        <v>10207.528767759273</v>
      </c>
      <c r="AG17" s="6">
        <f>$O$17*$AA$17</f>
        <v>12647.021172342702</v>
      </c>
    </row>
    <row r="18" spans="1:33" ht="11.25" customHeight="1" x14ac:dyDescent="0.25">
      <c r="A18" s="4" t="s">
        <v>21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2441</v>
      </c>
      <c r="K18" s="6">
        <v>2441</v>
      </c>
      <c r="L18" s="6">
        <v>123.512</v>
      </c>
      <c r="M18" s="6">
        <v>123.512</v>
      </c>
      <c r="N18" s="6">
        <v>123.512</v>
      </c>
      <c r="O18" s="6">
        <v>123.512</v>
      </c>
      <c r="P18" s="6">
        <v>0</v>
      </c>
      <c r="Q18" s="4" t="s">
        <v>26</v>
      </c>
      <c r="R18" s="4">
        <v>0</v>
      </c>
      <c r="S18" s="6">
        <v>15</v>
      </c>
      <c r="T18" s="6">
        <v>7</v>
      </c>
      <c r="U18" s="6">
        <v>37</v>
      </c>
      <c r="V18" s="6">
        <f>IF(ISERROR(VLOOKUP($S$18,'TAR FIN'!$A$1:$O$91,15,0)),0,VLOOKUP($S$18,'TAR FIN'!$A$1:$O$91,15,0))</f>
        <v>21.75</v>
      </c>
      <c r="W18" s="6">
        <f>IF(ISERROR(VLOOKUP($T$18,'TAR FIN'!$A$1:$O$91,15,0)),0,VLOOKUP($T$18,'TAR FIN'!$A$1:$O$91,15,0))</f>
        <v>70.59</v>
      </c>
      <c r="X18" s="6">
        <f>IF(ISERROR(VLOOKUP($U$18,'TAR FIN'!$A$1:$O$91,15,0)),0,VLOOKUP($U$18,'TAR FIN'!$A$1:$O$91,15,0))</f>
        <v>133.97</v>
      </c>
      <c r="Y18" s="6">
        <f ca="1">('TUSD BE'!$AM$5+'TUSD BF'!$AM$5+'TUSD CVA'!$AM$5)*1</f>
        <v>27.289864707263106</v>
      </c>
      <c r="Z18" s="6">
        <f ca="1">('TUSD BE'!$AM$7+'TUSD BF'!$AM$7+'TUSD CVA'!$AM$7)*1</f>
        <v>92.6281433384992</v>
      </c>
      <c r="AA18" s="6">
        <f>('TE BE'!$AB$5+'TE BF'!$AB$5+'TE CVA'!$AB$5)*1</f>
        <v>114.76529888966962</v>
      </c>
      <c r="AB18" s="6">
        <f>$K$18*$V$18</f>
        <v>53091.75</v>
      </c>
      <c r="AC18" s="6">
        <f>$M$18*$W$18</f>
        <v>8718.7120800000012</v>
      </c>
      <c r="AD18" s="6">
        <f>$O$18*$X$18</f>
        <v>16546.90264</v>
      </c>
      <c r="AE18" s="6">
        <f ca="1">$K$18*$Y$18</f>
        <v>66614.559750429238</v>
      </c>
      <c r="AF18" s="6">
        <f ca="1">$M$18*$Z$18</f>
        <v>11440.687240024714</v>
      </c>
      <c r="AG18" s="6">
        <f>$O$18*$AA$18</f>
        <v>14174.891596460875</v>
      </c>
    </row>
    <row r="19" spans="1:33" ht="11.25" customHeight="1" x14ac:dyDescent="0.25">
      <c r="A19" s="4" t="s">
        <v>21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2359</v>
      </c>
      <c r="K19" s="6">
        <v>2359</v>
      </c>
      <c r="L19" s="6">
        <v>122.203</v>
      </c>
      <c r="M19" s="6">
        <v>122.203</v>
      </c>
      <c r="N19" s="6">
        <v>122.203</v>
      </c>
      <c r="O19" s="6">
        <v>122.203</v>
      </c>
      <c r="P19" s="6">
        <v>0</v>
      </c>
      <c r="Q19" s="4" t="s">
        <v>26</v>
      </c>
      <c r="R19" s="4">
        <v>0</v>
      </c>
      <c r="S19" s="6">
        <v>15</v>
      </c>
      <c r="T19" s="6">
        <v>7</v>
      </c>
      <c r="U19" s="6">
        <v>37</v>
      </c>
      <c r="V19" s="6">
        <f>IF(ISERROR(VLOOKUP($S$19,'TAR FIN'!$A$1:$O$91,15,0)),0,VLOOKUP($S$19,'TAR FIN'!$A$1:$O$91,15,0))</f>
        <v>21.75</v>
      </c>
      <c r="W19" s="6">
        <f>IF(ISERROR(VLOOKUP($T$19,'TAR FIN'!$A$1:$O$91,15,0)),0,VLOOKUP($T$19,'TAR FIN'!$A$1:$O$91,15,0))</f>
        <v>70.59</v>
      </c>
      <c r="X19" s="6">
        <f>IF(ISERROR(VLOOKUP($U$19,'TAR FIN'!$A$1:$O$91,15,0)),0,VLOOKUP($U$19,'TAR FIN'!$A$1:$O$91,15,0))</f>
        <v>133.97</v>
      </c>
      <c r="Y19" s="6">
        <f ca="1">('TUSD BE'!$AM$5+'TUSD BF'!$AM$5+'TUSD CVA'!$AM$5)*1</f>
        <v>27.289864707263106</v>
      </c>
      <c r="Z19" s="6">
        <f ca="1">('TUSD BE'!$AM$7+'TUSD BF'!$AM$7+'TUSD CVA'!$AM$7)*1</f>
        <v>92.6281433384992</v>
      </c>
      <c r="AA19" s="6">
        <f>('TE BE'!$AB$5+'TE BF'!$AB$5+'TE CVA'!$AB$5)*1</f>
        <v>114.76529888966962</v>
      </c>
      <c r="AB19" s="6">
        <f>$K$19*$V$19</f>
        <v>51308.25</v>
      </c>
      <c r="AC19" s="6">
        <f>$M$19*$W$19</f>
        <v>8626.3097699999998</v>
      </c>
      <c r="AD19" s="6">
        <f>$O$19*$X$19</f>
        <v>16371.535910000001</v>
      </c>
      <c r="AE19" s="6">
        <f ca="1">$K$19*$Y$19</f>
        <v>64376.790844433664</v>
      </c>
      <c r="AF19" s="6">
        <f ca="1">$M$19*$Z$19</f>
        <v>11319.437000394619</v>
      </c>
      <c r="AG19" s="6">
        <f>$O$19*$AA$19</f>
        <v>14024.663820214297</v>
      </c>
    </row>
    <row r="20" spans="1:33" ht="11.25" customHeight="1" x14ac:dyDescent="0.25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2477</v>
      </c>
      <c r="K20" s="6">
        <v>2477</v>
      </c>
      <c r="L20" s="6">
        <v>97.435000000000002</v>
      </c>
      <c r="M20" s="6">
        <v>97.435000000000002</v>
      </c>
      <c r="N20" s="6">
        <v>97.435000000000002</v>
      </c>
      <c r="O20" s="6">
        <v>97.435000000000002</v>
      </c>
      <c r="P20" s="6">
        <v>0</v>
      </c>
      <c r="Q20" s="4" t="s">
        <v>26</v>
      </c>
      <c r="R20" s="4">
        <v>0</v>
      </c>
      <c r="S20" s="6">
        <v>15</v>
      </c>
      <c r="T20" s="6">
        <v>7</v>
      </c>
      <c r="U20" s="6">
        <v>37</v>
      </c>
      <c r="V20" s="6">
        <f>IF(ISERROR(VLOOKUP($S$20,'TAR FIN'!$A$1:$O$91,15,0)),0,VLOOKUP($S$20,'TAR FIN'!$A$1:$O$91,15,0))</f>
        <v>21.75</v>
      </c>
      <c r="W20" s="6">
        <f>IF(ISERROR(VLOOKUP($T$20,'TAR FIN'!$A$1:$O$91,15,0)),0,VLOOKUP($T$20,'TAR FIN'!$A$1:$O$91,15,0))</f>
        <v>70.59</v>
      </c>
      <c r="X20" s="6">
        <f>IF(ISERROR(VLOOKUP($U$20,'TAR FIN'!$A$1:$O$91,15,0)),0,VLOOKUP($U$20,'TAR FIN'!$A$1:$O$91,15,0))</f>
        <v>133.97</v>
      </c>
      <c r="Y20" s="6">
        <f ca="1">('TUSD BE'!$AM$5+'TUSD BF'!$AM$5+'TUSD CVA'!$AM$5)*1</f>
        <v>27.289864707263106</v>
      </c>
      <c r="Z20" s="6">
        <f ca="1">('TUSD BE'!$AM$7+'TUSD BF'!$AM$7+'TUSD CVA'!$AM$7)*1</f>
        <v>92.6281433384992</v>
      </c>
      <c r="AA20" s="6">
        <f>('TE BE'!$AB$5+'TE BF'!$AB$5+'TE CVA'!$AB$5)*1</f>
        <v>114.76529888966962</v>
      </c>
      <c r="AB20" s="6">
        <f>$K$20*$V$20</f>
        <v>53874.75</v>
      </c>
      <c r="AC20" s="6">
        <f>$M$20*$W$20</f>
        <v>6877.9366500000006</v>
      </c>
      <c r="AD20" s="6">
        <f>$O$20*$X$20</f>
        <v>13053.36695</v>
      </c>
      <c r="AE20" s="6">
        <f ca="1">$K$20*$Y$20</f>
        <v>67596.994879890713</v>
      </c>
      <c r="AF20" s="6">
        <f ca="1">$M$20*$Z$20</f>
        <v>9025.2231461866704</v>
      </c>
      <c r="AG20" s="6">
        <f>$O$20*$AA$20</f>
        <v>11182.156897314961</v>
      </c>
    </row>
    <row r="21" spans="1:33" ht="11.25" customHeight="1" x14ac:dyDescent="0.25">
      <c r="A21" s="4" t="s">
        <v>21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2505</v>
      </c>
      <c r="K21" s="6">
        <v>2505</v>
      </c>
      <c r="L21" s="6">
        <v>82.11</v>
      </c>
      <c r="M21" s="6">
        <v>82.11</v>
      </c>
      <c r="N21" s="6">
        <v>82.11</v>
      </c>
      <c r="O21" s="6">
        <v>82.11</v>
      </c>
      <c r="P21" s="6">
        <v>0</v>
      </c>
      <c r="Q21" s="4" t="s">
        <v>26</v>
      </c>
      <c r="R21" s="4">
        <v>0</v>
      </c>
      <c r="S21" s="6">
        <v>15</v>
      </c>
      <c r="T21" s="6">
        <v>7</v>
      </c>
      <c r="U21" s="6">
        <v>37</v>
      </c>
      <c r="V21" s="6">
        <f>IF(ISERROR(VLOOKUP($S$21,'TAR FIN'!$A$1:$O$91,15,0)),0,VLOOKUP($S$21,'TAR FIN'!$A$1:$O$91,15,0))</f>
        <v>21.75</v>
      </c>
      <c r="W21" s="6">
        <f>IF(ISERROR(VLOOKUP($T$21,'TAR FIN'!$A$1:$O$91,15,0)),0,VLOOKUP($T$21,'TAR FIN'!$A$1:$O$91,15,0))</f>
        <v>70.59</v>
      </c>
      <c r="X21" s="6">
        <f>IF(ISERROR(VLOOKUP($U$21,'TAR FIN'!$A$1:$O$91,15,0)),0,VLOOKUP($U$21,'TAR FIN'!$A$1:$O$91,15,0))</f>
        <v>133.97</v>
      </c>
      <c r="Y21" s="6">
        <f ca="1">('TUSD BE'!$AM$5+'TUSD BF'!$AM$5+'TUSD CVA'!$AM$5)*1</f>
        <v>27.289864707263106</v>
      </c>
      <c r="Z21" s="6">
        <f ca="1">('TUSD BE'!$AM$7+'TUSD BF'!$AM$7+'TUSD CVA'!$AM$7)*1</f>
        <v>92.6281433384992</v>
      </c>
      <c r="AA21" s="6">
        <f>('TE BE'!$AB$5+'TE BF'!$AB$5+'TE CVA'!$AB$5)*1</f>
        <v>114.76529888966962</v>
      </c>
      <c r="AB21" s="6">
        <f>$K$21*$V$21</f>
        <v>54483.75</v>
      </c>
      <c r="AC21" s="6">
        <f>$M$21*$W$21</f>
        <v>5796.1449000000002</v>
      </c>
      <c r="AD21" s="6">
        <f>$O$21*$X$21</f>
        <v>11000.2767</v>
      </c>
      <c r="AE21" s="6">
        <f ca="1">$K$21*$Y$21</f>
        <v>68361.111091694082</v>
      </c>
      <c r="AF21" s="6">
        <f ca="1">$M$21*$Z$21</f>
        <v>7605.696849524169</v>
      </c>
      <c r="AG21" s="6">
        <f>$O$21*$AA$21</f>
        <v>9423.3786918307724</v>
      </c>
    </row>
    <row r="22" spans="1:33" ht="11.25" customHeight="1" x14ac:dyDescent="0.25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2460</v>
      </c>
      <c r="K22" s="6">
        <v>2460</v>
      </c>
      <c r="L22" s="6">
        <v>106.626</v>
      </c>
      <c r="M22" s="6">
        <v>106.626</v>
      </c>
      <c r="N22" s="6">
        <v>106.626</v>
      </c>
      <c r="O22" s="6">
        <v>106.626</v>
      </c>
      <c r="P22" s="6">
        <v>0</v>
      </c>
      <c r="Q22" s="4" t="s">
        <v>26</v>
      </c>
      <c r="R22" s="4">
        <v>0</v>
      </c>
      <c r="S22" s="6">
        <v>15</v>
      </c>
      <c r="T22" s="6">
        <v>7</v>
      </c>
      <c r="U22" s="6">
        <v>37</v>
      </c>
      <c r="V22" s="6">
        <f>IF(ISERROR(VLOOKUP($S$22,'TAR FIN'!$A$1:$O$91,15,0)),0,VLOOKUP($S$22,'TAR FIN'!$A$1:$O$91,15,0))</f>
        <v>21.75</v>
      </c>
      <c r="W22" s="6">
        <f>IF(ISERROR(VLOOKUP($T$22,'TAR FIN'!$A$1:$O$91,15,0)),0,VLOOKUP($T$22,'TAR FIN'!$A$1:$O$91,15,0))</f>
        <v>70.59</v>
      </c>
      <c r="X22" s="6">
        <f>IF(ISERROR(VLOOKUP($U$22,'TAR FIN'!$A$1:$O$91,15,0)),0,VLOOKUP($U$22,'TAR FIN'!$A$1:$O$91,15,0))</f>
        <v>133.97</v>
      </c>
      <c r="Y22" s="6">
        <f ca="1">('TUSD BE'!$AM$5+'TUSD BF'!$AM$5+'TUSD CVA'!$AM$5)*1</f>
        <v>27.289864707263106</v>
      </c>
      <c r="Z22" s="6">
        <f ca="1">('TUSD BE'!$AM$7+'TUSD BF'!$AM$7+'TUSD CVA'!$AM$7)*1</f>
        <v>92.6281433384992</v>
      </c>
      <c r="AA22" s="6">
        <f>('TE BE'!$AB$5+'TE BF'!$AB$5+'TE CVA'!$AB$5)*1</f>
        <v>114.76529888966962</v>
      </c>
      <c r="AB22" s="6">
        <f>$K$22*$V$22</f>
        <v>53505</v>
      </c>
      <c r="AC22" s="6">
        <f>$M$22*$W$22</f>
        <v>7526.7293400000008</v>
      </c>
      <c r="AD22" s="6">
        <f>$O$22*$X$22</f>
        <v>14284.685220000001</v>
      </c>
      <c r="AE22" s="6">
        <f ca="1">$K$22*$Y$22</f>
        <v>67133.067179867241</v>
      </c>
      <c r="AF22" s="6">
        <f ca="1">$M$22*$Z$22</f>
        <v>9876.5684116108168</v>
      </c>
      <c r="AG22" s="6">
        <f>$O$22*$AA$22</f>
        <v>12236.964759409913</v>
      </c>
    </row>
    <row r="23" spans="1:33" ht="11.25" customHeight="1" x14ac:dyDescent="0.25">
      <c r="A23" s="4" t="s">
        <v>21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2467</v>
      </c>
      <c r="K23" s="6">
        <v>2467</v>
      </c>
      <c r="L23" s="6">
        <v>78.682000000000002</v>
      </c>
      <c r="M23" s="6">
        <v>78.682000000000002</v>
      </c>
      <c r="N23" s="6">
        <v>78.682000000000002</v>
      </c>
      <c r="O23" s="6">
        <v>78.682000000000002</v>
      </c>
      <c r="P23" s="6">
        <v>0</v>
      </c>
      <c r="Q23" s="4" t="s">
        <v>26</v>
      </c>
      <c r="R23" s="4">
        <v>0</v>
      </c>
      <c r="S23" s="6">
        <v>15</v>
      </c>
      <c r="T23" s="6">
        <v>7</v>
      </c>
      <c r="U23" s="6">
        <v>37</v>
      </c>
      <c r="V23" s="6">
        <f>IF(ISERROR(VLOOKUP($S$23,'TAR FIN'!$A$1:$O$91,15,0)),0,VLOOKUP($S$23,'TAR FIN'!$A$1:$O$91,15,0))</f>
        <v>21.75</v>
      </c>
      <c r="W23" s="6">
        <f>IF(ISERROR(VLOOKUP($T$23,'TAR FIN'!$A$1:$O$91,15,0)),0,VLOOKUP($T$23,'TAR FIN'!$A$1:$O$91,15,0))</f>
        <v>70.59</v>
      </c>
      <c r="X23" s="6">
        <f>IF(ISERROR(VLOOKUP($U$23,'TAR FIN'!$A$1:$O$91,15,0)),0,VLOOKUP($U$23,'TAR FIN'!$A$1:$O$91,15,0))</f>
        <v>133.97</v>
      </c>
      <c r="Y23" s="6">
        <f ca="1">('TUSD BE'!$AM$5+'TUSD BF'!$AM$5+'TUSD CVA'!$AM$5)*1</f>
        <v>27.289864707263106</v>
      </c>
      <c r="Z23" s="6">
        <f ca="1">('TUSD BE'!$AM$7+'TUSD BF'!$AM$7+'TUSD CVA'!$AM$7)*1</f>
        <v>92.6281433384992</v>
      </c>
      <c r="AA23" s="6">
        <f>('TE BE'!$AB$5+'TE BF'!$AB$5+'TE CVA'!$AB$5)*1</f>
        <v>114.76529888966962</v>
      </c>
      <c r="AB23" s="6">
        <f>$K$23*$V$23</f>
        <v>53657.25</v>
      </c>
      <c r="AC23" s="6">
        <f>$M$23*$W$23</f>
        <v>5554.1623800000007</v>
      </c>
      <c r="AD23" s="6">
        <f>$O$23*$X$23</f>
        <v>10541.027540000001</v>
      </c>
      <c r="AE23" s="6">
        <f ca="1">$K$23*$Y$23</f>
        <v>67324.09623281809</v>
      </c>
      <c r="AF23" s="6">
        <f ca="1">$M$23*$Z$23</f>
        <v>7288.1675741597946</v>
      </c>
      <c r="AG23" s="6">
        <f>$O$23*$AA$23</f>
        <v>9029.9632472369849</v>
      </c>
    </row>
    <row r="24" spans="1:33" ht="11.25" customHeight="1" x14ac:dyDescent="0.25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2437</v>
      </c>
      <c r="K24" s="6">
        <v>2437</v>
      </c>
      <c r="L24" s="6">
        <v>84.813999999999993</v>
      </c>
      <c r="M24" s="6">
        <v>84.813999999999993</v>
      </c>
      <c r="N24" s="6">
        <v>84.813999999999993</v>
      </c>
      <c r="O24" s="6">
        <v>84.813999999999993</v>
      </c>
      <c r="P24" s="6">
        <v>0</v>
      </c>
      <c r="Q24" s="4" t="s">
        <v>26</v>
      </c>
      <c r="R24" s="4">
        <v>0</v>
      </c>
      <c r="S24" s="6">
        <v>15</v>
      </c>
      <c r="T24" s="6">
        <v>7</v>
      </c>
      <c r="U24" s="6">
        <v>37</v>
      </c>
      <c r="V24" s="6">
        <f>IF(ISERROR(VLOOKUP($S$24,'TAR FIN'!$A$1:$O$91,15,0)),0,VLOOKUP($S$24,'TAR FIN'!$A$1:$O$91,15,0))</f>
        <v>21.75</v>
      </c>
      <c r="W24" s="6">
        <f>IF(ISERROR(VLOOKUP($T$24,'TAR FIN'!$A$1:$O$91,15,0)),0,VLOOKUP($T$24,'TAR FIN'!$A$1:$O$91,15,0))</f>
        <v>70.59</v>
      </c>
      <c r="X24" s="6">
        <f>IF(ISERROR(VLOOKUP($U$24,'TAR FIN'!$A$1:$O$91,15,0)),0,VLOOKUP($U$24,'TAR FIN'!$A$1:$O$91,15,0))</f>
        <v>133.97</v>
      </c>
      <c r="Y24" s="6">
        <f ca="1">('TUSD BE'!$AM$5+'TUSD BF'!$AM$5+'TUSD CVA'!$AM$5)*1</f>
        <v>27.289864707263106</v>
      </c>
      <c r="Z24" s="6">
        <f ca="1">('TUSD BE'!$AM$7+'TUSD BF'!$AM$7+'TUSD CVA'!$AM$7)*1</f>
        <v>92.6281433384992</v>
      </c>
      <c r="AA24" s="6">
        <f>('TE BE'!$AB$5+'TE BF'!$AB$5+'TE CVA'!$AB$5)*1</f>
        <v>114.76529888966962</v>
      </c>
      <c r="AB24" s="6">
        <f>$K$24*$V$24</f>
        <v>53004.75</v>
      </c>
      <c r="AC24" s="6">
        <f>$M$24*$W$24</f>
        <v>5987.0202600000002</v>
      </c>
      <c r="AD24" s="6">
        <f>$O$24*$X$24</f>
        <v>11362.531579999999</v>
      </c>
      <c r="AE24" s="6">
        <f ca="1">$K$24*$Y$24</f>
        <v>66505.400291600192</v>
      </c>
      <c r="AF24" s="6">
        <f ca="1">$M$24*$Z$24</f>
        <v>7856.1633491114708</v>
      </c>
      <c r="AG24" s="6">
        <f>$O$24*$AA$24</f>
        <v>9733.7040600284381</v>
      </c>
    </row>
    <row r="25" spans="1:33" ht="11.25" customHeight="1" x14ac:dyDescent="0.25">
      <c r="A25" s="4" t="s">
        <v>57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2437</v>
      </c>
      <c r="K25" s="6">
        <v>2437</v>
      </c>
      <c r="L25" s="6">
        <v>84.813999999999993</v>
      </c>
      <c r="M25" s="6">
        <v>84.813999999999993</v>
      </c>
      <c r="N25" s="6">
        <v>84.813999999999993</v>
      </c>
      <c r="O25" s="6">
        <v>84.813999999999993</v>
      </c>
      <c r="P25" s="6">
        <v>0</v>
      </c>
      <c r="Q25" s="4" t="s">
        <v>26</v>
      </c>
      <c r="R25" s="4">
        <v>0</v>
      </c>
      <c r="S25" s="6">
        <v>15</v>
      </c>
      <c r="T25" s="6">
        <v>7</v>
      </c>
      <c r="U25" s="6">
        <v>37</v>
      </c>
      <c r="V25" s="6">
        <f>IF(ISERROR(VLOOKUP($S$25,'TAR FIN'!$A$1:$O$91,15,0)),0,VLOOKUP($S$25,'TAR FIN'!$A$1:$O$91,15,0))</f>
        <v>21.75</v>
      </c>
      <c r="W25" s="6">
        <f>IF(ISERROR(VLOOKUP($T$25,'TAR FIN'!$A$1:$O$91,15,0)),0,VLOOKUP($T$25,'TAR FIN'!$A$1:$O$91,15,0))</f>
        <v>70.59</v>
      </c>
      <c r="X25" s="6">
        <f>IF(ISERROR(VLOOKUP($U$25,'TAR FIN'!$A$1:$O$91,15,0)),0,VLOOKUP($U$25,'TAR FIN'!$A$1:$O$91,15,0))</f>
        <v>133.97</v>
      </c>
      <c r="Y25" s="6">
        <f ca="1">('TUSD BE'!$AM$5+'TUSD BF'!$AM$5+'TUSD CVA'!$AM$5)*1</f>
        <v>27.289864707263106</v>
      </c>
      <c r="Z25" s="6">
        <f ca="1">('TUSD BE'!$AM$7+'TUSD BF'!$AM$7+'TUSD CVA'!$AM$7)*1</f>
        <v>92.6281433384992</v>
      </c>
      <c r="AA25" s="6">
        <f>('TE BE'!$AB$5+'TE BF'!$AB$5+'TE CVA'!$AB$5)*1</f>
        <v>114.76529888966962</v>
      </c>
      <c r="AB25" s="6">
        <f>$K$25*$V$25</f>
        <v>53004.75</v>
      </c>
      <c r="AC25" s="6">
        <f>$M$25*$W$25</f>
        <v>5987.0202600000002</v>
      </c>
      <c r="AD25" s="6">
        <f>$O$25*$X$25</f>
        <v>11362.531579999999</v>
      </c>
      <c r="AE25" s="6">
        <f ca="1">$K$25*$Y$25</f>
        <v>66505.400291600192</v>
      </c>
      <c r="AF25" s="6">
        <f ca="1">$M$25*$Z$25</f>
        <v>7856.1633491114708</v>
      </c>
      <c r="AG25" s="6">
        <f>$O$25*$AA$25</f>
        <v>9733.7040600284381</v>
      </c>
    </row>
    <row r="26" spans="1:33" ht="11.25" customHeight="1" x14ac:dyDescent="0.25">
      <c r="A26" s="4" t="s">
        <v>21</v>
      </c>
      <c r="B26" s="4" t="s">
        <v>39</v>
      </c>
      <c r="C26" s="4" t="s">
        <v>36</v>
      </c>
      <c r="D26" s="4" t="s">
        <v>34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44440</v>
      </c>
      <c r="J26" s="6">
        <v>6050</v>
      </c>
      <c r="K26" s="6">
        <v>6050</v>
      </c>
      <c r="L26" s="6">
        <v>2995.3240000000001</v>
      </c>
      <c r="M26" s="6">
        <v>2995.3240000000001</v>
      </c>
      <c r="N26" s="6">
        <v>2995.3240000000001</v>
      </c>
      <c r="O26" s="6">
        <v>2995.3240000000001</v>
      </c>
      <c r="P26" s="6">
        <v>0</v>
      </c>
      <c r="Q26" s="4" t="s">
        <v>26</v>
      </c>
      <c r="R26" s="4">
        <v>0</v>
      </c>
      <c r="S26" s="6">
        <v>12</v>
      </c>
      <c r="T26" s="6">
        <v>10</v>
      </c>
      <c r="U26" s="6">
        <v>85</v>
      </c>
      <c r="V26" s="6">
        <f>IF(ISERROR(VLOOKUP($S$26,'TAR FIN'!$A$1:$O$91,15,0)),0,VLOOKUP($S$26,'TAR FIN'!$A$1:$O$91,15,0))</f>
        <v>14.45</v>
      </c>
      <c r="W26" s="6">
        <f>IF(ISERROR(VLOOKUP($T$26,'TAR FIN'!$A$1:$O$91,15,0)),0,VLOOKUP($T$26,'TAR FIN'!$A$1:$O$91,15,0))</f>
        <v>90.67</v>
      </c>
      <c r="X26" s="6">
        <f>IF(ISERROR(VLOOKUP($U$26,'TAR FIN'!$A$1:$O$91,15,0)),0,VLOOKUP($U$26,'TAR FIN'!$A$1:$O$91,15,0))</f>
        <v>133.97</v>
      </c>
      <c r="Y26" s="6">
        <f ca="1">('TUSD BE'!$AM$10+'TUSD BF'!$AM$10+'TUSD CVA'!$AM$10)*1</f>
        <v>18.372313529244348</v>
      </c>
      <c r="Z26" s="6">
        <f ca="1">('TUSD BE'!$AM$11+'TUSD BF'!$AM$11+'TUSD CVA'!$AM$11)*1</f>
        <v>121.64342985575733</v>
      </c>
      <c r="AA26" s="6">
        <f>('TE BE'!$AB$8+'TE BF'!$AB$8+'TE CVA'!$AB$8)*1</f>
        <v>114.76529888966962</v>
      </c>
      <c r="AB26" s="6">
        <f>$K$26*$V$26</f>
        <v>87422.5</v>
      </c>
      <c r="AC26" s="6">
        <f>$M$26*$W$26</f>
        <v>271586.02708000003</v>
      </c>
      <c r="AD26" s="6">
        <f>$O$26*$X$26</f>
        <v>401283.55628000002</v>
      </c>
      <c r="AE26" s="6">
        <f ca="1">$K$26*$Y$26</f>
        <v>111152.4968519283</v>
      </c>
      <c r="AF26" s="6">
        <f ca="1">$M$26*$Z$26</f>
        <v>364361.48488926649</v>
      </c>
      <c r="AG26" s="6">
        <f>$O$26*$AA$26</f>
        <v>343759.25413140078</v>
      </c>
    </row>
    <row r="27" spans="1:33" ht="11.25" customHeight="1" x14ac:dyDescent="0.25">
      <c r="A27" s="4" t="s">
        <v>21</v>
      </c>
      <c r="B27" s="4" t="s">
        <v>39</v>
      </c>
      <c r="C27" s="4" t="s">
        <v>36</v>
      </c>
      <c r="D27" s="4" t="s">
        <v>34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44470</v>
      </c>
      <c r="J27" s="6">
        <v>6088</v>
      </c>
      <c r="K27" s="6">
        <v>6088</v>
      </c>
      <c r="L27" s="6">
        <v>2873.0790000000002</v>
      </c>
      <c r="M27" s="6">
        <v>2873.0790000000002</v>
      </c>
      <c r="N27" s="6">
        <v>2873.0790000000002</v>
      </c>
      <c r="O27" s="6">
        <v>2873.0790000000002</v>
      </c>
      <c r="P27" s="6">
        <v>0</v>
      </c>
      <c r="Q27" s="4" t="s">
        <v>26</v>
      </c>
      <c r="R27" s="4">
        <v>0</v>
      </c>
      <c r="S27" s="6">
        <v>12</v>
      </c>
      <c r="T27" s="6">
        <v>10</v>
      </c>
      <c r="U27" s="6">
        <v>85</v>
      </c>
      <c r="V27" s="6">
        <f>IF(ISERROR(VLOOKUP($S$27,'TAR FIN'!$A$1:$O$91,15,0)),0,VLOOKUP($S$27,'TAR FIN'!$A$1:$O$91,15,0))</f>
        <v>14.45</v>
      </c>
      <c r="W27" s="6">
        <f>IF(ISERROR(VLOOKUP($T$27,'TAR FIN'!$A$1:$O$91,15,0)),0,VLOOKUP($T$27,'TAR FIN'!$A$1:$O$91,15,0))</f>
        <v>90.67</v>
      </c>
      <c r="X27" s="6">
        <f>IF(ISERROR(VLOOKUP($U$27,'TAR FIN'!$A$1:$O$91,15,0)),0,VLOOKUP($U$27,'TAR FIN'!$A$1:$O$91,15,0))</f>
        <v>133.97</v>
      </c>
      <c r="Y27" s="6">
        <f ca="1">('TUSD BE'!$AM$10+'TUSD BF'!$AM$10+'TUSD CVA'!$AM$10)*1</f>
        <v>18.372313529244348</v>
      </c>
      <c r="Z27" s="6">
        <f ca="1">('TUSD BE'!$AM$11+'TUSD BF'!$AM$11+'TUSD CVA'!$AM$11)*1</f>
        <v>121.64342985575733</v>
      </c>
      <c r="AA27" s="6">
        <f>('TE BE'!$AB$8+'TE BF'!$AB$8+'TE CVA'!$AB$8)*1</f>
        <v>114.76529888966962</v>
      </c>
      <c r="AB27" s="6">
        <f>$K$27*$V$27</f>
        <v>87971.599999999991</v>
      </c>
      <c r="AC27" s="6">
        <f>$M$27*$W$27</f>
        <v>260502.07293000002</v>
      </c>
      <c r="AD27" s="6">
        <f>$O$27*$X$27</f>
        <v>384906.39363000001</v>
      </c>
      <c r="AE27" s="6">
        <f ca="1">$K$27*$Y$27</f>
        <v>111850.64476603959</v>
      </c>
      <c r="AF27" s="6">
        <f ca="1">$M$27*$Z$27</f>
        <v>349491.18380654947</v>
      </c>
      <c r="AG27" s="6">
        <f>$O$27*$AA$27</f>
        <v>329729.77016863314</v>
      </c>
    </row>
    <row r="28" spans="1:33" ht="11.25" customHeight="1" x14ac:dyDescent="0.25">
      <c r="A28" s="4" t="s">
        <v>21</v>
      </c>
      <c r="B28" s="4" t="s">
        <v>39</v>
      </c>
      <c r="C28" s="4" t="s">
        <v>36</v>
      </c>
      <c r="D28" s="4" t="s">
        <v>34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44501</v>
      </c>
      <c r="J28" s="6">
        <v>6276</v>
      </c>
      <c r="K28" s="6">
        <v>6276</v>
      </c>
      <c r="L28" s="6">
        <v>3062.462</v>
      </c>
      <c r="M28" s="6">
        <v>3062.462</v>
      </c>
      <c r="N28" s="6">
        <v>3062.462</v>
      </c>
      <c r="O28" s="6">
        <v>3062.462</v>
      </c>
      <c r="P28" s="6">
        <v>0</v>
      </c>
      <c r="Q28" s="4" t="s">
        <v>26</v>
      </c>
      <c r="R28" s="4">
        <v>0</v>
      </c>
      <c r="S28" s="6">
        <v>12</v>
      </c>
      <c r="T28" s="6">
        <v>10</v>
      </c>
      <c r="U28" s="6">
        <v>85</v>
      </c>
      <c r="V28" s="6">
        <f>IF(ISERROR(VLOOKUP($S$28,'TAR FIN'!$A$1:$O$91,15,0)),0,VLOOKUP($S$28,'TAR FIN'!$A$1:$O$91,15,0))</f>
        <v>14.45</v>
      </c>
      <c r="W28" s="6">
        <f>IF(ISERROR(VLOOKUP($T$28,'TAR FIN'!$A$1:$O$91,15,0)),0,VLOOKUP($T$28,'TAR FIN'!$A$1:$O$91,15,0))</f>
        <v>90.67</v>
      </c>
      <c r="X28" s="6">
        <f>IF(ISERROR(VLOOKUP($U$28,'TAR FIN'!$A$1:$O$91,15,0)),0,VLOOKUP($U$28,'TAR FIN'!$A$1:$O$91,15,0))</f>
        <v>133.97</v>
      </c>
      <c r="Y28" s="6">
        <f ca="1">('TUSD BE'!$AM$10+'TUSD BF'!$AM$10+'TUSD CVA'!$AM$10)*1</f>
        <v>18.372313529244348</v>
      </c>
      <c r="Z28" s="6">
        <f ca="1">('TUSD BE'!$AM$11+'TUSD BF'!$AM$11+'TUSD CVA'!$AM$11)*1</f>
        <v>121.64342985575733</v>
      </c>
      <c r="AA28" s="6">
        <f>('TE BE'!$AB$8+'TE BF'!$AB$8+'TE CVA'!$AB$8)*1</f>
        <v>114.76529888966962</v>
      </c>
      <c r="AB28" s="6">
        <f>$K$28*$V$28</f>
        <v>90688.2</v>
      </c>
      <c r="AC28" s="6">
        <f>$M$28*$W$28</f>
        <v>277673.42953999998</v>
      </c>
      <c r="AD28" s="6">
        <f>$O$28*$X$28</f>
        <v>410278.03414</v>
      </c>
      <c r="AE28" s="6">
        <f ca="1">$K$28*$Y$28</f>
        <v>115304.63970953753</v>
      </c>
      <c r="AF28" s="6">
        <f ca="1">$M$28*$Z$28</f>
        <v>372528.3814829223</v>
      </c>
      <c r="AG28" s="6">
        <f>$O$28*$AA$28</f>
        <v>351464.36676825542</v>
      </c>
    </row>
    <row r="29" spans="1:33" ht="11.25" customHeight="1" x14ac:dyDescent="0.25">
      <c r="A29" s="4" t="s">
        <v>21</v>
      </c>
      <c r="B29" s="4" t="s">
        <v>39</v>
      </c>
      <c r="C29" s="4" t="s">
        <v>36</v>
      </c>
      <c r="D29" s="4" t="s">
        <v>34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44531</v>
      </c>
      <c r="J29" s="6">
        <v>6256</v>
      </c>
      <c r="K29" s="6">
        <v>6256</v>
      </c>
      <c r="L29" s="6">
        <v>3047.5450000000001</v>
      </c>
      <c r="M29" s="6">
        <v>3047.5450000000001</v>
      </c>
      <c r="N29" s="6">
        <v>3047.5450000000001</v>
      </c>
      <c r="O29" s="6">
        <v>3047.5450000000001</v>
      </c>
      <c r="P29" s="6">
        <v>0</v>
      </c>
      <c r="Q29" s="4" t="s">
        <v>26</v>
      </c>
      <c r="R29" s="4">
        <v>0</v>
      </c>
      <c r="S29" s="6">
        <v>12</v>
      </c>
      <c r="T29" s="6">
        <v>10</v>
      </c>
      <c r="U29" s="6">
        <v>85</v>
      </c>
      <c r="V29" s="6">
        <f>IF(ISERROR(VLOOKUP($S$29,'TAR FIN'!$A$1:$O$91,15,0)),0,VLOOKUP($S$29,'TAR FIN'!$A$1:$O$91,15,0))</f>
        <v>14.45</v>
      </c>
      <c r="W29" s="6">
        <f>IF(ISERROR(VLOOKUP($T$29,'TAR FIN'!$A$1:$O$91,15,0)),0,VLOOKUP($T$29,'TAR FIN'!$A$1:$O$91,15,0))</f>
        <v>90.67</v>
      </c>
      <c r="X29" s="6">
        <f>IF(ISERROR(VLOOKUP($U$29,'TAR FIN'!$A$1:$O$91,15,0)),0,VLOOKUP($U$29,'TAR FIN'!$A$1:$O$91,15,0))</f>
        <v>133.97</v>
      </c>
      <c r="Y29" s="6">
        <f ca="1">('TUSD BE'!$AM$10+'TUSD BF'!$AM$10+'TUSD CVA'!$AM$10)*1</f>
        <v>18.372313529244348</v>
      </c>
      <c r="Z29" s="6">
        <f ca="1">('TUSD BE'!$AM$11+'TUSD BF'!$AM$11+'TUSD CVA'!$AM$11)*1</f>
        <v>121.64342985575733</v>
      </c>
      <c r="AA29" s="6">
        <f>('TE BE'!$AB$8+'TE BF'!$AB$8+'TE CVA'!$AB$8)*1</f>
        <v>114.76529888966962</v>
      </c>
      <c r="AB29" s="6">
        <f>$K$29*$V$29</f>
        <v>90399.2</v>
      </c>
      <c r="AC29" s="6">
        <f>$M$29*$W$29</f>
        <v>276320.90515000001</v>
      </c>
      <c r="AD29" s="6">
        <f>$O$29*$X$29</f>
        <v>408279.60365</v>
      </c>
      <c r="AE29" s="6">
        <f ca="1">$K$29*$Y$29</f>
        <v>114937.19343895264</v>
      </c>
      <c r="AF29" s="6">
        <f ca="1">$M$29*$Z$29</f>
        <v>370713.826439764</v>
      </c>
      <c r="AG29" s="6">
        <f>$O$29*$AA$29</f>
        <v>349752.41280471825</v>
      </c>
    </row>
    <row r="30" spans="1:33" ht="11.25" customHeight="1" x14ac:dyDescent="0.25">
      <c r="A30" s="4" t="s">
        <v>21</v>
      </c>
      <c r="B30" s="4" t="s">
        <v>39</v>
      </c>
      <c r="C30" s="4" t="s">
        <v>36</v>
      </c>
      <c r="D30" s="4" t="s">
        <v>34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44562</v>
      </c>
      <c r="J30" s="6">
        <v>6317</v>
      </c>
      <c r="K30" s="6">
        <v>6317</v>
      </c>
      <c r="L30" s="6">
        <v>3177.6329999999998</v>
      </c>
      <c r="M30" s="6">
        <v>3177.6329999999998</v>
      </c>
      <c r="N30" s="6">
        <v>3177.6329999999998</v>
      </c>
      <c r="O30" s="6">
        <v>3177.6329999999998</v>
      </c>
      <c r="P30" s="6">
        <v>0</v>
      </c>
      <c r="Q30" s="4" t="s">
        <v>26</v>
      </c>
      <c r="R30" s="4">
        <v>0</v>
      </c>
      <c r="S30" s="6">
        <v>12</v>
      </c>
      <c r="T30" s="6">
        <v>10</v>
      </c>
      <c r="U30" s="6">
        <v>85</v>
      </c>
      <c r="V30" s="6">
        <f>IF(ISERROR(VLOOKUP($S$30,'TAR FIN'!$A$1:$O$91,15,0)),0,VLOOKUP($S$30,'TAR FIN'!$A$1:$O$91,15,0))</f>
        <v>14.45</v>
      </c>
      <c r="W30" s="6">
        <f>IF(ISERROR(VLOOKUP($T$30,'TAR FIN'!$A$1:$O$91,15,0)),0,VLOOKUP($T$30,'TAR FIN'!$A$1:$O$91,15,0))</f>
        <v>90.67</v>
      </c>
      <c r="X30" s="6">
        <f>IF(ISERROR(VLOOKUP($U$30,'TAR FIN'!$A$1:$O$91,15,0)),0,VLOOKUP($U$30,'TAR FIN'!$A$1:$O$91,15,0))</f>
        <v>133.97</v>
      </c>
      <c r="Y30" s="6">
        <f ca="1">('TUSD BE'!$AM$10+'TUSD BF'!$AM$10+'TUSD CVA'!$AM$10)*1</f>
        <v>18.372313529244348</v>
      </c>
      <c r="Z30" s="6">
        <f ca="1">('TUSD BE'!$AM$11+'TUSD BF'!$AM$11+'TUSD CVA'!$AM$11)*1</f>
        <v>121.64342985575733</v>
      </c>
      <c r="AA30" s="6">
        <f>('TE BE'!$AB$8+'TE BF'!$AB$8+'TE CVA'!$AB$8)*1</f>
        <v>114.76529888966962</v>
      </c>
      <c r="AB30" s="6">
        <f>$K$30*$V$30</f>
        <v>91280.65</v>
      </c>
      <c r="AC30" s="6">
        <f>$M$30*$W$30</f>
        <v>288115.98410999996</v>
      </c>
      <c r="AD30" s="6">
        <f>$O$30*$X$30</f>
        <v>425707.49300999998</v>
      </c>
      <c r="AE30" s="6">
        <f ca="1">$K$30*$Y$30</f>
        <v>116057.90456423655</v>
      </c>
      <c r="AF30" s="6">
        <f ca="1">$M$30*$Z$30</f>
        <v>386538.17694283969</v>
      </c>
      <c r="AG30" s="6">
        <f>$O$30*$AA$30</f>
        <v>364682.00100667751</v>
      </c>
    </row>
    <row r="31" spans="1:33" ht="11.25" customHeight="1" x14ac:dyDescent="0.25">
      <c r="A31" s="4" t="s">
        <v>21</v>
      </c>
      <c r="B31" s="4" t="s">
        <v>39</v>
      </c>
      <c r="C31" s="4" t="s">
        <v>36</v>
      </c>
      <c r="D31" s="4" t="s">
        <v>34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44593</v>
      </c>
      <c r="J31" s="6">
        <v>6290</v>
      </c>
      <c r="K31" s="6">
        <v>6290</v>
      </c>
      <c r="L31" s="6">
        <v>2984.953</v>
      </c>
      <c r="M31" s="6">
        <v>2984.953</v>
      </c>
      <c r="N31" s="6">
        <v>2984.953</v>
      </c>
      <c r="O31" s="6">
        <v>2984.953</v>
      </c>
      <c r="P31" s="6">
        <v>0</v>
      </c>
      <c r="Q31" s="4" t="s">
        <v>26</v>
      </c>
      <c r="R31" s="4">
        <v>0</v>
      </c>
      <c r="S31" s="6">
        <v>12</v>
      </c>
      <c r="T31" s="6">
        <v>10</v>
      </c>
      <c r="U31" s="6">
        <v>85</v>
      </c>
      <c r="V31" s="6">
        <f>IF(ISERROR(VLOOKUP($S$31,'TAR FIN'!$A$1:$O$91,15,0)),0,VLOOKUP($S$31,'TAR FIN'!$A$1:$O$91,15,0))</f>
        <v>14.45</v>
      </c>
      <c r="W31" s="6">
        <f>IF(ISERROR(VLOOKUP($T$31,'TAR FIN'!$A$1:$O$91,15,0)),0,VLOOKUP($T$31,'TAR FIN'!$A$1:$O$91,15,0))</f>
        <v>90.67</v>
      </c>
      <c r="X31" s="6">
        <f>IF(ISERROR(VLOOKUP($U$31,'TAR FIN'!$A$1:$O$91,15,0)),0,VLOOKUP($U$31,'TAR FIN'!$A$1:$O$91,15,0))</f>
        <v>133.97</v>
      </c>
      <c r="Y31" s="6">
        <f ca="1">('TUSD BE'!$AM$10+'TUSD BF'!$AM$10+'TUSD CVA'!$AM$10)*1</f>
        <v>18.372313529244348</v>
      </c>
      <c r="Z31" s="6">
        <f ca="1">('TUSD BE'!$AM$11+'TUSD BF'!$AM$11+'TUSD CVA'!$AM$11)*1</f>
        <v>121.64342985575733</v>
      </c>
      <c r="AA31" s="6">
        <f>('TE BE'!$AB$8+'TE BF'!$AB$8+'TE CVA'!$AB$8)*1</f>
        <v>114.76529888966962</v>
      </c>
      <c r="AB31" s="6">
        <f>$K$31*$V$31</f>
        <v>90890.5</v>
      </c>
      <c r="AC31" s="6">
        <f>$M$31*$W$31</f>
        <v>270645.68851000001</v>
      </c>
      <c r="AD31" s="6">
        <f>$O$31*$X$31</f>
        <v>399894.15340999997</v>
      </c>
      <c r="AE31" s="6">
        <f ca="1">$K$31*$Y$31</f>
        <v>115561.85209894695</v>
      </c>
      <c r="AF31" s="6">
        <f ca="1">$M$31*$Z$31</f>
        <v>363099.9208782324</v>
      </c>
      <c r="AG31" s="6">
        <f>$O$31*$AA$31</f>
        <v>342569.02321661601</v>
      </c>
    </row>
    <row r="32" spans="1:33" ht="11.25" customHeight="1" x14ac:dyDescent="0.25">
      <c r="A32" s="4" t="s">
        <v>21</v>
      </c>
      <c r="B32" s="4" t="s">
        <v>39</v>
      </c>
      <c r="C32" s="4" t="s">
        <v>36</v>
      </c>
      <c r="D32" s="4" t="s">
        <v>34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44621</v>
      </c>
      <c r="J32" s="6">
        <v>6633</v>
      </c>
      <c r="K32" s="6">
        <v>6633</v>
      </c>
      <c r="L32" s="6">
        <v>3365.5079999999998</v>
      </c>
      <c r="M32" s="6">
        <v>3365.5079999999998</v>
      </c>
      <c r="N32" s="6">
        <v>3365.5079999999998</v>
      </c>
      <c r="O32" s="6">
        <v>3365.5079999999998</v>
      </c>
      <c r="P32" s="6">
        <v>0</v>
      </c>
      <c r="Q32" s="4" t="s">
        <v>26</v>
      </c>
      <c r="R32" s="4">
        <v>0</v>
      </c>
      <c r="S32" s="6">
        <v>12</v>
      </c>
      <c r="T32" s="6">
        <v>10</v>
      </c>
      <c r="U32" s="6">
        <v>85</v>
      </c>
      <c r="V32" s="6">
        <f>IF(ISERROR(VLOOKUP($S$32,'TAR FIN'!$A$1:$O$91,15,0)),0,VLOOKUP($S$32,'TAR FIN'!$A$1:$O$91,15,0))</f>
        <v>14.45</v>
      </c>
      <c r="W32" s="6">
        <f>IF(ISERROR(VLOOKUP($T$32,'TAR FIN'!$A$1:$O$91,15,0)),0,VLOOKUP($T$32,'TAR FIN'!$A$1:$O$91,15,0))</f>
        <v>90.67</v>
      </c>
      <c r="X32" s="6">
        <f>IF(ISERROR(VLOOKUP($U$32,'TAR FIN'!$A$1:$O$91,15,0)),0,VLOOKUP($U$32,'TAR FIN'!$A$1:$O$91,15,0))</f>
        <v>133.97</v>
      </c>
      <c r="Y32" s="6">
        <f ca="1">('TUSD BE'!$AM$10+'TUSD BF'!$AM$10+'TUSD CVA'!$AM$10)*1</f>
        <v>18.372313529244348</v>
      </c>
      <c r="Z32" s="6">
        <f ca="1">('TUSD BE'!$AM$11+'TUSD BF'!$AM$11+'TUSD CVA'!$AM$11)*1</f>
        <v>121.64342985575733</v>
      </c>
      <c r="AA32" s="6">
        <f>('TE BE'!$AB$8+'TE BF'!$AB$8+'TE CVA'!$AB$8)*1</f>
        <v>114.76529888966962</v>
      </c>
      <c r="AB32" s="6">
        <f>$K$32*$V$32</f>
        <v>95846.849999999991</v>
      </c>
      <c r="AC32" s="6">
        <f>$M$32*$W$32</f>
        <v>305150.61035999999</v>
      </c>
      <c r="AD32" s="6">
        <f>$O$32*$X$32</f>
        <v>450877.10676</v>
      </c>
      <c r="AE32" s="6">
        <f ca="1">$K$32*$Y$32</f>
        <v>121863.55563947777</v>
      </c>
      <c r="AF32" s="6">
        <f ca="1">$M$32*$Z$32</f>
        <v>409391.93632699014</v>
      </c>
      <c r="AG32" s="6">
        <f>$O$32*$AA$32</f>
        <v>386243.53153557424</v>
      </c>
    </row>
    <row r="33" spans="1:33" ht="11.25" customHeight="1" x14ac:dyDescent="0.25">
      <c r="A33" s="4" t="s">
        <v>21</v>
      </c>
      <c r="B33" s="4" t="s">
        <v>39</v>
      </c>
      <c r="C33" s="4" t="s">
        <v>36</v>
      </c>
      <c r="D33" s="4" t="s">
        <v>34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44652</v>
      </c>
      <c r="J33" s="6">
        <v>6250</v>
      </c>
      <c r="K33" s="6">
        <v>6250</v>
      </c>
      <c r="L33" s="6">
        <v>2870.52</v>
      </c>
      <c r="M33" s="6">
        <v>2870.52</v>
      </c>
      <c r="N33" s="6">
        <v>2870.52</v>
      </c>
      <c r="O33" s="6">
        <v>2870.52</v>
      </c>
      <c r="P33" s="6">
        <v>0</v>
      </c>
      <c r="Q33" s="4" t="s">
        <v>26</v>
      </c>
      <c r="R33" s="4">
        <v>0</v>
      </c>
      <c r="S33" s="6">
        <v>12</v>
      </c>
      <c r="T33" s="6">
        <v>10</v>
      </c>
      <c r="U33" s="6">
        <v>85</v>
      </c>
      <c r="V33" s="6">
        <f>IF(ISERROR(VLOOKUP($S$33,'TAR FIN'!$A$1:$O$91,15,0)),0,VLOOKUP($S$33,'TAR FIN'!$A$1:$O$91,15,0))</f>
        <v>14.45</v>
      </c>
      <c r="W33" s="6">
        <f>IF(ISERROR(VLOOKUP($T$33,'TAR FIN'!$A$1:$O$91,15,0)),0,VLOOKUP($T$33,'TAR FIN'!$A$1:$O$91,15,0))</f>
        <v>90.67</v>
      </c>
      <c r="X33" s="6">
        <f>IF(ISERROR(VLOOKUP($U$33,'TAR FIN'!$A$1:$O$91,15,0)),0,VLOOKUP($U$33,'TAR FIN'!$A$1:$O$91,15,0))</f>
        <v>133.97</v>
      </c>
      <c r="Y33" s="6">
        <f ca="1">('TUSD BE'!$AM$10+'TUSD BF'!$AM$10+'TUSD CVA'!$AM$10)*1</f>
        <v>18.372313529244348</v>
      </c>
      <c r="Z33" s="6">
        <f ca="1">('TUSD BE'!$AM$11+'TUSD BF'!$AM$11+'TUSD CVA'!$AM$11)*1</f>
        <v>121.64342985575733</v>
      </c>
      <c r="AA33" s="6">
        <f>('TE BE'!$AB$8+'TE BF'!$AB$8+'TE CVA'!$AB$8)*1</f>
        <v>114.76529888966962</v>
      </c>
      <c r="AB33" s="6">
        <f>$K$33*$V$33</f>
        <v>90312.5</v>
      </c>
      <c r="AC33" s="6">
        <f>$M$33*$W$33</f>
        <v>260270.0484</v>
      </c>
      <c r="AD33" s="6">
        <f>$O$33*$X$33</f>
        <v>384563.56439999997</v>
      </c>
      <c r="AE33" s="6">
        <f ca="1">$K$33*$Y$33</f>
        <v>114826.95955777717</v>
      </c>
      <c r="AF33" s="6">
        <f ca="1">$M$33*$Z$33</f>
        <v>349179.89826954855</v>
      </c>
      <c r="AG33" s="6">
        <f>$O$33*$AA$33</f>
        <v>329436.08576877444</v>
      </c>
    </row>
    <row r="34" spans="1:33" ht="11.25" customHeight="1" x14ac:dyDescent="0.25">
      <c r="A34" s="4" t="s">
        <v>21</v>
      </c>
      <c r="B34" s="4" t="s">
        <v>39</v>
      </c>
      <c r="C34" s="4" t="s">
        <v>36</v>
      </c>
      <c r="D34" s="4" t="s">
        <v>34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44682</v>
      </c>
      <c r="J34" s="6">
        <v>6095</v>
      </c>
      <c r="K34" s="6">
        <v>6095</v>
      </c>
      <c r="L34" s="6">
        <v>3039.1750000000002</v>
      </c>
      <c r="M34" s="6">
        <v>3039.1750000000002</v>
      </c>
      <c r="N34" s="6">
        <v>3039.1750000000002</v>
      </c>
      <c r="O34" s="6">
        <v>3039.1750000000002</v>
      </c>
      <c r="P34" s="6">
        <v>0</v>
      </c>
      <c r="Q34" s="4" t="s">
        <v>26</v>
      </c>
      <c r="R34" s="4">
        <v>0</v>
      </c>
      <c r="S34" s="6">
        <v>12</v>
      </c>
      <c r="T34" s="6">
        <v>10</v>
      </c>
      <c r="U34" s="6">
        <v>85</v>
      </c>
      <c r="V34" s="6">
        <f>IF(ISERROR(VLOOKUP($S$34,'TAR FIN'!$A$1:$O$91,15,0)),0,VLOOKUP($S$34,'TAR FIN'!$A$1:$O$91,15,0))</f>
        <v>14.45</v>
      </c>
      <c r="W34" s="6">
        <f>IF(ISERROR(VLOOKUP($T$34,'TAR FIN'!$A$1:$O$91,15,0)),0,VLOOKUP($T$34,'TAR FIN'!$A$1:$O$91,15,0))</f>
        <v>90.67</v>
      </c>
      <c r="X34" s="6">
        <f>IF(ISERROR(VLOOKUP($U$34,'TAR FIN'!$A$1:$O$91,15,0)),0,VLOOKUP($U$34,'TAR FIN'!$A$1:$O$91,15,0))</f>
        <v>133.97</v>
      </c>
      <c r="Y34" s="6">
        <f ca="1">('TUSD BE'!$AM$10+'TUSD BF'!$AM$10+'TUSD CVA'!$AM$10)*1</f>
        <v>18.372313529244348</v>
      </c>
      <c r="Z34" s="6">
        <f ca="1">('TUSD BE'!$AM$11+'TUSD BF'!$AM$11+'TUSD CVA'!$AM$11)*1</f>
        <v>121.64342985575733</v>
      </c>
      <c r="AA34" s="6">
        <f>('TE BE'!$AB$8+'TE BF'!$AB$8+'TE CVA'!$AB$8)*1</f>
        <v>114.76529888966962</v>
      </c>
      <c r="AB34" s="6">
        <f>$K$34*$V$34</f>
        <v>88072.75</v>
      </c>
      <c r="AC34" s="6">
        <f>$M$34*$W$34</f>
        <v>275561.99725000001</v>
      </c>
      <c r="AD34" s="6">
        <f>$O$34*$X$34</f>
        <v>407158.27475000004</v>
      </c>
      <c r="AE34" s="6">
        <f ca="1">$K$34*$Y$34</f>
        <v>111979.25096074431</v>
      </c>
      <c r="AF34" s="6">
        <f ca="1">$M$34*$Z$34</f>
        <v>369695.67093187134</v>
      </c>
      <c r="AG34" s="6">
        <f>$O$34*$AA$34</f>
        <v>348791.8272530117</v>
      </c>
    </row>
    <row r="35" spans="1:33" ht="11.25" customHeight="1" x14ac:dyDescent="0.25">
      <c r="A35" s="4" t="s">
        <v>21</v>
      </c>
      <c r="B35" s="4" t="s">
        <v>39</v>
      </c>
      <c r="C35" s="4" t="s">
        <v>36</v>
      </c>
      <c r="D35" s="4" t="s">
        <v>34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44713</v>
      </c>
      <c r="J35" s="6">
        <v>6108</v>
      </c>
      <c r="K35" s="6">
        <v>6108</v>
      </c>
      <c r="L35" s="6">
        <v>2791.9110000000001</v>
      </c>
      <c r="M35" s="6">
        <v>2791.9110000000001</v>
      </c>
      <c r="N35" s="6">
        <v>2791.9110000000001</v>
      </c>
      <c r="O35" s="6">
        <v>2791.9110000000001</v>
      </c>
      <c r="P35" s="6">
        <v>0</v>
      </c>
      <c r="Q35" s="4" t="s">
        <v>26</v>
      </c>
      <c r="R35" s="4">
        <v>0</v>
      </c>
      <c r="S35" s="6">
        <v>12</v>
      </c>
      <c r="T35" s="6">
        <v>10</v>
      </c>
      <c r="U35" s="6">
        <v>85</v>
      </c>
      <c r="V35" s="6">
        <f>IF(ISERROR(VLOOKUP($S$35,'TAR FIN'!$A$1:$O$91,15,0)),0,VLOOKUP($S$35,'TAR FIN'!$A$1:$O$91,15,0))</f>
        <v>14.45</v>
      </c>
      <c r="W35" s="6">
        <f>IF(ISERROR(VLOOKUP($T$35,'TAR FIN'!$A$1:$O$91,15,0)),0,VLOOKUP($T$35,'TAR FIN'!$A$1:$O$91,15,0))</f>
        <v>90.67</v>
      </c>
      <c r="X35" s="6">
        <f>IF(ISERROR(VLOOKUP($U$35,'TAR FIN'!$A$1:$O$91,15,0)),0,VLOOKUP($U$35,'TAR FIN'!$A$1:$O$91,15,0))</f>
        <v>133.97</v>
      </c>
      <c r="Y35" s="6">
        <f ca="1">('TUSD BE'!$AM$10+'TUSD BF'!$AM$10+'TUSD CVA'!$AM$10)*1</f>
        <v>18.372313529244348</v>
      </c>
      <c r="Z35" s="6">
        <f ca="1">('TUSD BE'!$AM$11+'TUSD BF'!$AM$11+'TUSD CVA'!$AM$11)*1</f>
        <v>121.64342985575733</v>
      </c>
      <c r="AA35" s="6">
        <f>('TE BE'!$AB$8+'TE BF'!$AB$8+'TE CVA'!$AB$8)*1</f>
        <v>114.76529888966962</v>
      </c>
      <c r="AB35" s="6">
        <f>$K$35*$V$35</f>
        <v>88260.599999999991</v>
      </c>
      <c r="AC35" s="6">
        <f>$M$35*$W$35</f>
        <v>253142.57037</v>
      </c>
      <c r="AD35" s="6">
        <f>$O$35*$X$35</f>
        <v>374032.31667000003</v>
      </c>
      <c r="AE35" s="6">
        <f ca="1">$K$35*$Y$35</f>
        <v>112218.09103662448</v>
      </c>
      <c r="AF35" s="6">
        <f ca="1">$M$35*$Z$35</f>
        <v>339617.62989201734</v>
      </c>
      <c r="AG35" s="6">
        <f>$O$35*$AA$35</f>
        <v>320414.50038835639</v>
      </c>
    </row>
    <row r="36" spans="1:33" ht="11.25" customHeight="1" x14ac:dyDescent="0.25">
      <c r="A36" s="4" t="s">
        <v>21</v>
      </c>
      <c r="B36" s="4" t="s">
        <v>39</v>
      </c>
      <c r="C36" s="4" t="s">
        <v>36</v>
      </c>
      <c r="D36" s="4" t="s">
        <v>34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44743</v>
      </c>
      <c r="J36" s="6">
        <v>6209</v>
      </c>
      <c r="K36" s="6">
        <v>6209</v>
      </c>
      <c r="L36" s="6">
        <v>3121.3009999999999</v>
      </c>
      <c r="M36" s="6">
        <v>3121.3009999999999</v>
      </c>
      <c r="N36" s="6">
        <v>3121.3009999999999</v>
      </c>
      <c r="O36" s="6">
        <v>3121.3009999999999</v>
      </c>
      <c r="P36" s="6">
        <v>0</v>
      </c>
      <c r="Q36" s="4" t="s">
        <v>26</v>
      </c>
      <c r="R36" s="4">
        <v>0</v>
      </c>
      <c r="S36" s="6">
        <v>12</v>
      </c>
      <c r="T36" s="6">
        <v>10</v>
      </c>
      <c r="U36" s="6">
        <v>85</v>
      </c>
      <c r="V36" s="6">
        <f>IF(ISERROR(VLOOKUP($S$36,'TAR FIN'!$A$1:$O$91,15,0)),0,VLOOKUP($S$36,'TAR FIN'!$A$1:$O$91,15,0))</f>
        <v>14.45</v>
      </c>
      <c r="W36" s="6">
        <f>IF(ISERROR(VLOOKUP($T$36,'TAR FIN'!$A$1:$O$91,15,0)),0,VLOOKUP($T$36,'TAR FIN'!$A$1:$O$91,15,0))</f>
        <v>90.67</v>
      </c>
      <c r="X36" s="6">
        <f>IF(ISERROR(VLOOKUP($U$36,'TAR FIN'!$A$1:$O$91,15,0)),0,VLOOKUP($U$36,'TAR FIN'!$A$1:$O$91,15,0))</f>
        <v>133.97</v>
      </c>
      <c r="Y36" s="6">
        <f ca="1">('TUSD BE'!$AM$10+'TUSD BF'!$AM$10+'TUSD CVA'!$AM$10)*1</f>
        <v>18.372313529244348</v>
      </c>
      <c r="Z36" s="6">
        <f ca="1">('TUSD BE'!$AM$11+'TUSD BF'!$AM$11+'TUSD CVA'!$AM$11)*1</f>
        <v>121.64342985575733</v>
      </c>
      <c r="AA36" s="6">
        <f>('TE BE'!$AB$8+'TE BF'!$AB$8+'TE CVA'!$AB$8)*1</f>
        <v>114.76529888966962</v>
      </c>
      <c r="AB36" s="6">
        <f>$K$36*$V$36</f>
        <v>89720.049999999988</v>
      </c>
      <c r="AC36" s="6">
        <f>$M$36*$W$36</f>
        <v>283008.36167000001</v>
      </c>
      <c r="AD36" s="6">
        <f>$O$36*$X$36</f>
        <v>418160.69497000001</v>
      </c>
      <c r="AE36" s="6">
        <f ca="1">$K$36*$Y$36</f>
        <v>114073.69470307816</v>
      </c>
      <c r="AF36" s="6">
        <f ca="1">$M$36*$Z$36</f>
        <v>379685.7592522052</v>
      </c>
      <c r="AG36" s="6">
        <f>$O$36*$AA$36</f>
        <v>358217.04218962468</v>
      </c>
    </row>
    <row r="37" spans="1:33" ht="11.25" customHeight="1" x14ac:dyDescent="0.25">
      <c r="A37" s="4" t="s">
        <v>57</v>
      </c>
      <c r="B37" s="4" t="s">
        <v>39</v>
      </c>
      <c r="C37" s="4" t="s">
        <v>36</v>
      </c>
      <c r="D37" s="4" t="s">
        <v>34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44774</v>
      </c>
      <c r="J37" s="6">
        <v>6209</v>
      </c>
      <c r="K37" s="6">
        <v>6209</v>
      </c>
      <c r="L37" s="6">
        <v>3121.3009999999999</v>
      </c>
      <c r="M37" s="6">
        <v>3121.3009999999999</v>
      </c>
      <c r="N37" s="6">
        <v>3121.3009999999999</v>
      </c>
      <c r="O37" s="6">
        <v>3121.3009999999999</v>
      </c>
      <c r="P37" s="6">
        <v>0</v>
      </c>
      <c r="Q37" s="4" t="s">
        <v>26</v>
      </c>
      <c r="R37" s="4">
        <v>0</v>
      </c>
      <c r="S37" s="6">
        <v>12</v>
      </c>
      <c r="T37" s="6">
        <v>10</v>
      </c>
      <c r="U37" s="6">
        <v>85</v>
      </c>
      <c r="V37" s="6">
        <f>IF(ISERROR(VLOOKUP($S$37,'TAR FIN'!$A$1:$O$91,15,0)),0,VLOOKUP($S$37,'TAR FIN'!$A$1:$O$91,15,0))</f>
        <v>14.45</v>
      </c>
      <c r="W37" s="6">
        <f>IF(ISERROR(VLOOKUP($T$37,'TAR FIN'!$A$1:$O$91,15,0)),0,VLOOKUP($T$37,'TAR FIN'!$A$1:$O$91,15,0))</f>
        <v>90.67</v>
      </c>
      <c r="X37" s="6">
        <f>IF(ISERROR(VLOOKUP($U$37,'TAR FIN'!$A$1:$O$91,15,0)),0,VLOOKUP($U$37,'TAR FIN'!$A$1:$O$91,15,0))</f>
        <v>133.97</v>
      </c>
      <c r="Y37" s="6">
        <f ca="1">('TUSD BE'!$AM$10+'TUSD BF'!$AM$10+'TUSD CVA'!$AM$10)*1</f>
        <v>18.372313529244348</v>
      </c>
      <c r="Z37" s="6">
        <f ca="1">('TUSD BE'!$AM$11+'TUSD BF'!$AM$11+'TUSD CVA'!$AM$11)*1</f>
        <v>121.64342985575733</v>
      </c>
      <c r="AA37" s="6">
        <f>('TE BE'!$AB$8+'TE BF'!$AB$8+'TE CVA'!$AB$8)*1</f>
        <v>114.76529888966962</v>
      </c>
      <c r="AB37" s="6">
        <f>$K$37*$V$37</f>
        <v>89720.049999999988</v>
      </c>
      <c r="AC37" s="6">
        <f>$M$37*$W$37</f>
        <v>283008.36167000001</v>
      </c>
      <c r="AD37" s="6">
        <f>$O$37*$X$37</f>
        <v>418160.69497000001</v>
      </c>
      <c r="AE37" s="6">
        <f ca="1">$K$37*$Y$37</f>
        <v>114073.69470307816</v>
      </c>
      <c r="AF37" s="6">
        <f ca="1">$M$37*$Z$37</f>
        <v>379685.7592522052</v>
      </c>
      <c r="AG37" s="6">
        <f>$O$37*$AA$37</f>
        <v>358217.04218962468</v>
      </c>
    </row>
    <row r="38" spans="1:33" ht="11.25" customHeight="1" x14ac:dyDescent="0.25">
      <c r="A38" s="4" t="s">
        <v>21</v>
      </c>
      <c r="B38" s="4" t="s">
        <v>39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44440</v>
      </c>
      <c r="J38" s="6">
        <v>5950</v>
      </c>
      <c r="K38" s="6">
        <v>5950</v>
      </c>
      <c r="L38" s="6">
        <v>311.45</v>
      </c>
      <c r="M38" s="6">
        <v>311.45</v>
      </c>
      <c r="N38" s="6">
        <v>311.45</v>
      </c>
      <c r="O38" s="6">
        <v>311.45</v>
      </c>
      <c r="P38" s="6">
        <v>0</v>
      </c>
      <c r="Q38" s="4" t="s">
        <v>26</v>
      </c>
      <c r="R38" s="4">
        <v>0</v>
      </c>
      <c r="S38" s="6">
        <v>17</v>
      </c>
      <c r="T38" s="6">
        <v>10</v>
      </c>
      <c r="U38" s="6">
        <v>64</v>
      </c>
      <c r="V38" s="6">
        <f>IF(ISERROR(VLOOKUP($S$38,'TAR FIN'!$A$1:$O$91,15,0)),0,VLOOKUP($S$38,'TAR FIN'!$A$1:$O$91,15,0))</f>
        <v>38.14</v>
      </c>
      <c r="W38" s="6">
        <f>IF(ISERROR(VLOOKUP($T$38,'TAR FIN'!$A$1:$O$91,15,0)),0,VLOOKUP($T$38,'TAR FIN'!$A$1:$O$91,15,0))</f>
        <v>90.67</v>
      </c>
      <c r="X38" s="6">
        <f>IF(ISERROR(VLOOKUP($U$38,'TAR FIN'!$A$1:$O$91,15,0)),0,VLOOKUP($U$38,'TAR FIN'!$A$1:$O$91,15,0))</f>
        <v>133.97</v>
      </c>
      <c r="Y38" s="6">
        <f ca="1">('TUSD BE'!$AM$9+'TUSD BF'!$AM$9+'TUSD CVA'!$AM$9)*1</f>
        <v>47.10799658431754</v>
      </c>
      <c r="Z38" s="6">
        <f ca="1">('TUSD BE'!$AM$11+'TUSD BF'!$AM$11+'TUSD CVA'!$AM$11)*1</f>
        <v>121.64342985575733</v>
      </c>
      <c r="AA38" s="6">
        <f>('TE BE'!$AB$7+'TE BF'!$AB$7+'TE CVA'!$AB$7)*1</f>
        <v>114.76529888966962</v>
      </c>
      <c r="AB38" s="6">
        <f>$K$38*$V$38</f>
        <v>226933</v>
      </c>
      <c r="AC38" s="6">
        <f>$M$38*$W$38</f>
        <v>28239.1715</v>
      </c>
      <c r="AD38" s="6">
        <f>$O$38*$X$38</f>
        <v>41724.9565</v>
      </c>
      <c r="AE38" s="6">
        <f ca="1">$K$38*$Y$38</f>
        <v>280292.57967668935</v>
      </c>
      <c r="AF38" s="6">
        <f ca="1">$M$38*$Z$38</f>
        <v>37885.846228575618</v>
      </c>
      <c r="AG38" s="6">
        <f>$O$38*$AA$38</f>
        <v>35743.652339187604</v>
      </c>
    </row>
    <row r="39" spans="1:33" ht="11.25" customHeight="1" x14ac:dyDescent="0.25">
      <c r="A39" s="4" t="s">
        <v>21</v>
      </c>
      <c r="B39" s="4" t="s">
        <v>39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44470</v>
      </c>
      <c r="J39" s="6">
        <v>5950</v>
      </c>
      <c r="K39" s="6">
        <v>5950</v>
      </c>
      <c r="L39" s="6">
        <v>306.77300000000002</v>
      </c>
      <c r="M39" s="6">
        <v>306.77300000000002</v>
      </c>
      <c r="N39" s="6">
        <v>306.77300000000002</v>
      </c>
      <c r="O39" s="6">
        <v>306.77300000000002</v>
      </c>
      <c r="P39" s="6">
        <v>0</v>
      </c>
      <c r="Q39" s="4" t="s">
        <v>26</v>
      </c>
      <c r="R39" s="4">
        <v>0</v>
      </c>
      <c r="S39" s="6">
        <v>17</v>
      </c>
      <c r="T39" s="6">
        <v>10</v>
      </c>
      <c r="U39" s="6">
        <v>64</v>
      </c>
      <c r="V39" s="6">
        <f>IF(ISERROR(VLOOKUP($S$39,'TAR FIN'!$A$1:$O$91,15,0)),0,VLOOKUP($S$39,'TAR FIN'!$A$1:$O$91,15,0))</f>
        <v>38.14</v>
      </c>
      <c r="W39" s="6">
        <f>IF(ISERROR(VLOOKUP($T$39,'TAR FIN'!$A$1:$O$91,15,0)),0,VLOOKUP($T$39,'TAR FIN'!$A$1:$O$91,15,0))</f>
        <v>90.67</v>
      </c>
      <c r="X39" s="6">
        <f>IF(ISERROR(VLOOKUP($U$39,'TAR FIN'!$A$1:$O$91,15,0)),0,VLOOKUP($U$39,'TAR FIN'!$A$1:$O$91,15,0))</f>
        <v>133.97</v>
      </c>
      <c r="Y39" s="6">
        <f ca="1">('TUSD BE'!$AM$9+'TUSD BF'!$AM$9+'TUSD CVA'!$AM$9)*1</f>
        <v>47.10799658431754</v>
      </c>
      <c r="Z39" s="6">
        <f ca="1">('TUSD BE'!$AM$11+'TUSD BF'!$AM$11+'TUSD CVA'!$AM$11)*1</f>
        <v>121.64342985575733</v>
      </c>
      <c r="AA39" s="6">
        <f>('TE BE'!$AB$7+'TE BF'!$AB$7+'TE CVA'!$AB$7)*1</f>
        <v>114.76529888966962</v>
      </c>
      <c r="AB39" s="6">
        <f>$K$39*$V$39</f>
        <v>226933</v>
      </c>
      <c r="AC39" s="6">
        <f>$M$39*$W$39</f>
        <v>27815.107910000002</v>
      </c>
      <c r="AD39" s="6">
        <f>$O$39*$X$39</f>
        <v>41098.378810000002</v>
      </c>
      <c r="AE39" s="6">
        <f ca="1">$K$39*$Y$39</f>
        <v>280292.57967668935</v>
      </c>
      <c r="AF39" s="6">
        <f ca="1">$M$39*$Z$39</f>
        <v>37316.919907140247</v>
      </c>
      <c r="AG39" s="6">
        <f>$O$39*$AA$39</f>
        <v>35206.895036280621</v>
      </c>
    </row>
    <row r="40" spans="1:33" ht="11.25" customHeight="1" x14ac:dyDescent="0.25">
      <c r="A40" s="4" t="s">
        <v>21</v>
      </c>
      <c r="B40" s="4" t="s">
        <v>39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44501</v>
      </c>
      <c r="J40" s="6">
        <v>6122</v>
      </c>
      <c r="K40" s="6">
        <v>6122</v>
      </c>
      <c r="L40" s="6">
        <v>329.608</v>
      </c>
      <c r="M40" s="6">
        <v>329.608</v>
      </c>
      <c r="N40" s="6">
        <v>329.608</v>
      </c>
      <c r="O40" s="6">
        <v>329.608</v>
      </c>
      <c r="P40" s="6">
        <v>0</v>
      </c>
      <c r="Q40" s="4" t="s">
        <v>26</v>
      </c>
      <c r="R40" s="4">
        <v>0</v>
      </c>
      <c r="S40" s="6">
        <v>17</v>
      </c>
      <c r="T40" s="6">
        <v>10</v>
      </c>
      <c r="U40" s="6">
        <v>64</v>
      </c>
      <c r="V40" s="6">
        <f>IF(ISERROR(VLOOKUP($S$40,'TAR FIN'!$A$1:$O$91,15,0)),0,VLOOKUP($S$40,'TAR FIN'!$A$1:$O$91,15,0))</f>
        <v>38.14</v>
      </c>
      <c r="W40" s="6">
        <f>IF(ISERROR(VLOOKUP($T$40,'TAR FIN'!$A$1:$O$91,15,0)),0,VLOOKUP($T$40,'TAR FIN'!$A$1:$O$91,15,0))</f>
        <v>90.67</v>
      </c>
      <c r="X40" s="6">
        <f>IF(ISERROR(VLOOKUP($U$40,'TAR FIN'!$A$1:$O$91,15,0)),0,VLOOKUP($U$40,'TAR FIN'!$A$1:$O$91,15,0))</f>
        <v>133.97</v>
      </c>
      <c r="Y40" s="6">
        <f ca="1">('TUSD BE'!$AM$9+'TUSD BF'!$AM$9+'TUSD CVA'!$AM$9)*1</f>
        <v>47.10799658431754</v>
      </c>
      <c r="Z40" s="6">
        <f ca="1">('TUSD BE'!$AM$11+'TUSD BF'!$AM$11+'TUSD CVA'!$AM$11)*1</f>
        <v>121.64342985575733</v>
      </c>
      <c r="AA40" s="6">
        <f>('TE BE'!$AB$7+'TE BF'!$AB$7+'TE CVA'!$AB$7)*1</f>
        <v>114.76529888966962</v>
      </c>
      <c r="AB40" s="6">
        <f>$K$40*$V$40</f>
        <v>233493.08000000002</v>
      </c>
      <c r="AC40" s="6">
        <f>$M$40*$W$40</f>
        <v>29885.557360000003</v>
      </c>
      <c r="AD40" s="6">
        <f>$O$40*$X$40</f>
        <v>44157.583760000001</v>
      </c>
      <c r="AE40" s="6">
        <f ca="1">$K$40*$Y$40</f>
        <v>288395.15508919198</v>
      </c>
      <c r="AF40" s="6">
        <f ca="1">$M$40*$Z$40</f>
        <v>40094.647627896462</v>
      </c>
      <c r="AG40" s="6">
        <f>$O$40*$AA$40</f>
        <v>37827.560636426228</v>
      </c>
    </row>
    <row r="41" spans="1:33" ht="11.25" customHeight="1" x14ac:dyDescent="0.25">
      <c r="A41" s="4" t="s">
        <v>21</v>
      </c>
      <c r="B41" s="4" t="s">
        <v>39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44531</v>
      </c>
      <c r="J41" s="6">
        <v>5967</v>
      </c>
      <c r="K41" s="6">
        <v>5967</v>
      </c>
      <c r="L41" s="6">
        <v>354.03300000000002</v>
      </c>
      <c r="M41" s="6">
        <v>354.03300000000002</v>
      </c>
      <c r="N41" s="6">
        <v>354.03300000000002</v>
      </c>
      <c r="O41" s="6">
        <v>354.03300000000002</v>
      </c>
      <c r="P41" s="6">
        <v>0</v>
      </c>
      <c r="Q41" s="4" t="s">
        <v>26</v>
      </c>
      <c r="R41" s="4">
        <v>0</v>
      </c>
      <c r="S41" s="6">
        <v>17</v>
      </c>
      <c r="T41" s="6">
        <v>10</v>
      </c>
      <c r="U41" s="6">
        <v>64</v>
      </c>
      <c r="V41" s="6">
        <f>IF(ISERROR(VLOOKUP($S$41,'TAR FIN'!$A$1:$O$91,15,0)),0,VLOOKUP($S$41,'TAR FIN'!$A$1:$O$91,15,0))</f>
        <v>38.14</v>
      </c>
      <c r="W41" s="6">
        <f>IF(ISERROR(VLOOKUP($T$41,'TAR FIN'!$A$1:$O$91,15,0)),0,VLOOKUP($T$41,'TAR FIN'!$A$1:$O$91,15,0))</f>
        <v>90.67</v>
      </c>
      <c r="X41" s="6">
        <f>IF(ISERROR(VLOOKUP($U$41,'TAR FIN'!$A$1:$O$91,15,0)),0,VLOOKUP($U$41,'TAR FIN'!$A$1:$O$91,15,0))</f>
        <v>133.97</v>
      </c>
      <c r="Y41" s="6">
        <f ca="1">('TUSD BE'!$AM$9+'TUSD BF'!$AM$9+'TUSD CVA'!$AM$9)*1</f>
        <v>47.10799658431754</v>
      </c>
      <c r="Z41" s="6">
        <f ca="1">('TUSD BE'!$AM$11+'TUSD BF'!$AM$11+'TUSD CVA'!$AM$11)*1</f>
        <v>121.64342985575733</v>
      </c>
      <c r="AA41" s="6">
        <f>('TE BE'!$AB$7+'TE BF'!$AB$7+'TE CVA'!$AB$7)*1</f>
        <v>114.76529888966962</v>
      </c>
      <c r="AB41" s="6">
        <f>$K$41*$V$41</f>
        <v>227581.38</v>
      </c>
      <c r="AC41" s="6">
        <f>$M$41*$W$41</f>
        <v>32100.172110000003</v>
      </c>
      <c r="AD41" s="6">
        <f>$O$41*$X$41</f>
        <v>47429.801010000003</v>
      </c>
      <c r="AE41" s="6">
        <f ca="1">$K$41*$Y$41</f>
        <v>281093.41561862273</v>
      </c>
      <c r="AF41" s="6">
        <f ca="1">$M$41*$Z$41</f>
        <v>43065.78840212334</v>
      </c>
      <c r="AG41" s="6">
        <f>$O$41*$AA$41</f>
        <v>40630.703061806409</v>
      </c>
    </row>
    <row r="42" spans="1:33" ht="11.25" customHeight="1" x14ac:dyDescent="0.25">
      <c r="A42" s="4" t="s">
        <v>21</v>
      </c>
      <c r="B42" s="4" t="s">
        <v>39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44562</v>
      </c>
      <c r="J42" s="6">
        <v>6189</v>
      </c>
      <c r="K42" s="6">
        <v>6189</v>
      </c>
      <c r="L42" s="6">
        <v>360.85199999999998</v>
      </c>
      <c r="M42" s="6">
        <v>360.85199999999998</v>
      </c>
      <c r="N42" s="6">
        <v>360.85199999999998</v>
      </c>
      <c r="O42" s="6">
        <v>360.85199999999998</v>
      </c>
      <c r="P42" s="6">
        <v>0</v>
      </c>
      <c r="Q42" s="4" t="s">
        <v>26</v>
      </c>
      <c r="R42" s="4">
        <v>0</v>
      </c>
      <c r="S42" s="6">
        <v>17</v>
      </c>
      <c r="T42" s="6">
        <v>10</v>
      </c>
      <c r="U42" s="6">
        <v>64</v>
      </c>
      <c r="V42" s="6">
        <f>IF(ISERROR(VLOOKUP($S$42,'TAR FIN'!$A$1:$O$91,15,0)),0,VLOOKUP($S$42,'TAR FIN'!$A$1:$O$91,15,0))</f>
        <v>38.14</v>
      </c>
      <c r="W42" s="6">
        <f>IF(ISERROR(VLOOKUP($T$42,'TAR FIN'!$A$1:$O$91,15,0)),0,VLOOKUP($T$42,'TAR FIN'!$A$1:$O$91,15,0))</f>
        <v>90.67</v>
      </c>
      <c r="X42" s="6">
        <f>IF(ISERROR(VLOOKUP($U$42,'TAR FIN'!$A$1:$O$91,15,0)),0,VLOOKUP($U$42,'TAR FIN'!$A$1:$O$91,15,0))</f>
        <v>133.97</v>
      </c>
      <c r="Y42" s="6">
        <f ca="1">('TUSD BE'!$AM$9+'TUSD BF'!$AM$9+'TUSD CVA'!$AM$9)*1</f>
        <v>47.10799658431754</v>
      </c>
      <c r="Z42" s="6">
        <f ca="1">('TUSD BE'!$AM$11+'TUSD BF'!$AM$11+'TUSD CVA'!$AM$11)*1</f>
        <v>121.64342985575733</v>
      </c>
      <c r="AA42" s="6">
        <f>('TE BE'!$AB$7+'TE BF'!$AB$7+'TE CVA'!$AB$7)*1</f>
        <v>114.76529888966962</v>
      </c>
      <c r="AB42" s="6">
        <f>$K$42*$V$42</f>
        <v>236048.46</v>
      </c>
      <c r="AC42" s="6">
        <f>$M$42*$W$42</f>
        <v>32718.450839999998</v>
      </c>
      <c r="AD42" s="6">
        <f>$O$42*$X$42</f>
        <v>48343.342439999993</v>
      </c>
      <c r="AE42" s="6">
        <f ca="1">$K$42*$Y$42</f>
        <v>291551.39086034126</v>
      </c>
      <c r="AF42" s="6">
        <f ca="1">$M$42*$Z$42</f>
        <v>43895.274950309744</v>
      </c>
      <c r="AG42" s="6">
        <f>$O$42*$AA$42</f>
        <v>41413.287634935063</v>
      </c>
    </row>
    <row r="43" spans="1:33" ht="11.25" customHeight="1" x14ac:dyDescent="0.25">
      <c r="A43" s="4" t="s">
        <v>21</v>
      </c>
      <c r="B43" s="4" t="s">
        <v>39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44593</v>
      </c>
      <c r="J43" s="6">
        <v>6156</v>
      </c>
      <c r="K43" s="6">
        <v>6156</v>
      </c>
      <c r="L43" s="6">
        <v>337.88200000000001</v>
      </c>
      <c r="M43" s="6">
        <v>337.88200000000001</v>
      </c>
      <c r="N43" s="6">
        <v>337.88200000000001</v>
      </c>
      <c r="O43" s="6">
        <v>337.88200000000001</v>
      </c>
      <c r="P43" s="6">
        <v>0</v>
      </c>
      <c r="Q43" s="4" t="s">
        <v>26</v>
      </c>
      <c r="R43" s="4">
        <v>0</v>
      </c>
      <c r="S43" s="6">
        <v>17</v>
      </c>
      <c r="T43" s="6">
        <v>10</v>
      </c>
      <c r="U43" s="6">
        <v>64</v>
      </c>
      <c r="V43" s="6">
        <f>IF(ISERROR(VLOOKUP($S$43,'TAR FIN'!$A$1:$O$91,15,0)),0,VLOOKUP($S$43,'TAR FIN'!$A$1:$O$91,15,0))</f>
        <v>38.14</v>
      </c>
      <c r="W43" s="6">
        <f>IF(ISERROR(VLOOKUP($T$43,'TAR FIN'!$A$1:$O$91,15,0)),0,VLOOKUP($T$43,'TAR FIN'!$A$1:$O$91,15,0))</f>
        <v>90.67</v>
      </c>
      <c r="X43" s="6">
        <f>IF(ISERROR(VLOOKUP($U$43,'TAR FIN'!$A$1:$O$91,15,0)),0,VLOOKUP($U$43,'TAR FIN'!$A$1:$O$91,15,0))</f>
        <v>133.97</v>
      </c>
      <c r="Y43" s="6">
        <f ca="1">('TUSD BE'!$AM$9+'TUSD BF'!$AM$9+'TUSD CVA'!$AM$9)*1</f>
        <v>47.10799658431754</v>
      </c>
      <c r="Z43" s="6">
        <f ca="1">('TUSD BE'!$AM$11+'TUSD BF'!$AM$11+'TUSD CVA'!$AM$11)*1</f>
        <v>121.64342985575733</v>
      </c>
      <c r="AA43" s="6">
        <f>('TE BE'!$AB$7+'TE BF'!$AB$7+'TE CVA'!$AB$7)*1</f>
        <v>114.76529888966962</v>
      </c>
      <c r="AB43" s="6">
        <f>$K$43*$V$43</f>
        <v>234789.84</v>
      </c>
      <c r="AC43" s="6">
        <f>$M$43*$W$43</f>
        <v>30635.76094</v>
      </c>
      <c r="AD43" s="6">
        <f>$O$43*$X$43</f>
        <v>45266.05154</v>
      </c>
      <c r="AE43" s="6">
        <f ca="1">$K$43*$Y$43</f>
        <v>289996.82697305875</v>
      </c>
      <c r="AF43" s="6">
        <f ca="1">$M$43*$Z$43</f>
        <v>41101.125366523003</v>
      </c>
      <c r="AG43" s="6">
        <f>$O$43*$AA$43</f>
        <v>38777.128719439352</v>
      </c>
    </row>
    <row r="44" spans="1:33" ht="11.25" customHeight="1" x14ac:dyDescent="0.25">
      <c r="A44" s="4" t="s">
        <v>21</v>
      </c>
      <c r="B44" s="4" t="s">
        <v>39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44621</v>
      </c>
      <c r="J44" s="6">
        <v>6176</v>
      </c>
      <c r="K44" s="6">
        <v>6176</v>
      </c>
      <c r="L44" s="6">
        <v>373.58699999999999</v>
      </c>
      <c r="M44" s="6">
        <v>373.58699999999999</v>
      </c>
      <c r="N44" s="6">
        <v>373.58699999999999</v>
      </c>
      <c r="O44" s="6">
        <v>373.58699999999999</v>
      </c>
      <c r="P44" s="6">
        <v>0</v>
      </c>
      <c r="Q44" s="4" t="s">
        <v>26</v>
      </c>
      <c r="R44" s="4">
        <v>0</v>
      </c>
      <c r="S44" s="6">
        <v>17</v>
      </c>
      <c r="T44" s="6">
        <v>10</v>
      </c>
      <c r="U44" s="6">
        <v>64</v>
      </c>
      <c r="V44" s="6">
        <f>IF(ISERROR(VLOOKUP($S$44,'TAR FIN'!$A$1:$O$91,15,0)),0,VLOOKUP($S$44,'TAR FIN'!$A$1:$O$91,15,0))</f>
        <v>38.14</v>
      </c>
      <c r="W44" s="6">
        <f>IF(ISERROR(VLOOKUP($T$44,'TAR FIN'!$A$1:$O$91,15,0)),0,VLOOKUP($T$44,'TAR FIN'!$A$1:$O$91,15,0))</f>
        <v>90.67</v>
      </c>
      <c r="X44" s="6">
        <f>IF(ISERROR(VLOOKUP($U$44,'TAR FIN'!$A$1:$O$91,15,0)),0,VLOOKUP($U$44,'TAR FIN'!$A$1:$O$91,15,0))</f>
        <v>133.97</v>
      </c>
      <c r="Y44" s="6">
        <f ca="1">('TUSD BE'!$AM$9+'TUSD BF'!$AM$9+'TUSD CVA'!$AM$9)*1</f>
        <v>47.10799658431754</v>
      </c>
      <c r="Z44" s="6">
        <f ca="1">('TUSD BE'!$AM$11+'TUSD BF'!$AM$11+'TUSD CVA'!$AM$11)*1</f>
        <v>121.64342985575733</v>
      </c>
      <c r="AA44" s="6">
        <f>('TE BE'!$AB$7+'TE BF'!$AB$7+'TE CVA'!$AB$7)*1</f>
        <v>114.76529888966962</v>
      </c>
      <c r="AB44" s="6">
        <f>$K$44*$V$44</f>
        <v>235552.64000000001</v>
      </c>
      <c r="AC44" s="6">
        <f>$M$44*$W$44</f>
        <v>33873.133289999998</v>
      </c>
      <c r="AD44" s="6">
        <f>$O$44*$X$44</f>
        <v>50049.450389999998</v>
      </c>
      <c r="AE44" s="6">
        <f ca="1">$K$44*$Y$44</f>
        <v>290938.98690474511</v>
      </c>
      <c r="AF44" s="6">
        <f ca="1">$M$44*$Z$44</f>
        <v>45444.404029522811</v>
      </c>
      <c r="AG44" s="6">
        <f>$O$44*$AA$44</f>
        <v>42874.823716295003</v>
      </c>
    </row>
    <row r="45" spans="1:33" ht="11.25" customHeight="1" x14ac:dyDescent="0.25">
      <c r="A45" s="4" t="s">
        <v>21</v>
      </c>
      <c r="B45" s="4" t="s">
        <v>39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44652</v>
      </c>
      <c r="J45" s="6">
        <v>6169</v>
      </c>
      <c r="K45" s="6">
        <v>6169</v>
      </c>
      <c r="L45" s="6">
        <v>298.16000000000003</v>
      </c>
      <c r="M45" s="6">
        <v>298.16000000000003</v>
      </c>
      <c r="N45" s="6">
        <v>298.16000000000003</v>
      </c>
      <c r="O45" s="6">
        <v>298.16000000000003</v>
      </c>
      <c r="P45" s="6">
        <v>0</v>
      </c>
      <c r="Q45" s="4" t="s">
        <v>26</v>
      </c>
      <c r="R45" s="4">
        <v>0</v>
      </c>
      <c r="S45" s="6">
        <v>17</v>
      </c>
      <c r="T45" s="6">
        <v>10</v>
      </c>
      <c r="U45" s="6">
        <v>64</v>
      </c>
      <c r="V45" s="6">
        <f>IF(ISERROR(VLOOKUP($S$45,'TAR FIN'!$A$1:$O$91,15,0)),0,VLOOKUP($S$45,'TAR FIN'!$A$1:$O$91,15,0))</f>
        <v>38.14</v>
      </c>
      <c r="W45" s="6">
        <f>IF(ISERROR(VLOOKUP($T$45,'TAR FIN'!$A$1:$O$91,15,0)),0,VLOOKUP($T$45,'TAR FIN'!$A$1:$O$91,15,0))</f>
        <v>90.67</v>
      </c>
      <c r="X45" s="6">
        <f>IF(ISERROR(VLOOKUP($U$45,'TAR FIN'!$A$1:$O$91,15,0)),0,VLOOKUP($U$45,'TAR FIN'!$A$1:$O$91,15,0))</f>
        <v>133.97</v>
      </c>
      <c r="Y45" s="6">
        <f ca="1">('TUSD BE'!$AM$9+'TUSD BF'!$AM$9+'TUSD CVA'!$AM$9)*1</f>
        <v>47.10799658431754</v>
      </c>
      <c r="Z45" s="6">
        <f ca="1">('TUSD BE'!$AM$11+'TUSD BF'!$AM$11+'TUSD CVA'!$AM$11)*1</f>
        <v>121.64342985575733</v>
      </c>
      <c r="AA45" s="6">
        <f>('TE BE'!$AB$7+'TE BF'!$AB$7+'TE CVA'!$AB$7)*1</f>
        <v>114.76529888966962</v>
      </c>
      <c r="AB45" s="6">
        <f>$K$45*$V$45</f>
        <v>235285.66</v>
      </c>
      <c r="AC45" s="6">
        <f>$M$45*$W$45</f>
        <v>27034.167200000004</v>
      </c>
      <c r="AD45" s="6">
        <f>$O$45*$X$45</f>
        <v>39944.495200000005</v>
      </c>
      <c r="AE45" s="6">
        <f ca="1">$K$45*$Y$45</f>
        <v>290609.2309286549</v>
      </c>
      <c r="AF45" s="6">
        <f ca="1">$M$45*$Z$45</f>
        <v>36269.205045792609</v>
      </c>
      <c r="AG45" s="6">
        <f>$O$45*$AA$45</f>
        <v>34218.421516943898</v>
      </c>
    </row>
    <row r="46" spans="1:33" ht="11.25" customHeight="1" x14ac:dyDescent="0.25">
      <c r="A46" s="4" t="s">
        <v>21</v>
      </c>
      <c r="B46" s="4" t="s">
        <v>39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44682</v>
      </c>
      <c r="J46" s="6">
        <v>6061</v>
      </c>
      <c r="K46" s="6">
        <v>6061</v>
      </c>
      <c r="L46" s="6">
        <v>355.01900000000001</v>
      </c>
      <c r="M46" s="6">
        <v>355.01900000000001</v>
      </c>
      <c r="N46" s="6">
        <v>355.01900000000001</v>
      </c>
      <c r="O46" s="6">
        <v>355.01900000000001</v>
      </c>
      <c r="P46" s="6">
        <v>0</v>
      </c>
      <c r="Q46" s="4" t="s">
        <v>26</v>
      </c>
      <c r="R46" s="4">
        <v>0</v>
      </c>
      <c r="S46" s="6">
        <v>17</v>
      </c>
      <c r="T46" s="6">
        <v>10</v>
      </c>
      <c r="U46" s="6">
        <v>64</v>
      </c>
      <c r="V46" s="6">
        <f>IF(ISERROR(VLOOKUP($S$46,'TAR FIN'!$A$1:$O$91,15,0)),0,VLOOKUP($S$46,'TAR FIN'!$A$1:$O$91,15,0))</f>
        <v>38.14</v>
      </c>
      <c r="W46" s="6">
        <f>IF(ISERROR(VLOOKUP($T$46,'TAR FIN'!$A$1:$O$91,15,0)),0,VLOOKUP($T$46,'TAR FIN'!$A$1:$O$91,15,0))</f>
        <v>90.67</v>
      </c>
      <c r="X46" s="6">
        <f>IF(ISERROR(VLOOKUP($U$46,'TAR FIN'!$A$1:$O$91,15,0)),0,VLOOKUP($U$46,'TAR FIN'!$A$1:$O$91,15,0))</f>
        <v>133.97</v>
      </c>
      <c r="Y46" s="6">
        <f ca="1">('TUSD BE'!$AM$9+'TUSD BF'!$AM$9+'TUSD CVA'!$AM$9)*1</f>
        <v>47.10799658431754</v>
      </c>
      <c r="Z46" s="6">
        <f ca="1">('TUSD BE'!$AM$11+'TUSD BF'!$AM$11+'TUSD CVA'!$AM$11)*1</f>
        <v>121.64342985575733</v>
      </c>
      <c r="AA46" s="6">
        <f>('TE BE'!$AB$7+'TE BF'!$AB$7+'TE CVA'!$AB$7)*1</f>
        <v>114.76529888966962</v>
      </c>
      <c r="AB46" s="6">
        <f>$K$46*$V$46</f>
        <v>231166.54</v>
      </c>
      <c r="AC46" s="6">
        <f>$M$46*$W$46</f>
        <v>32189.57273</v>
      </c>
      <c r="AD46" s="6">
        <f>$O$46*$X$46</f>
        <v>47561.895429999997</v>
      </c>
      <c r="AE46" s="6">
        <f ca="1">$K$46*$Y$46</f>
        <v>285521.56729754864</v>
      </c>
      <c r="AF46" s="6">
        <f ca="1">$M$46*$Z$46</f>
        <v>43185.728823961115</v>
      </c>
      <c r="AG46" s="6">
        <f>$O$46*$AA$46</f>
        <v>40743.861646511621</v>
      </c>
    </row>
    <row r="47" spans="1:33" ht="11.25" customHeight="1" x14ac:dyDescent="0.25">
      <c r="A47" s="4" t="s">
        <v>21</v>
      </c>
      <c r="B47" s="4" t="s">
        <v>39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44713</v>
      </c>
      <c r="J47" s="6">
        <v>5950</v>
      </c>
      <c r="K47" s="6">
        <v>5950</v>
      </c>
      <c r="L47" s="6">
        <v>322.58199999999999</v>
      </c>
      <c r="M47" s="6">
        <v>322.58199999999999</v>
      </c>
      <c r="N47" s="6">
        <v>322.58199999999999</v>
      </c>
      <c r="O47" s="6">
        <v>322.58199999999999</v>
      </c>
      <c r="P47" s="6">
        <v>0</v>
      </c>
      <c r="Q47" s="4" t="s">
        <v>26</v>
      </c>
      <c r="R47" s="4">
        <v>0</v>
      </c>
      <c r="S47" s="6">
        <v>17</v>
      </c>
      <c r="T47" s="6">
        <v>10</v>
      </c>
      <c r="U47" s="6">
        <v>64</v>
      </c>
      <c r="V47" s="6">
        <f>IF(ISERROR(VLOOKUP($S$47,'TAR FIN'!$A$1:$O$91,15,0)),0,VLOOKUP($S$47,'TAR FIN'!$A$1:$O$91,15,0))</f>
        <v>38.14</v>
      </c>
      <c r="W47" s="6">
        <f>IF(ISERROR(VLOOKUP($T$47,'TAR FIN'!$A$1:$O$91,15,0)),0,VLOOKUP($T$47,'TAR FIN'!$A$1:$O$91,15,0))</f>
        <v>90.67</v>
      </c>
      <c r="X47" s="6">
        <f>IF(ISERROR(VLOOKUP($U$47,'TAR FIN'!$A$1:$O$91,15,0)),0,VLOOKUP($U$47,'TAR FIN'!$A$1:$O$91,15,0))</f>
        <v>133.97</v>
      </c>
      <c r="Y47" s="6">
        <f ca="1">('TUSD BE'!$AM$9+'TUSD BF'!$AM$9+'TUSD CVA'!$AM$9)*1</f>
        <v>47.10799658431754</v>
      </c>
      <c r="Z47" s="6">
        <f ca="1">('TUSD BE'!$AM$11+'TUSD BF'!$AM$11+'TUSD CVA'!$AM$11)*1</f>
        <v>121.64342985575733</v>
      </c>
      <c r="AA47" s="6">
        <f>('TE BE'!$AB$7+'TE BF'!$AB$7+'TE CVA'!$AB$7)*1</f>
        <v>114.76529888966962</v>
      </c>
      <c r="AB47" s="6">
        <f>$K$47*$V$47</f>
        <v>226933</v>
      </c>
      <c r="AC47" s="6">
        <f>$M$47*$W$47</f>
        <v>29248.50994</v>
      </c>
      <c r="AD47" s="6">
        <f>$O$47*$X$47</f>
        <v>43216.310539999999</v>
      </c>
      <c r="AE47" s="6">
        <f ca="1">$K$47*$Y$47</f>
        <v>280292.57967668935</v>
      </c>
      <c r="AF47" s="6">
        <f ca="1">$M$47*$Z$47</f>
        <v>39239.980889729908</v>
      </c>
      <c r="AG47" s="6">
        <f>$O$47*$AA$47</f>
        <v>37021.219646427402</v>
      </c>
    </row>
    <row r="48" spans="1:33" ht="11.25" customHeight="1" x14ac:dyDescent="0.25">
      <c r="A48" s="4" t="s">
        <v>21</v>
      </c>
      <c r="B48" s="4" t="s">
        <v>39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44743</v>
      </c>
      <c r="J48" s="6">
        <v>6156</v>
      </c>
      <c r="K48" s="6">
        <v>6156</v>
      </c>
      <c r="L48" s="6">
        <v>345.2</v>
      </c>
      <c r="M48" s="6">
        <v>345.2</v>
      </c>
      <c r="N48" s="6">
        <v>345.2</v>
      </c>
      <c r="O48" s="6">
        <v>345.2</v>
      </c>
      <c r="P48" s="6">
        <v>0</v>
      </c>
      <c r="Q48" s="4" t="s">
        <v>26</v>
      </c>
      <c r="R48" s="4">
        <v>0</v>
      </c>
      <c r="S48" s="6">
        <v>17</v>
      </c>
      <c r="T48" s="6">
        <v>10</v>
      </c>
      <c r="U48" s="6">
        <v>64</v>
      </c>
      <c r="V48" s="6">
        <f>IF(ISERROR(VLOOKUP($S$48,'TAR FIN'!$A$1:$O$91,15,0)),0,VLOOKUP($S$48,'TAR FIN'!$A$1:$O$91,15,0))</f>
        <v>38.14</v>
      </c>
      <c r="W48" s="6">
        <f>IF(ISERROR(VLOOKUP($T$48,'TAR FIN'!$A$1:$O$91,15,0)),0,VLOOKUP($T$48,'TAR FIN'!$A$1:$O$91,15,0))</f>
        <v>90.67</v>
      </c>
      <c r="X48" s="6">
        <f>IF(ISERROR(VLOOKUP($U$48,'TAR FIN'!$A$1:$O$91,15,0)),0,VLOOKUP($U$48,'TAR FIN'!$A$1:$O$91,15,0))</f>
        <v>133.97</v>
      </c>
      <c r="Y48" s="6">
        <f ca="1">('TUSD BE'!$AM$9+'TUSD BF'!$AM$9+'TUSD CVA'!$AM$9)*1</f>
        <v>47.10799658431754</v>
      </c>
      <c r="Z48" s="6">
        <f ca="1">('TUSD BE'!$AM$11+'TUSD BF'!$AM$11+'TUSD CVA'!$AM$11)*1</f>
        <v>121.64342985575733</v>
      </c>
      <c r="AA48" s="6">
        <f>('TE BE'!$AB$7+'TE BF'!$AB$7+'TE CVA'!$AB$7)*1</f>
        <v>114.76529888966962</v>
      </c>
      <c r="AB48" s="6">
        <f>$K$48*$V$48</f>
        <v>234789.84</v>
      </c>
      <c r="AC48" s="6">
        <f>$M$48*$W$48</f>
        <v>31299.284</v>
      </c>
      <c r="AD48" s="6">
        <f>$O$48*$X$48</f>
        <v>46246.443999999996</v>
      </c>
      <c r="AE48" s="6">
        <f ca="1">$K$48*$Y$48</f>
        <v>289996.82697305875</v>
      </c>
      <c r="AF48" s="6">
        <f ca="1">$M$48*$Z$48</f>
        <v>41991.311986207431</v>
      </c>
      <c r="AG48" s="6">
        <f>$O$48*$AA$48</f>
        <v>39616.981176713954</v>
      </c>
    </row>
    <row r="49" spans="1:33" ht="11.25" customHeight="1" x14ac:dyDescent="0.25">
      <c r="A49" s="4" t="s">
        <v>57</v>
      </c>
      <c r="B49" s="4" t="s">
        <v>39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44774</v>
      </c>
      <c r="J49" s="6">
        <v>6156</v>
      </c>
      <c r="K49" s="6">
        <v>6156</v>
      </c>
      <c r="L49" s="6">
        <v>345.2</v>
      </c>
      <c r="M49" s="6">
        <v>345.2</v>
      </c>
      <c r="N49" s="6">
        <v>345.2</v>
      </c>
      <c r="O49" s="6">
        <v>345.2</v>
      </c>
      <c r="P49" s="6">
        <v>0</v>
      </c>
      <c r="Q49" s="4" t="s">
        <v>26</v>
      </c>
      <c r="R49" s="4">
        <v>0</v>
      </c>
      <c r="S49" s="6">
        <v>17</v>
      </c>
      <c r="T49" s="6">
        <v>10</v>
      </c>
      <c r="U49" s="6">
        <v>64</v>
      </c>
      <c r="V49" s="6">
        <f>IF(ISERROR(VLOOKUP($S$49,'TAR FIN'!$A$1:$O$91,15,0)),0,VLOOKUP($S$49,'TAR FIN'!$A$1:$O$91,15,0))</f>
        <v>38.14</v>
      </c>
      <c r="W49" s="6">
        <f>IF(ISERROR(VLOOKUP($T$49,'TAR FIN'!$A$1:$O$91,15,0)),0,VLOOKUP($T$49,'TAR FIN'!$A$1:$O$91,15,0))</f>
        <v>90.67</v>
      </c>
      <c r="X49" s="6">
        <f>IF(ISERROR(VLOOKUP($U$49,'TAR FIN'!$A$1:$O$91,15,0)),0,VLOOKUP($U$49,'TAR FIN'!$A$1:$O$91,15,0))</f>
        <v>133.97</v>
      </c>
      <c r="Y49" s="6">
        <f ca="1">('TUSD BE'!$AM$9+'TUSD BF'!$AM$9+'TUSD CVA'!$AM$9)*1</f>
        <v>47.10799658431754</v>
      </c>
      <c r="Z49" s="6">
        <f ca="1">('TUSD BE'!$AM$11+'TUSD BF'!$AM$11+'TUSD CVA'!$AM$11)*1</f>
        <v>121.64342985575733</v>
      </c>
      <c r="AA49" s="6">
        <f>('TE BE'!$AB$7+'TE BF'!$AB$7+'TE CVA'!$AB$7)*1</f>
        <v>114.76529888966962</v>
      </c>
      <c r="AB49" s="6">
        <f>$K$49*$V$49</f>
        <v>234789.84</v>
      </c>
      <c r="AC49" s="6">
        <f>$M$49*$W$49</f>
        <v>31299.284</v>
      </c>
      <c r="AD49" s="6">
        <f>$O$49*$X$49</f>
        <v>46246.443999999996</v>
      </c>
      <c r="AE49" s="6">
        <f ca="1">$K$49*$Y$49</f>
        <v>289996.82697305875</v>
      </c>
      <c r="AF49" s="6">
        <f ca="1">$M$49*$Z$49</f>
        <v>41991.311986207431</v>
      </c>
      <c r="AG49" s="6">
        <f>$O$49*$AA$49</f>
        <v>39616.981176713954</v>
      </c>
    </row>
    <row r="50" spans="1:33" ht="11.25" customHeight="1" x14ac:dyDescent="0.25">
      <c r="A50" s="4" t="s">
        <v>21</v>
      </c>
      <c r="B50" s="4" t="s">
        <v>39</v>
      </c>
      <c r="C50" s="4" t="s">
        <v>36</v>
      </c>
      <c r="D50" s="4" t="s">
        <v>48</v>
      </c>
      <c r="E50" s="4" t="s">
        <v>49</v>
      </c>
      <c r="F50" s="4" t="s">
        <v>25</v>
      </c>
      <c r="G50" s="4" t="s">
        <v>25</v>
      </c>
      <c r="H50" s="4" t="s">
        <v>38</v>
      </c>
      <c r="I50" s="5">
        <v>44440</v>
      </c>
      <c r="J50" s="6">
        <v>505</v>
      </c>
      <c r="K50" s="58">
        <v>505</v>
      </c>
      <c r="L50" s="6">
        <v>145.86699999999999</v>
      </c>
      <c r="M50" s="59">
        <v>145.86699999999999</v>
      </c>
      <c r="N50" s="6">
        <v>145.86699999999999</v>
      </c>
      <c r="O50" s="59">
        <v>145.86699999999999</v>
      </c>
      <c r="P50" s="6">
        <v>0</v>
      </c>
      <c r="Q50" s="4" t="s">
        <v>26</v>
      </c>
      <c r="R50" s="4">
        <v>0</v>
      </c>
      <c r="S50" s="6">
        <v>12</v>
      </c>
      <c r="T50" s="6">
        <v>10</v>
      </c>
      <c r="U50" s="6">
        <v>85</v>
      </c>
      <c r="V50" s="59">
        <f>IF(ISERROR(VLOOKUP($S$50,'TAR FIN'!$A$1:$O$91,15,0)),0,VLOOKUP($S$50,'TAR FIN'!$A$1:$O$91,15,0))*(1-0.06)</f>
        <v>13.582999999999998</v>
      </c>
      <c r="W50" s="59">
        <f>IF(ISERROR(VLOOKUP($T$50,'TAR FIN'!$A$1:$O$91,15,0)),0,VLOOKUP($T$50,'TAR FIN'!$A$1:$O$91,15,0))*(1-0.06)</f>
        <v>85.229799999999997</v>
      </c>
      <c r="X50" s="59">
        <f>IF(ISERROR(VLOOKUP($U$50,'TAR FIN'!$A$1:$O$91,15,0)),0,VLOOKUP($U$50,'TAR FIN'!$A$1:$O$91,15,0))*(1-0.06)</f>
        <v>125.9318</v>
      </c>
      <c r="Y50" s="59">
        <f ca="1">('TUSD BE'!$AM$10+'TUSD BF'!$AM$10+'TUSD CVA'!$AM$10)*1*(1-0.03)</f>
        <v>17.821144123367016</v>
      </c>
      <c r="Z50" s="59">
        <f ca="1">('TUSD BE'!$AM$11+'TUSD BF'!$AM$11+'TUSD CVA'!$AM$11)*1*(1-0.03)</f>
        <v>117.99412696008461</v>
      </c>
      <c r="AA50" s="59">
        <f>('TE BE'!$AB$8+'TE BF'!$AB$8+'TE CVA'!$AB$8)*1*(1-0.03)</f>
        <v>111.32233992297954</v>
      </c>
      <c r="AB50" s="6">
        <f>$K$50*$V$50</f>
        <v>6859.4149999999991</v>
      </c>
      <c r="AC50" s="6">
        <f>$M$50*$W$50</f>
        <v>12432.215236599999</v>
      </c>
      <c r="AD50" s="6">
        <f>$O$50*$X$50</f>
        <v>18369.293870599999</v>
      </c>
      <c r="AE50" s="6">
        <f ca="1">$K$50*$Y$50</f>
        <v>8999.6777823003431</v>
      </c>
      <c r="AF50" s="6">
        <f ca="1">$M$50*$Z$50</f>
        <v>17211.449317286661</v>
      </c>
      <c r="AG50" s="6">
        <f>$O$50*$AA$50</f>
        <v>16238.255757545256</v>
      </c>
    </row>
    <row r="51" spans="1:33" ht="11.25" customHeight="1" x14ac:dyDescent="0.25">
      <c r="A51" s="4" t="s">
        <v>21</v>
      </c>
      <c r="B51" s="4" t="s">
        <v>39</v>
      </c>
      <c r="C51" s="4" t="s">
        <v>36</v>
      </c>
      <c r="D51" s="4" t="s">
        <v>48</v>
      </c>
      <c r="E51" s="4" t="s">
        <v>49</v>
      </c>
      <c r="F51" s="4" t="s">
        <v>25</v>
      </c>
      <c r="G51" s="4" t="s">
        <v>25</v>
      </c>
      <c r="H51" s="4" t="s">
        <v>38</v>
      </c>
      <c r="I51" s="5">
        <v>44470</v>
      </c>
      <c r="J51" s="6">
        <v>447</v>
      </c>
      <c r="K51" s="58">
        <v>447</v>
      </c>
      <c r="L51" s="6">
        <v>144.97499999999999</v>
      </c>
      <c r="M51" s="59">
        <v>144.97499999999999</v>
      </c>
      <c r="N51" s="6">
        <v>144.97499999999999</v>
      </c>
      <c r="O51" s="59">
        <v>144.97499999999999</v>
      </c>
      <c r="P51" s="6">
        <v>0</v>
      </c>
      <c r="Q51" s="4" t="s">
        <v>26</v>
      </c>
      <c r="R51" s="4">
        <v>0</v>
      </c>
      <c r="S51" s="6">
        <v>12</v>
      </c>
      <c r="T51" s="6">
        <v>10</v>
      </c>
      <c r="U51" s="6">
        <v>85</v>
      </c>
      <c r="V51" s="59">
        <f>IF(ISERROR(VLOOKUP($S$51,'TAR FIN'!$A$1:$O$91,15,0)),0,VLOOKUP($S$51,'TAR FIN'!$A$1:$O$91,15,0))*(1-0.06)</f>
        <v>13.582999999999998</v>
      </c>
      <c r="W51" s="59">
        <f>IF(ISERROR(VLOOKUP($T$51,'TAR FIN'!$A$1:$O$91,15,0)),0,VLOOKUP($T$51,'TAR FIN'!$A$1:$O$91,15,0))*(1-0.06)</f>
        <v>85.229799999999997</v>
      </c>
      <c r="X51" s="59">
        <f>IF(ISERROR(VLOOKUP($U$51,'TAR FIN'!$A$1:$O$91,15,0)),0,VLOOKUP($U$51,'TAR FIN'!$A$1:$O$91,15,0))*(1-0.06)</f>
        <v>125.9318</v>
      </c>
      <c r="Y51" s="59">
        <f ca="1">('TUSD BE'!$AM$10+'TUSD BF'!$AM$10+'TUSD CVA'!$AM$10)*1*(1-0.03)</f>
        <v>17.821144123367016</v>
      </c>
      <c r="Z51" s="59">
        <f ca="1">('TUSD BE'!$AM$11+'TUSD BF'!$AM$11+'TUSD CVA'!$AM$11)*1*(1-0.03)</f>
        <v>117.99412696008461</v>
      </c>
      <c r="AA51" s="59">
        <f>('TE BE'!$AB$8+'TE BF'!$AB$8+'TE CVA'!$AB$8)*1*(1-0.03)</f>
        <v>111.32233992297954</v>
      </c>
      <c r="AB51" s="6">
        <f>$K$51*$V$51</f>
        <v>6071.6009999999997</v>
      </c>
      <c r="AC51" s="6">
        <f>$M$51*$W$51</f>
        <v>12356.190255</v>
      </c>
      <c r="AD51" s="6">
        <f>$O$51*$X$51</f>
        <v>18256.962704999998</v>
      </c>
      <c r="AE51" s="6">
        <f ca="1">$K$51*$Y$51</f>
        <v>7966.0514231450561</v>
      </c>
      <c r="AF51" s="6">
        <f ca="1">$M$51*$Z$51</f>
        <v>17106.198556038267</v>
      </c>
      <c r="AG51" s="6">
        <f>$O$51*$AA$51</f>
        <v>16138.956230333957</v>
      </c>
    </row>
    <row r="52" spans="1:33" ht="11.25" customHeight="1" x14ac:dyDescent="0.25">
      <c r="A52" s="4" t="s">
        <v>21</v>
      </c>
      <c r="B52" s="4" t="s">
        <v>39</v>
      </c>
      <c r="C52" s="4" t="s">
        <v>36</v>
      </c>
      <c r="D52" s="4" t="s">
        <v>48</v>
      </c>
      <c r="E52" s="4" t="s">
        <v>49</v>
      </c>
      <c r="F52" s="4" t="s">
        <v>25</v>
      </c>
      <c r="G52" s="4" t="s">
        <v>25</v>
      </c>
      <c r="H52" s="4" t="s">
        <v>38</v>
      </c>
      <c r="I52" s="5">
        <v>44501</v>
      </c>
      <c r="J52" s="6">
        <v>447</v>
      </c>
      <c r="K52" s="58">
        <v>447</v>
      </c>
      <c r="L52" s="6">
        <v>146.18100000000001</v>
      </c>
      <c r="M52" s="59">
        <v>146.18100000000001</v>
      </c>
      <c r="N52" s="6">
        <v>146.18100000000001</v>
      </c>
      <c r="O52" s="59">
        <v>146.18100000000001</v>
      </c>
      <c r="P52" s="6">
        <v>0</v>
      </c>
      <c r="Q52" s="4" t="s">
        <v>26</v>
      </c>
      <c r="R52" s="4">
        <v>0</v>
      </c>
      <c r="S52" s="6">
        <v>12</v>
      </c>
      <c r="T52" s="6">
        <v>10</v>
      </c>
      <c r="U52" s="6">
        <v>85</v>
      </c>
      <c r="V52" s="59">
        <f>IF(ISERROR(VLOOKUP($S$52,'TAR FIN'!$A$1:$O$91,15,0)),0,VLOOKUP($S$52,'TAR FIN'!$A$1:$O$91,15,0))*(1-0.06)</f>
        <v>13.582999999999998</v>
      </c>
      <c r="W52" s="59">
        <f>IF(ISERROR(VLOOKUP($T$52,'TAR FIN'!$A$1:$O$91,15,0)),0,VLOOKUP($T$52,'TAR FIN'!$A$1:$O$91,15,0))*(1-0.06)</f>
        <v>85.229799999999997</v>
      </c>
      <c r="X52" s="59">
        <f>IF(ISERROR(VLOOKUP($U$52,'TAR FIN'!$A$1:$O$91,15,0)),0,VLOOKUP($U$52,'TAR FIN'!$A$1:$O$91,15,0))*(1-0.06)</f>
        <v>125.9318</v>
      </c>
      <c r="Y52" s="59">
        <f ca="1">('TUSD BE'!$AM$10+'TUSD BF'!$AM$10+'TUSD CVA'!$AM$10)*1*(1-0.03)</f>
        <v>17.821144123367016</v>
      </c>
      <c r="Z52" s="59">
        <f ca="1">('TUSD BE'!$AM$11+'TUSD BF'!$AM$11+'TUSD CVA'!$AM$11)*1*(1-0.03)</f>
        <v>117.99412696008461</v>
      </c>
      <c r="AA52" s="59">
        <f>('TE BE'!$AB$8+'TE BF'!$AB$8+'TE CVA'!$AB$8)*1*(1-0.03)</f>
        <v>111.32233992297954</v>
      </c>
      <c r="AB52" s="6">
        <f>$K$52*$V$52</f>
        <v>6071.6009999999997</v>
      </c>
      <c r="AC52" s="6">
        <f>$M$52*$W$52</f>
        <v>12458.9773938</v>
      </c>
      <c r="AD52" s="6">
        <f>$O$52*$X$52</f>
        <v>18408.836455799999</v>
      </c>
      <c r="AE52" s="6">
        <f ca="1">$K$52*$Y$52</f>
        <v>7966.0514231450561</v>
      </c>
      <c r="AF52" s="6">
        <f ca="1">$M$52*$Z$52</f>
        <v>17248.499473152129</v>
      </c>
      <c r="AG52" s="6">
        <f>$O$52*$AA$52</f>
        <v>16273.210972281073</v>
      </c>
    </row>
    <row r="53" spans="1:33" ht="11.25" customHeight="1" x14ac:dyDescent="0.25">
      <c r="A53" s="4" t="s">
        <v>21</v>
      </c>
      <c r="B53" s="4" t="s">
        <v>39</v>
      </c>
      <c r="C53" s="4" t="s">
        <v>36</v>
      </c>
      <c r="D53" s="4" t="s">
        <v>48</v>
      </c>
      <c r="E53" s="4" t="s">
        <v>49</v>
      </c>
      <c r="F53" s="4" t="s">
        <v>25</v>
      </c>
      <c r="G53" s="4" t="s">
        <v>25</v>
      </c>
      <c r="H53" s="4" t="s">
        <v>38</v>
      </c>
      <c r="I53" s="5">
        <v>44531</v>
      </c>
      <c r="J53" s="6">
        <v>447</v>
      </c>
      <c r="K53" s="58">
        <v>447</v>
      </c>
      <c r="L53" s="6">
        <v>145.358</v>
      </c>
      <c r="M53" s="59">
        <v>145.358</v>
      </c>
      <c r="N53" s="6">
        <v>145.358</v>
      </c>
      <c r="O53" s="59">
        <v>145.358</v>
      </c>
      <c r="P53" s="6">
        <v>0</v>
      </c>
      <c r="Q53" s="4" t="s">
        <v>26</v>
      </c>
      <c r="R53" s="4">
        <v>0</v>
      </c>
      <c r="S53" s="6">
        <v>12</v>
      </c>
      <c r="T53" s="6">
        <v>10</v>
      </c>
      <c r="U53" s="6">
        <v>85</v>
      </c>
      <c r="V53" s="59">
        <f>IF(ISERROR(VLOOKUP($S$53,'TAR FIN'!$A$1:$O$91,15,0)),0,VLOOKUP($S$53,'TAR FIN'!$A$1:$O$91,15,0))*(1-0.06)</f>
        <v>13.582999999999998</v>
      </c>
      <c r="W53" s="59">
        <f>IF(ISERROR(VLOOKUP($T$53,'TAR FIN'!$A$1:$O$91,15,0)),0,VLOOKUP($T$53,'TAR FIN'!$A$1:$O$91,15,0))*(1-0.06)</f>
        <v>85.229799999999997</v>
      </c>
      <c r="X53" s="59">
        <f>IF(ISERROR(VLOOKUP($U$53,'TAR FIN'!$A$1:$O$91,15,0)),0,VLOOKUP($U$53,'TAR FIN'!$A$1:$O$91,15,0))*(1-0.06)</f>
        <v>125.9318</v>
      </c>
      <c r="Y53" s="59">
        <f ca="1">('TUSD BE'!$AM$10+'TUSD BF'!$AM$10+'TUSD CVA'!$AM$10)*1*(1-0.03)</f>
        <v>17.821144123367016</v>
      </c>
      <c r="Z53" s="59">
        <f ca="1">('TUSD BE'!$AM$11+'TUSD BF'!$AM$11+'TUSD CVA'!$AM$11)*1*(1-0.03)</f>
        <v>117.99412696008461</v>
      </c>
      <c r="AA53" s="59">
        <f>('TE BE'!$AB$8+'TE BF'!$AB$8+'TE CVA'!$AB$8)*1*(1-0.03)</f>
        <v>111.32233992297954</v>
      </c>
      <c r="AB53" s="6">
        <f>$K$53*$V$53</f>
        <v>6071.6009999999997</v>
      </c>
      <c r="AC53" s="6">
        <f>$M$53*$W$53</f>
        <v>12388.8332684</v>
      </c>
      <c r="AD53" s="6">
        <f>$O$53*$X$53</f>
        <v>18305.1945844</v>
      </c>
      <c r="AE53" s="6">
        <f ca="1">$K$53*$Y$53</f>
        <v>7966.0514231450561</v>
      </c>
      <c r="AF53" s="6">
        <f ca="1">$M$53*$Z$53</f>
        <v>17151.39030666398</v>
      </c>
      <c r="AG53" s="6">
        <f>$O$53*$AA$53</f>
        <v>16181.59268652446</v>
      </c>
    </row>
    <row r="54" spans="1:33" ht="11.25" customHeight="1" x14ac:dyDescent="0.25">
      <c r="A54" s="4" t="s">
        <v>21</v>
      </c>
      <c r="B54" s="4" t="s">
        <v>39</v>
      </c>
      <c r="C54" s="4" t="s">
        <v>36</v>
      </c>
      <c r="D54" s="4" t="s">
        <v>48</v>
      </c>
      <c r="E54" s="4" t="s">
        <v>49</v>
      </c>
      <c r="F54" s="4" t="s">
        <v>25</v>
      </c>
      <c r="G54" s="4" t="s">
        <v>25</v>
      </c>
      <c r="H54" s="4" t="s">
        <v>38</v>
      </c>
      <c r="I54" s="5">
        <v>44562</v>
      </c>
      <c r="J54" s="6">
        <v>447</v>
      </c>
      <c r="K54" s="58">
        <v>447</v>
      </c>
      <c r="L54" s="6">
        <v>150.84800000000001</v>
      </c>
      <c r="M54" s="59">
        <v>150.84800000000001</v>
      </c>
      <c r="N54" s="6">
        <v>150.84800000000001</v>
      </c>
      <c r="O54" s="59">
        <v>150.84800000000001</v>
      </c>
      <c r="P54" s="6">
        <v>0</v>
      </c>
      <c r="Q54" s="4" t="s">
        <v>26</v>
      </c>
      <c r="R54" s="4">
        <v>0</v>
      </c>
      <c r="S54" s="6">
        <v>12</v>
      </c>
      <c r="T54" s="6">
        <v>10</v>
      </c>
      <c r="U54" s="6">
        <v>85</v>
      </c>
      <c r="V54" s="59">
        <f>IF(ISERROR(VLOOKUP($S$54,'TAR FIN'!$A$1:$O$91,15,0)),0,VLOOKUP($S$54,'TAR FIN'!$A$1:$O$91,15,0))*(1-0.06)</f>
        <v>13.582999999999998</v>
      </c>
      <c r="W54" s="59">
        <f>IF(ISERROR(VLOOKUP($T$54,'TAR FIN'!$A$1:$O$91,15,0)),0,VLOOKUP($T$54,'TAR FIN'!$A$1:$O$91,15,0))*(1-0.06)</f>
        <v>85.229799999999997</v>
      </c>
      <c r="X54" s="59">
        <f>IF(ISERROR(VLOOKUP($U$54,'TAR FIN'!$A$1:$O$91,15,0)),0,VLOOKUP($U$54,'TAR FIN'!$A$1:$O$91,15,0))*(1-0.06)</f>
        <v>125.9318</v>
      </c>
      <c r="Y54" s="59">
        <f ca="1">('TUSD BE'!$AM$10+'TUSD BF'!$AM$10+'TUSD CVA'!$AM$10)*1*(1-0.03)</f>
        <v>17.821144123367016</v>
      </c>
      <c r="Z54" s="59">
        <f ca="1">('TUSD BE'!$AM$11+'TUSD BF'!$AM$11+'TUSD CVA'!$AM$11)*1*(1-0.03)</f>
        <v>117.99412696008461</v>
      </c>
      <c r="AA54" s="59">
        <f>('TE BE'!$AB$8+'TE BF'!$AB$8+'TE CVA'!$AB$8)*1*(1-0.03)</f>
        <v>111.32233992297954</v>
      </c>
      <c r="AB54" s="6">
        <f>$K$54*$V$54</f>
        <v>6071.6009999999997</v>
      </c>
      <c r="AC54" s="6">
        <f>$M$54*$W$54</f>
        <v>12856.7448704</v>
      </c>
      <c r="AD54" s="6">
        <f>$O$54*$X$54</f>
        <v>18996.560166400002</v>
      </c>
      <c r="AE54" s="6">
        <f ca="1">$K$54*$Y$54</f>
        <v>7966.0514231450561</v>
      </c>
      <c r="AF54" s="6">
        <f ca="1">$M$54*$Z$54</f>
        <v>17799.178063674844</v>
      </c>
      <c r="AG54" s="6">
        <f>$O$54*$AA$54</f>
        <v>16792.752332701617</v>
      </c>
    </row>
    <row r="55" spans="1:33" ht="11.25" customHeight="1" x14ac:dyDescent="0.25">
      <c r="A55" s="4" t="s">
        <v>21</v>
      </c>
      <c r="B55" s="4" t="s">
        <v>39</v>
      </c>
      <c r="C55" s="4" t="s">
        <v>36</v>
      </c>
      <c r="D55" s="4" t="s">
        <v>48</v>
      </c>
      <c r="E55" s="4" t="s">
        <v>49</v>
      </c>
      <c r="F55" s="4" t="s">
        <v>25</v>
      </c>
      <c r="G55" s="4" t="s">
        <v>25</v>
      </c>
      <c r="H55" s="4" t="s">
        <v>38</v>
      </c>
      <c r="I55" s="5">
        <v>44593</v>
      </c>
      <c r="J55" s="6">
        <v>447</v>
      </c>
      <c r="K55" s="58">
        <v>447</v>
      </c>
      <c r="L55" s="6">
        <v>148.161</v>
      </c>
      <c r="M55" s="59">
        <v>148.161</v>
      </c>
      <c r="N55" s="6">
        <v>148.161</v>
      </c>
      <c r="O55" s="59">
        <v>148.161</v>
      </c>
      <c r="P55" s="6">
        <v>0</v>
      </c>
      <c r="Q55" s="4" t="s">
        <v>26</v>
      </c>
      <c r="R55" s="4">
        <v>0</v>
      </c>
      <c r="S55" s="6">
        <v>12</v>
      </c>
      <c r="T55" s="6">
        <v>10</v>
      </c>
      <c r="U55" s="6">
        <v>85</v>
      </c>
      <c r="V55" s="59">
        <f>IF(ISERROR(VLOOKUP($S$55,'TAR FIN'!$A$1:$O$91,15,0)),0,VLOOKUP($S$55,'TAR FIN'!$A$1:$O$91,15,0))*(1-0.06)</f>
        <v>13.582999999999998</v>
      </c>
      <c r="W55" s="59">
        <f>IF(ISERROR(VLOOKUP($T$55,'TAR FIN'!$A$1:$O$91,15,0)),0,VLOOKUP($T$55,'TAR FIN'!$A$1:$O$91,15,0))*(1-0.06)</f>
        <v>85.229799999999997</v>
      </c>
      <c r="X55" s="59">
        <f>IF(ISERROR(VLOOKUP($U$55,'TAR FIN'!$A$1:$O$91,15,0)),0,VLOOKUP($U$55,'TAR FIN'!$A$1:$O$91,15,0))*(1-0.06)</f>
        <v>125.9318</v>
      </c>
      <c r="Y55" s="59">
        <f ca="1">('TUSD BE'!$AM$10+'TUSD BF'!$AM$10+'TUSD CVA'!$AM$10)*1*(1-0.03)</f>
        <v>17.821144123367016</v>
      </c>
      <c r="Z55" s="59">
        <f ca="1">('TUSD BE'!$AM$11+'TUSD BF'!$AM$11+'TUSD CVA'!$AM$11)*1*(1-0.03)</f>
        <v>117.99412696008461</v>
      </c>
      <c r="AA55" s="59">
        <f>('TE BE'!$AB$8+'TE BF'!$AB$8+'TE CVA'!$AB$8)*1*(1-0.03)</f>
        <v>111.32233992297954</v>
      </c>
      <c r="AB55" s="6">
        <f>$K$55*$V$55</f>
        <v>6071.6009999999997</v>
      </c>
      <c r="AC55" s="6">
        <f>$M$55*$W$55</f>
        <v>12627.7323978</v>
      </c>
      <c r="AD55" s="6">
        <f>$O$55*$X$55</f>
        <v>18658.181419799999</v>
      </c>
      <c r="AE55" s="6">
        <f ca="1">$K$55*$Y$55</f>
        <v>7966.0514231450561</v>
      </c>
      <c r="AF55" s="6">
        <f ca="1">$M$55*$Z$55</f>
        <v>17482.127844533097</v>
      </c>
      <c r="AG55" s="6">
        <f>$O$55*$AA$55</f>
        <v>16493.629205328572</v>
      </c>
    </row>
    <row r="56" spans="1:33" ht="11.25" customHeight="1" x14ac:dyDescent="0.25">
      <c r="A56" s="4" t="s">
        <v>21</v>
      </c>
      <c r="B56" s="4" t="s">
        <v>39</v>
      </c>
      <c r="C56" s="4" t="s">
        <v>36</v>
      </c>
      <c r="D56" s="4" t="s">
        <v>48</v>
      </c>
      <c r="E56" s="4" t="s">
        <v>49</v>
      </c>
      <c r="F56" s="4" t="s">
        <v>25</v>
      </c>
      <c r="G56" s="4" t="s">
        <v>25</v>
      </c>
      <c r="H56" s="4" t="s">
        <v>38</v>
      </c>
      <c r="I56" s="5">
        <v>44621</v>
      </c>
      <c r="J56" s="6">
        <v>447</v>
      </c>
      <c r="K56" s="58">
        <v>447</v>
      </c>
      <c r="L56" s="6">
        <v>160.24100000000001</v>
      </c>
      <c r="M56" s="59">
        <v>160.24100000000001</v>
      </c>
      <c r="N56" s="6">
        <v>160.24100000000001</v>
      </c>
      <c r="O56" s="59">
        <v>160.24100000000001</v>
      </c>
      <c r="P56" s="6">
        <v>0</v>
      </c>
      <c r="Q56" s="4" t="s">
        <v>26</v>
      </c>
      <c r="R56" s="4">
        <v>0</v>
      </c>
      <c r="S56" s="6">
        <v>12</v>
      </c>
      <c r="T56" s="6">
        <v>10</v>
      </c>
      <c r="U56" s="6">
        <v>85</v>
      </c>
      <c r="V56" s="59">
        <f>IF(ISERROR(VLOOKUP($S$56,'TAR FIN'!$A$1:$O$91,15,0)),0,VLOOKUP($S$56,'TAR FIN'!$A$1:$O$91,15,0))*(1-0.06)</f>
        <v>13.582999999999998</v>
      </c>
      <c r="W56" s="59">
        <f>IF(ISERROR(VLOOKUP($T$56,'TAR FIN'!$A$1:$O$91,15,0)),0,VLOOKUP($T$56,'TAR FIN'!$A$1:$O$91,15,0))*(1-0.06)</f>
        <v>85.229799999999997</v>
      </c>
      <c r="X56" s="59">
        <f>IF(ISERROR(VLOOKUP($U$56,'TAR FIN'!$A$1:$O$91,15,0)),0,VLOOKUP($U$56,'TAR FIN'!$A$1:$O$91,15,0))*(1-0.06)</f>
        <v>125.9318</v>
      </c>
      <c r="Y56" s="59">
        <f ca="1">('TUSD BE'!$AM$10+'TUSD BF'!$AM$10+'TUSD CVA'!$AM$10)*1*(1-0.03)</f>
        <v>17.821144123367016</v>
      </c>
      <c r="Z56" s="59">
        <f ca="1">('TUSD BE'!$AM$11+'TUSD BF'!$AM$11+'TUSD CVA'!$AM$11)*1*(1-0.03)</f>
        <v>117.99412696008461</v>
      </c>
      <c r="AA56" s="59">
        <f>('TE BE'!$AB$8+'TE BF'!$AB$8+'TE CVA'!$AB$8)*1*(1-0.03)</f>
        <v>111.32233992297954</v>
      </c>
      <c r="AB56" s="6">
        <f>$K$56*$V$56</f>
        <v>6071.6009999999997</v>
      </c>
      <c r="AC56" s="6">
        <f>$M$56*$W$56</f>
        <v>13657.308381800001</v>
      </c>
      <c r="AD56" s="6">
        <f>$O$56*$X$56</f>
        <v>20179.437563800002</v>
      </c>
      <c r="AE56" s="6">
        <f ca="1">$K$56*$Y$56</f>
        <v>7966.0514231450561</v>
      </c>
      <c r="AF56" s="6">
        <f ca="1">$M$56*$Z$56</f>
        <v>18907.49689821092</v>
      </c>
      <c r="AG56" s="6">
        <f>$O$56*$AA$56</f>
        <v>17838.403071598164</v>
      </c>
    </row>
    <row r="57" spans="1:33" ht="11.25" customHeight="1" x14ac:dyDescent="0.25">
      <c r="A57" s="4" t="s">
        <v>21</v>
      </c>
      <c r="B57" s="4" t="s">
        <v>39</v>
      </c>
      <c r="C57" s="4" t="s">
        <v>36</v>
      </c>
      <c r="D57" s="4" t="s">
        <v>48</v>
      </c>
      <c r="E57" s="4" t="s">
        <v>49</v>
      </c>
      <c r="F57" s="4" t="s">
        <v>25</v>
      </c>
      <c r="G57" s="4" t="s">
        <v>25</v>
      </c>
      <c r="H57" s="4" t="s">
        <v>38</v>
      </c>
      <c r="I57" s="5">
        <v>44652</v>
      </c>
      <c r="J57" s="6">
        <v>447</v>
      </c>
      <c r="K57" s="58">
        <v>447</v>
      </c>
      <c r="L57" s="6">
        <v>137.077</v>
      </c>
      <c r="M57" s="59">
        <v>137.077</v>
      </c>
      <c r="N57" s="6">
        <v>137.077</v>
      </c>
      <c r="O57" s="59">
        <v>137.077</v>
      </c>
      <c r="P57" s="6">
        <v>0</v>
      </c>
      <c r="Q57" s="4" t="s">
        <v>26</v>
      </c>
      <c r="R57" s="4">
        <v>0</v>
      </c>
      <c r="S57" s="6">
        <v>12</v>
      </c>
      <c r="T57" s="6">
        <v>10</v>
      </c>
      <c r="U57" s="6">
        <v>85</v>
      </c>
      <c r="V57" s="59">
        <f>IF(ISERROR(VLOOKUP($S$57,'TAR FIN'!$A$1:$O$91,15,0)),0,VLOOKUP($S$57,'TAR FIN'!$A$1:$O$91,15,0))*(1-0.06)</f>
        <v>13.582999999999998</v>
      </c>
      <c r="W57" s="59">
        <f>IF(ISERROR(VLOOKUP($T$57,'TAR FIN'!$A$1:$O$91,15,0)),0,VLOOKUP($T$57,'TAR FIN'!$A$1:$O$91,15,0))*(1-0.06)</f>
        <v>85.229799999999997</v>
      </c>
      <c r="X57" s="59">
        <f>IF(ISERROR(VLOOKUP($U$57,'TAR FIN'!$A$1:$O$91,15,0)),0,VLOOKUP($U$57,'TAR FIN'!$A$1:$O$91,15,0))*(1-0.06)</f>
        <v>125.9318</v>
      </c>
      <c r="Y57" s="59">
        <f ca="1">('TUSD BE'!$AM$10+'TUSD BF'!$AM$10+'TUSD CVA'!$AM$10)*1*(1-0.03)</f>
        <v>17.821144123367016</v>
      </c>
      <c r="Z57" s="59">
        <f ca="1">('TUSD BE'!$AM$11+'TUSD BF'!$AM$11+'TUSD CVA'!$AM$11)*1*(1-0.03)</f>
        <v>117.99412696008461</v>
      </c>
      <c r="AA57" s="59">
        <f>('TE BE'!$AB$8+'TE BF'!$AB$8+'TE CVA'!$AB$8)*1*(1-0.03)</f>
        <v>111.32233992297954</v>
      </c>
      <c r="AB57" s="6">
        <f>$K$57*$V$57</f>
        <v>6071.6009999999997</v>
      </c>
      <c r="AC57" s="6">
        <f>$M$57*$W$57</f>
        <v>11683.045294599999</v>
      </c>
      <c r="AD57" s="6">
        <f>$O$57*$X$57</f>
        <v>17262.353348599998</v>
      </c>
      <c r="AE57" s="6">
        <f ca="1">$K$57*$Y$57</f>
        <v>7966.0514231450561</v>
      </c>
      <c r="AF57" s="6">
        <f ca="1">$M$57*$Z$57</f>
        <v>16174.280941307519</v>
      </c>
      <c r="AG57" s="6">
        <f>$O$57*$AA$57</f>
        <v>15259.732389622266</v>
      </c>
    </row>
    <row r="58" spans="1:33" ht="11.25" customHeight="1" x14ac:dyDescent="0.25">
      <c r="A58" s="4" t="s">
        <v>21</v>
      </c>
      <c r="B58" s="4" t="s">
        <v>39</v>
      </c>
      <c r="C58" s="4" t="s">
        <v>36</v>
      </c>
      <c r="D58" s="4" t="s">
        <v>48</v>
      </c>
      <c r="E58" s="4" t="s">
        <v>49</v>
      </c>
      <c r="F58" s="4" t="s">
        <v>25</v>
      </c>
      <c r="G58" s="4" t="s">
        <v>25</v>
      </c>
      <c r="H58" s="4" t="s">
        <v>38</v>
      </c>
      <c r="I58" s="5">
        <v>44682</v>
      </c>
      <c r="J58" s="6">
        <v>497</v>
      </c>
      <c r="K58" s="58">
        <v>497</v>
      </c>
      <c r="L58" s="6">
        <v>130.45599999999999</v>
      </c>
      <c r="M58" s="59">
        <v>130.45599999999999</v>
      </c>
      <c r="N58" s="6">
        <v>130.45599999999999</v>
      </c>
      <c r="O58" s="59">
        <v>130.45599999999999</v>
      </c>
      <c r="P58" s="6">
        <v>0</v>
      </c>
      <c r="Q58" s="4" t="s">
        <v>26</v>
      </c>
      <c r="R58" s="4">
        <v>0</v>
      </c>
      <c r="S58" s="6">
        <v>12</v>
      </c>
      <c r="T58" s="6">
        <v>10</v>
      </c>
      <c r="U58" s="6">
        <v>85</v>
      </c>
      <c r="V58" s="59">
        <f>IF(ISERROR(VLOOKUP($S$58,'TAR FIN'!$A$1:$O$91,15,0)),0,VLOOKUP($S$58,'TAR FIN'!$A$1:$O$91,15,0))*(1-0.06)</f>
        <v>13.582999999999998</v>
      </c>
      <c r="W58" s="59">
        <f>IF(ISERROR(VLOOKUP($T$58,'TAR FIN'!$A$1:$O$91,15,0)),0,VLOOKUP($T$58,'TAR FIN'!$A$1:$O$91,15,0))*(1-0.06)</f>
        <v>85.229799999999997</v>
      </c>
      <c r="X58" s="59">
        <f>IF(ISERROR(VLOOKUP($U$58,'TAR FIN'!$A$1:$O$91,15,0)),0,VLOOKUP($U$58,'TAR FIN'!$A$1:$O$91,15,0))*(1-0.06)</f>
        <v>125.9318</v>
      </c>
      <c r="Y58" s="59">
        <f ca="1">('TUSD BE'!$AM$10+'TUSD BF'!$AM$10+'TUSD CVA'!$AM$10)*1*(1-0.03)</f>
        <v>17.821144123367016</v>
      </c>
      <c r="Z58" s="59">
        <f ca="1">('TUSD BE'!$AM$11+'TUSD BF'!$AM$11+'TUSD CVA'!$AM$11)*1*(1-0.03)</f>
        <v>117.99412696008461</v>
      </c>
      <c r="AA58" s="59">
        <f>('TE BE'!$AB$8+'TE BF'!$AB$8+'TE CVA'!$AB$8)*1*(1-0.03)</f>
        <v>111.32233992297954</v>
      </c>
      <c r="AB58" s="6">
        <f>$K$58*$V$58</f>
        <v>6750.7509999999993</v>
      </c>
      <c r="AC58" s="6">
        <f>$M$58*$W$58</f>
        <v>11118.738788799999</v>
      </c>
      <c r="AD58" s="6">
        <f>$O$58*$X$58</f>
        <v>16428.558900799999</v>
      </c>
      <c r="AE58" s="6">
        <f ca="1">$K$58*$Y$58</f>
        <v>8857.1086293134067</v>
      </c>
      <c r="AF58" s="6">
        <f ca="1">$M$58*$Z$58</f>
        <v>15393.041826704797</v>
      </c>
      <c r="AG58" s="6">
        <f>$O$58*$AA$58</f>
        <v>14522.667176992218</v>
      </c>
    </row>
    <row r="59" spans="1:33" ht="11.25" customHeight="1" x14ac:dyDescent="0.25">
      <c r="A59" s="4" t="s">
        <v>21</v>
      </c>
      <c r="B59" s="4" t="s">
        <v>39</v>
      </c>
      <c r="C59" s="4" t="s">
        <v>36</v>
      </c>
      <c r="D59" s="4" t="s">
        <v>48</v>
      </c>
      <c r="E59" s="4" t="s">
        <v>49</v>
      </c>
      <c r="F59" s="4" t="s">
        <v>25</v>
      </c>
      <c r="G59" s="4" t="s">
        <v>25</v>
      </c>
      <c r="H59" s="4" t="s">
        <v>38</v>
      </c>
      <c r="I59" s="5">
        <v>44713</v>
      </c>
      <c r="J59" s="6">
        <v>497</v>
      </c>
      <c r="K59" s="58">
        <v>497</v>
      </c>
      <c r="L59" s="6">
        <v>136.583</v>
      </c>
      <c r="M59" s="59">
        <v>136.583</v>
      </c>
      <c r="N59" s="6">
        <v>136.583</v>
      </c>
      <c r="O59" s="59">
        <v>136.583</v>
      </c>
      <c r="P59" s="6">
        <v>0</v>
      </c>
      <c r="Q59" s="4" t="s">
        <v>26</v>
      </c>
      <c r="R59" s="4">
        <v>0</v>
      </c>
      <c r="S59" s="6">
        <v>12</v>
      </c>
      <c r="T59" s="6">
        <v>10</v>
      </c>
      <c r="U59" s="6">
        <v>85</v>
      </c>
      <c r="V59" s="59">
        <f>IF(ISERROR(VLOOKUP($S$59,'TAR FIN'!$A$1:$O$91,15,0)),0,VLOOKUP($S$59,'TAR FIN'!$A$1:$O$91,15,0))*(1-0.06)</f>
        <v>13.582999999999998</v>
      </c>
      <c r="W59" s="59">
        <f>IF(ISERROR(VLOOKUP($T$59,'TAR FIN'!$A$1:$O$91,15,0)),0,VLOOKUP($T$59,'TAR FIN'!$A$1:$O$91,15,0))*(1-0.06)</f>
        <v>85.229799999999997</v>
      </c>
      <c r="X59" s="59">
        <f>IF(ISERROR(VLOOKUP($U$59,'TAR FIN'!$A$1:$O$91,15,0)),0,VLOOKUP($U$59,'TAR FIN'!$A$1:$O$91,15,0))*(1-0.06)</f>
        <v>125.9318</v>
      </c>
      <c r="Y59" s="59">
        <f ca="1">('TUSD BE'!$AM$10+'TUSD BF'!$AM$10+'TUSD CVA'!$AM$10)*1*(1-0.03)</f>
        <v>17.821144123367016</v>
      </c>
      <c r="Z59" s="59">
        <f ca="1">('TUSD BE'!$AM$11+'TUSD BF'!$AM$11+'TUSD CVA'!$AM$11)*1*(1-0.03)</f>
        <v>117.99412696008461</v>
      </c>
      <c r="AA59" s="59">
        <f>('TE BE'!$AB$8+'TE BF'!$AB$8+'TE CVA'!$AB$8)*1*(1-0.03)</f>
        <v>111.32233992297954</v>
      </c>
      <c r="AB59" s="6">
        <f>$K$59*$V$59</f>
        <v>6750.7509999999993</v>
      </c>
      <c r="AC59" s="6">
        <f>$M$59*$W$59</f>
        <v>11640.9417734</v>
      </c>
      <c r="AD59" s="6">
        <f>$O$59*$X$59</f>
        <v>17200.143039399998</v>
      </c>
      <c r="AE59" s="6">
        <f ca="1">$K$59*$Y$59</f>
        <v>8857.1086293134067</v>
      </c>
      <c r="AF59" s="6">
        <f ca="1">$M$59*$Z$59</f>
        <v>16115.991842589237</v>
      </c>
      <c r="AG59" s="6">
        <f>$O$59*$AA$59</f>
        <v>15204.739153700313</v>
      </c>
    </row>
    <row r="60" spans="1:33" ht="11.25" customHeight="1" x14ac:dyDescent="0.25">
      <c r="A60" s="4" t="s">
        <v>21</v>
      </c>
      <c r="B60" s="4" t="s">
        <v>39</v>
      </c>
      <c r="C60" s="4" t="s">
        <v>36</v>
      </c>
      <c r="D60" s="4" t="s">
        <v>48</v>
      </c>
      <c r="E60" s="4" t="s">
        <v>49</v>
      </c>
      <c r="F60" s="4" t="s">
        <v>25</v>
      </c>
      <c r="G60" s="4" t="s">
        <v>25</v>
      </c>
      <c r="H60" s="4" t="s">
        <v>38</v>
      </c>
      <c r="I60" s="5">
        <v>44743</v>
      </c>
      <c r="J60" s="6">
        <v>497</v>
      </c>
      <c r="K60" s="58">
        <v>497</v>
      </c>
      <c r="L60" s="6">
        <v>162.51599999999999</v>
      </c>
      <c r="M60" s="59">
        <v>162.51599999999999</v>
      </c>
      <c r="N60" s="6">
        <v>162.51599999999999</v>
      </c>
      <c r="O60" s="59">
        <v>162.51599999999999</v>
      </c>
      <c r="P60" s="6">
        <v>0</v>
      </c>
      <c r="Q60" s="4" t="s">
        <v>26</v>
      </c>
      <c r="R60" s="4">
        <v>0</v>
      </c>
      <c r="S60" s="6">
        <v>12</v>
      </c>
      <c r="T60" s="6">
        <v>10</v>
      </c>
      <c r="U60" s="6">
        <v>85</v>
      </c>
      <c r="V60" s="59">
        <f>IF(ISERROR(VLOOKUP($S$60,'TAR FIN'!$A$1:$O$91,15,0)),0,VLOOKUP($S$60,'TAR FIN'!$A$1:$O$91,15,0))*(1-0.06)</f>
        <v>13.582999999999998</v>
      </c>
      <c r="W60" s="59">
        <f>IF(ISERROR(VLOOKUP($T$60,'TAR FIN'!$A$1:$O$91,15,0)),0,VLOOKUP($T$60,'TAR FIN'!$A$1:$O$91,15,0))*(1-0.06)</f>
        <v>85.229799999999997</v>
      </c>
      <c r="X60" s="59">
        <f>IF(ISERROR(VLOOKUP($U$60,'TAR FIN'!$A$1:$O$91,15,0)),0,VLOOKUP($U$60,'TAR FIN'!$A$1:$O$91,15,0))*(1-0.06)</f>
        <v>125.9318</v>
      </c>
      <c r="Y60" s="59">
        <f ca="1">('TUSD BE'!$AM$10+'TUSD BF'!$AM$10+'TUSD CVA'!$AM$10)*1*(1-0.03)</f>
        <v>17.821144123367016</v>
      </c>
      <c r="Z60" s="59">
        <f ca="1">('TUSD BE'!$AM$11+'TUSD BF'!$AM$11+'TUSD CVA'!$AM$11)*1*(1-0.03)</f>
        <v>117.99412696008461</v>
      </c>
      <c r="AA60" s="59">
        <f>('TE BE'!$AB$8+'TE BF'!$AB$8+'TE CVA'!$AB$8)*1*(1-0.03)</f>
        <v>111.32233992297954</v>
      </c>
      <c r="AB60" s="6">
        <f>$K$60*$V$60</f>
        <v>6750.7509999999993</v>
      </c>
      <c r="AC60" s="6">
        <f>$M$60*$W$60</f>
        <v>13851.206176799999</v>
      </c>
      <c r="AD60" s="6">
        <f>$O$60*$X$60</f>
        <v>20465.932408799999</v>
      </c>
      <c r="AE60" s="6">
        <f ca="1">$K$60*$Y$60</f>
        <v>8857.1086293134067</v>
      </c>
      <c r="AF60" s="6">
        <f ca="1">$M$60*$Z$60</f>
        <v>19175.933537045112</v>
      </c>
      <c r="AG60" s="6">
        <f>$O$60*$AA$60</f>
        <v>18091.661394922943</v>
      </c>
    </row>
    <row r="61" spans="1:33" ht="11.25" customHeight="1" x14ac:dyDescent="0.25">
      <c r="A61" s="4" t="s">
        <v>57</v>
      </c>
      <c r="B61" s="4" t="s">
        <v>39</v>
      </c>
      <c r="C61" s="4" t="s">
        <v>36</v>
      </c>
      <c r="D61" s="4" t="s">
        <v>48</v>
      </c>
      <c r="E61" s="4" t="s">
        <v>49</v>
      </c>
      <c r="F61" s="4" t="s">
        <v>25</v>
      </c>
      <c r="G61" s="4" t="s">
        <v>25</v>
      </c>
      <c r="H61" s="4" t="s">
        <v>38</v>
      </c>
      <c r="I61" s="5">
        <v>44774</v>
      </c>
      <c r="J61" s="6">
        <v>497</v>
      </c>
      <c r="K61" s="58">
        <v>497</v>
      </c>
      <c r="L61" s="6">
        <v>162.51599999999999</v>
      </c>
      <c r="M61" s="59">
        <v>162.51599999999999</v>
      </c>
      <c r="N61" s="6">
        <v>162.51599999999999</v>
      </c>
      <c r="O61" s="59">
        <v>162.51599999999999</v>
      </c>
      <c r="P61" s="6">
        <v>0</v>
      </c>
      <c r="Q61" s="4" t="s">
        <v>26</v>
      </c>
      <c r="R61" s="4">
        <v>0</v>
      </c>
      <c r="S61" s="6">
        <v>12</v>
      </c>
      <c r="T61" s="6">
        <v>10</v>
      </c>
      <c r="U61" s="6">
        <v>85</v>
      </c>
      <c r="V61" s="59">
        <f>IF(ISERROR(VLOOKUP($S$61,'TAR FIN'!$A$1:$O$91,15,0)),0,VLOOKUP($S$61,'TAR FIN'!$A$1:$O$91,15,0))*(1-0.06)</f>
        <v>13.582999999999998</v>
      </c>
      <c r="W61" s="59">
        <f>IF(ISERROR(VLOOKUP($T$61,'TAR FIN'!$A$1:$O$91,15,0)),0,VLOOKUP($T$61,'TAR FIN'!$A$1:$O$91,15,0))*(1-0.06)</f>
        <v>85.229799999999997</v>
      </c>
      <c r="X61" s="59">
        <f>IF(ISERROR(VLOOKUP($U$61,'TAR FIN'!$A$1:$O$91,15,0)),0,VLOOKUP($U$61,'TAR FIN'!$A$1:$O$91,15,0))*(1-0.06)</f>
        <v>125.9318</v>
      </c>
      <c r="Y61" s="59">
        <f ca="1">('TUSD BE'!$AM$10+'TUSD BF'!$AM$10+'TUSD CVA'!$AM$10)*1*(1-0.03)</f>
        <v>17.821144123367016</v>
      </c>
      <c r="Z61" s="59">
        <f ca="1">('TUSD BE'!$AM$11+'TUSD BF'!$AM$11+'TUSD CVA'!$AM$11)*1*(1-0.03)</f>
        <v>117.99412696008461</v>
      </c>
      <c r="AA61" s="59">
        <f>('TE BE'!$AB$8+'TE BF'!$AB$8+'TE CVA'!$AB$8)*1*(1-0.03)</f>
        <v>111.32233992297954</v>
      </c>
      <c r="AB61" s="6">
        <f>$K$61*$V$61</f>
        <v>6750.7509999999993</v>
      </c>
      <c r="AC61" s="6">
        <f>$M$61*$W$61</f>
        <v>13851.206176799999</v>
      </c>
      <c r="AD61" s="6">
        <f>$O$61*$X$61</f>
        <v>20465.932408799999</v>
      </c>
      <c r="AE61" s="6">
        <f ca="1">$K$61*$Y$61</f>
        <v>8857.1086293134067</v>
      </c>
      <c r="AF61" s="6">
        <f ca="1">$M$61*$Z$61</f>
        <v>19175.933537045112</v>
      </c>
      <c r="AG61" s="6">
        <f>$O$61*$AA$61</f>
        <v>18091.661394922943</v>
      </c>
    </row>
    <row r="62" spans="1:33" ht="11.25" customHeight="1" x14ac:dyDescent="0.25">
      <c r="A62" s="4" t="s">
        <v>21</v>
      </c>
      <c r="B62" s="4" t="s">
        <v>39</v>
      </c>
      <c r="C62" s="4" t="s">
        <v>36</v>
      </c>
      <c r="D62" s="4" t="s">
        <v>48</v>
      </c>
      <c r="E62" s="4" t="s">
        <v>49</v>
      </c>
      <c r="F62" s="4" t="s">
        <v>25</v>
      </c>
      <c r="G62" s="4" t="s">
        <v>25</v>
      </c>
      <c r="H62" s="4" t="s">
        <v>37</v>
      </c>
      <c r="I62" s="5">
        <v>44440</v>
      </c>
      <c r="J62" s="6">
        <v>507</v>
      </c>
      <c r="K62" s="58">
        <v>507</v>
      </c>
      <c r="L62" s="6">
        <v>18.385000000000002</v>
      </c>
      <c r="M62" s="59">
        <v>18.385000000000002</v>
      </c>
      <c r="N62" s="6">
        <v>18.385000000000002</v>
      </c>
      <c r="O62" s="59">
        <v>18.385000000000002</v>
      </c>
      <c r="P62" s="6">
        <v>0</v>
      </c>
      <c r="Q62" s="4" t="s">
        <v>26</v>
      </c>
      <c r="R62" s="4">
        <v>0</v>
      </c>
      <c r="S62" s="6">
        <v>17</v>
      </c>
      <c r="T62" s="6">
        <v>10</v>
      </c>
      <c r="U62" s="6">
        <v>64</v>
      </c>
      <c r="V62" s="59">
        <f>IF(ISERROR(VLOOKUP($S$62,'TAR FIN'!$A$1:$O$91,15,0)),0,VLOOKUP($S$62,'TAR FIN'!$A$1:$O$91,15,0))*(1-0.06)</f>
        <v>35.851599999999998</v>
      </c>
      <c r="W62" s="59">
        <f>IF(ISERROR(VLOOKUP($T$62,'TAR FIN'!$A$1:$O$91,15,0)),0,VLOOKUP($T$62,'TAR FIN'!$A$1:$O$91,15,0))*(1-0.06)</f>
        <v>85.229799999999997</v>
      </c>
      <c r="X62" s="59">
        <f>IF(ISERROR(VLOOKUP($U$62,'TAR FIN'!$A$1:$O$91,15,0)),0,VLOOKUP($U$62,'TAR FIN'!$A$1:$O$91,15,0))*(1-0.06)</f>
        <v>125.9318</v>
      </c>
      <c r="Y62" s="59">
        <f ca="1">('TUSD BE'!$AM$9+'TUSD BF'!$AM$9+'TUSD CVA'!$AM$9)*1*(1-0.03)</f>
        <v>45.694756686788011</v>
      </c>
      <c r="Z62" s="59">
        <f ca="1">('TUSD BE'!$AM$11+'TUSD BF'!$AM$11+'TUSD CVA'!$AM$11)*1*(1-0.03)</f>
        <v>117.99412696008461</v>
      </c>
      <c r="AA62" s="59">
        <f>('TE BE'!$AB$7+'TE BF'!$AB$7+'TE CVA'!$AB$7)*1*(1-0.03)</f>
        <v>111.32233992297954</v>
      </c>
      <c r="AB62" s="6">
        <f>$K$62*$V$62</f>
        <v>18176.761199999997</v>
      </c>
      <c r="AC62" s="6">
        <f>$M$62*$W$62</f>
        <v>1566.949873</v>
      </c>
      <c r="AD62" s="6">
        <f>$O$62*$X$62</f>
        <v>2315.2561430000001</v>
      </c>
      <c r="AE62" s="6">
        <f ca="1">$K$62*$Y$62</f>
        <v>23167.241640201522</v>
      </c>
      <c r="AF62" s="6">
        <f ca="1">$M$62*$Z$62</f>
        <v>2169.3220241611557</v>
      </c>
      <c r="AG62" s="6">
        <f>$O$62*$AA$62</f>
        <v>2046.661219483979</v>
      </c>
    </row>
    <row r="63" spans="1:33" ht="11.25" customHeight="1" x14ac:dyDescent="0.25">
      <c r="A63" s="4" t="s">
        <v>21</v>
      </c>
      <c r="B63" s="4" t="s">
        <v>39</v>
      </c>
      <c r="C63" s="4" t="s">
        <v>36</v>
      </c>
      <c r="D63" s="4" t="s">
        <v>48</v>
      </c>
      <c r="E63" s="4" t="s">
        <v>49</v>
      </c>
      <c r="F63" s="4" t="s">
        <v>25</v>
      </c>
      <c r="G63" s="4" t="s">
        <v>25</v>
      </c>
      <c r="H63" s="4" t="s">
        <v>37</v>
      </c>
      <c r="I63" s="5">
        <v>44470</v>
      </c>
      <c r="J63" s="6">
        <v>403</v>
      </c>
      <c r="K63" s="58">
        <v>403</v>
      </c>
      <c r="L63" s="6">
        <v>19.538</v>
      </c>
      <c r="M63" s="59">
        <v>19.538</v>
      </c>
      <c r="N63" s="6">
        <v>19.538</v>
      </c>
      <c r="O63" s="59">
        <v>19.538</v>
      </c>
      <c r="P63" s="6">
        <v>0</v>
      </c>
      <c r="Q63" s="4" t="s">
        <v>26</v>
      </c>
      <c r="R63" s="4">
        <v>0</v>
      </c>
      <c r="S63" s="6">
        <v>17</v>
      </c>
      <c r="T63" s="6">
        <v>10</v>
      </c>
      <c r="U63" s="6">
        <v>64</v>
      </c>
      <c r="V63" s="59">
        <f>IF(ISERROR(VLOOKUP($S$63,'TAR FIN'!$A$1:$O$91,15,0)),0,VLOOKUP($S$63,'TAR FIN'!$A$1:$O$91,15,0))*(1-0.06)</f>
        <v>35.851599999999998</v>
      </c>
      <c r="W63" s="59">
        <f>IF(ISERROR(VLOOKUP($T$63,'TAR FIN'!$A$1:$O$91,15,0)),0,VLOOKUP($T$63,'TAR FIN'!$A$1:$O$91,15,0))*(1-0.06)</f>
        <v>85.229799999999997</v>
      </c>
      <c r="X63" s="59">
        <f>IF(ISERROR(VLOOKUP($U$63,'TAR FIN'!$A$1:$O$91,15,0)),0,VLOOKUP($U$63,'TAR FIN'!$A$1:$O$91,15,0))*(1-0.06)</f>
        <v>125.9318</v>
      </c>
      <c r="Y63" s="59">
        <f ca="1">('TUSD BE'!$AM$9+'TUSD BF'!$AM$9+'TUSD CVA'!$AM$9)*1*(1-0.03)</f>
        <v>45.694756686788011</v>
      </c>
      <c r="Z63" s="59">
        <f ca="1">('TUSD BE'!$AM$11+'TUSD BF'!$AM$11+'TUSD CVA'!$AM$11)*1*(1-0.03)</f>
        <v>117.99412696008461</v>
      </c>
      <c r="AA63" s="59">
        <f>('TE BE'!$AB$7+'TE BF'!$AB$7+'TE CVA'!$AB$7)*1*(1-0.03)</f>
        <v>111.32233992297954</v>
      </c>
      <c r="AB63" s="6">
        <f>$K$63*$V$63</f>
        <v>14448.194799999999</v>
      </c>
      <c r="AC63" s="6">
        <f>$M$63*$W$63</f>
        <v>1665.2198323999999</v>
      </c>
      <c r="AD63" s="6">
        <f>$O$63*$X$63</f>
        <v>2460.4555083999999</v>
      </c>
      <c r="AE63" s="6">
        <f ca="1">$K$63*$Y$63</f>
        <v>18414.98694477557</v>
      </c>
      <c r="AF63" s="6">
        <f ca="1">$M$63*$Z$63</f>
        <v>2305.3692525461333</v>
      </c>
      <c r="AG63" s="6">
        <f>$O$63*$AA$63</f>
        <v>2175.0158774151741</v>
      </c>
    </row>
    <row r="64" spans="1:33" ht="11.25" customHeight="1" x14ac:dyDescent="0.25">
      <c r="A64" s="4" t="s">
        <v>21</v>
      </c>
      <c r="B64" s="4" t="s">
        <v>39</v>
      </c>
      <c r="C64" s="4" t="s">
        <v>36</v>
      </c>
      <c r="D64" s="4" t="s">
        <v>48</v>
      </c>
      <c r="E64" s="4" t="s">
        <v>49</v>
      </c>
      <c r="F64" s="4" t="s">
        <v>25</v>
      </c>
      <c r="G64" s="4" t="s">
        <v>25</v>
      </c>
      <c r="H64" s="4" t="s">
        <v>37</v>
      </c>
      <c r="I64" s="5">
        <v>44501</v>
      </c>
      <c r="J64" s="6">
        <v>401</v>
      </c>
      <c r="K64" s="58">
        <v>401</v>
      </c>
      <c r="L64" s="6">
        <v>18.024000000000001</v>
      </c>
      <c r="M64" s="59">
        <v>18.024000000000001</v>
      </c>
      <c r="N64" s="6">
        <v>18.024000000000001</v>
      </c>
      <c r="O64" s="59">
        <v>18.024000000000001</v>
      </c>
      <c r="P64" s="6">
        <v>0</v>
      </c>
      <c r="Q64" s="4" t="s">
        <v>26</v>
      </c>
      <c r="R64" s="4">
        <v>0</v>
      </c>
      <c r="S64" s="6">
        <v>17</v>
      </c>
      <c r="T64" s="6">
        <v>10</v>
      </c>
      <c r="U64" s="6">
        <v>64</v>
      </c>
      <c r="V64" s="59">
        <f>IF(ISERROR(VLOOKUP($S$64,'TAR FIN'!$A$1:$O$91,15,0)),0,VLOOKUP($S$64,'TAR FIN'!$A$1:$O$91,15,0))*(1-0.06)</f>
        <v>35.851599999999998</v>
      </c>
      <c r="W64" s="59">
        <f>IF(ISERROR(VLOOKUP($T$64,'TAR FIN'!$A$1:$O$91,15,0)),0,VLOOKUP($T$64,'TAR FIN'!$A$1:$O$91,15,0))*(1-0.06)</f>
        <v>85.229799999999997</v>
      </c>
      <c r="X64" s="59">
        <f>IF(ISERROR(VLOOKUP($U$64,'TAR FIN'!$A$1:$O$91,15,0)),0,VLOOKUP($U$64,'TAR FIN'!$A$1:$O$91,15,0))*(1-0.06)</f>
        <v>125.9318</v>
      </c>
      <c r="Y64" s="59">
        <f ca="1">('TUSD BE'!$AM$9+'TUSD BF'!$AM$9+'TUSD CVA'!$AM$9)*1*(1-0.03)</f>
        <v>45.694756686788011</v>
      </c>
      <c r="Z64" s="59">
        <f ca="1">('TUSD BE'!$AM$11+'TUSD BF'!$AM$11+'TUSD CVA'!$AM$11)*1*(1-0.03)</f>
        <v>117.99412696008461</v>
      </c>
      <c r="AA64" s="59">
        <f>('TE BE'!$AB$7+'TE BF'!$AB$7+'TE CVA'!$AB$7)*1*(1-0.03)</f>
        <v>111.32233992297954</v>
      </c>
      <c r="AB64" s="6">
        <f>$K$64*$V$64</f>
        <v>14376.491599999999</v>
      </c>
      <c r="AC64" s="6">
        <f>$M$64*$W$64</f>
        <v>1536.1819152</v>
      </c>
      <c r="AD64" s="6">
        <f>$O$64*$X$64</f>
        <v>2269.7947632</v>
      </c>
      <c r="AE64" s="6">
        <f ca="1">$K$64*$Y$64</f>
        <v>18323.597431401991</v>
      </c>
      <c r="AF64" s="6">
        <f ca="1">$M$64*$Z$64</f>
        <v>2126.7261443285652</v>
      </c>
      <c r="AG64" s="6">
        <f>$O$64*$AA$64</f>
        <v>2006.4738547717832</v>
      </c>
    </row>
    <row r="65" spans="1:33" ht="11.25" customHeight="1" x14ac:dyDescent="0.25">
      <c r="A65" s="4" t="s">
        <v>21</v>
      </c>
      <c r="B65" s="4" t="s">
        <v>39</v>
      </c>
      <c r="C65" s="4" t="s">
        <v>36</v>
      </c>
      <c r="D65" s="4" t="s">
        <v>48</v>
      </c>
      <c r="E65" s="4" t="s">
        <v>49</v>
      </c>
      <c r="F65" s="4" t="s">
        <v>25</v>
      </c>
      <c r="G65" s="4" t="s">
        <v>25</v>
      </c>
      <c r="H65" s="4" t="s">
        <v>37</v>
      </c>
      <c r="I65" s="5">
        <v>44531</v>
      </c>
      <c r="J65" s="6">
        <v>386</v>
      </c>
      <c r="K65" s="58">
        <v>386</v>
      </c>
      <c r="L65" s="6">
        <v>21.445</v>
      </c>
      <c r="M65" s="59">
        <v>21.445</v>
      </c>
      <c r="N65" s="6">
        <v>21.445</v>
      </c>
      <c r="O65" s="59">
        <v>21.445</v>
      </c>
      <c r="P65" s="6">
        <v>0</v>
      </c>
      <c r="Q65" s="4" t="s">
        <v>26</v>
      </c>
      <c r="R65" s="4">
        <v>0</v>
      </c>
      <c r="S65" s="6">
        <v>17</v>
      </c>
      <c r="T65" s="6">
        <v>10</v>
      </c>
      <c r="U65" s="6">
        <v>64</v>
      </c>
      <c r="V65" s="59">
        <f>IF(ISERROR(VLOOKUP($S$65,'TAR FIN'!$A$1:$O$91,15,0)),0,VLOOKUP($S$65,'TAR FIN'!$A$1:$O$91,15,0))*(1-0.06)</f>
        <v>35.851599999999998</v>
      </c>
      <c r="W65" s="59">
        <f>IF(ISERROR(VLOOKUP($T$65,'TAR FIN'!$A$1:$O$91,15,0)),0,VLOOKUP($T$65,'TAR FIN'!$A$1:$O$91,15,0))*(1-0.06)</f>
        <v>85.229799999999997</v>
      </c>
      <c r="X65" s="59">
        <f>IF(ISERROR(VLOOKUP($U$65,'TAR FIN'!$A$1:$O$91,15,0)),0,VLOOKUP($U$65,'TAR FIN'!$A$1:$O$91,15,0))*(1-0.06)</f>
        <v>125.9318</v>
      </c>
      <c r="Y65" s="59">
        <f ca="1">('TUSD BE'!$AM$9+'TUSD BF'!$AM$9+'TUSD CVA'!$AM$9)*1*(1-0.03)</f>
        <v>45.694756686788011</v>
      </c>
      <c r="Z65" s="59">
        <f ca="1">('TUSD BE'!$AM$11+'TUSD BF'!$AM$11+'TUSD CVA'!$AM$11)*1*(1-0.03)</f>
        <v>117.99412696008461</v>
      </c>
      <c r="AA65" s="59">
        <f>('TE BE'!$AB$7+'TE BF'!$AB$7+'TE CVA'!$AB$7)*1*(1-0.03)</f>
        <v>111.32233992297954</v>
      </c>
      <c r="AB65" s="6">
        <f>$K$65*$V$65</f>
        <v>13838.7176</v>
      </c>
      <c r="AC65" s="6">
        <f>$M$65*$W$65</f>
        <v>1827.7530609999999</v>
      </c>
      <c r="AD65" s="6">
        <f>$O$65*$X$65</f>
        <v>2700.6074509999999</v>
      </c>
      <c r="AE65" s="6">
        <f ca="1">$K$65*$Y$65</f>
        <v>17638.176081100173</v>
      </c>
      <c r="AF65" s="6">
        <f ca="1">$M$65*$Z$65</f>
        <v>2530.3840526590147</v>
      </c>
      <c r="AG65" s="6">
        <f>$O$65*$AA$65</f>
        <v>2387.3075796482963</v>
      </c>
    </row>
    <row r="66" spans="1:33" ht="11.25" customHeight="1" x14ac:dyDescent="0.25">
      <c r="A66" s="4" t="s">
        <v>21</v>
      </c>
      <c r="B66" s="4" t="s">
        <v>39</v>
      </c>
      <c r="C66" s="4" t="s">
        <v>36</v>
      </c>
      <c r="D66" s="4" t="s">
        <v>48</v>
      </c>
      <c r="E66" s="4" t="s">
        <v>49</v>
      </c>
      <c r="F66" s="4" t="s">
        <v>25</v>
      </c>
      <c r="G66" s="4" t="s">
        <v>25</v>
      </c>
      <c r="H66" s="4" t="s">
        <v>37</v>
      </c>
      <c r="I66" s="5">
        <v>44562</v>
      </c>
      <c r="J66" s="6">
        <v>387</v>
      </c>
      <c r="K66" s="58">
        <v>387</v>
      </c>
      <c r="L66" s="6">
        <v>18.664000000000001</v>
      </c>
      <c r="M66" s="59">
        <v>18.664000000000001</v>
      </c>
      <c r="N66" s="6">
        <v>18.664000000000001</v>
      </c>
      <c r="O66" s="59">
        <v>18.664000000000001</v>
      </c>
      <c r="P66" s="6">
        <v>0</v>
      </c>
      <c r="Q66" s="4" t="s">
        <v>26</v>
      </c>
      <c r="R66" s="4">
        <v>0</v>
      </c>
      <c r="S66" s="6">
        <v>17</v>
      </c>
      <c r="T66" s="6">
        <v>10</v>
      </c>
      <c r="U66" s="6">
        <v>64</v>
      </c>
      <c r="V66" s="59">
        <f>IF(ISERROR(VLOOKUP($S$66,'TAR FIN'!$A$1:$O$91,15,0)),0,VLOOKUP($S$66,'TAR FIN'!$A$1:$O$91,15,0))*(1-0.06)</f>
        <v>35.851599999999998</v>
      </c>
      <c r="W66" s="59">
        <f>IF(ISERROR(VLOOKUP($T$66,'TAR FIN'!$A$1:$O$91,15,0)),0,VLOOKUP($T$66,'TAR FIN'!$A$1:$O$91,15,0))*(1-0.06)</f>
        <v>85.229799999999997</v>
      </c>
      <c r="X66" s="59">
        <f>IF(ISERROR(VLOOKUP($U$66,'TAR FIN'!$A$1:$O$91,15,0)),0,VLOOKUP($U$66,'TAR FIN'!$A$1:$O$91,15,0))*(1-0.06)</f>
        <v>125.9318</v>
      </c>
      <c r="Y66" s="59">
        <f ca="1">('TUSD BE'!$AM$9+'TUSD BF'!$AM$9+'TUSD CVA'!$AM$9)*1*(1-0.03)</f>
        <v>45.694756686788011</v>
      </c>
      <c r="Z66" s="59">
        <f ca="1">('TUSD BE'!$AM$11+'TUSD BF'!$AM$11+'TUSD CVA'!$AM$11)*1*(1-0.03)</f>
        <v>117.99412696008461</v>
      </c>
      <c r="AA66" s="59">
        <f>('TE BE'!$AB$7+'TE BF'!$AB$7+'TE CVA'!$AB$7)*1*(1-0.03)</f>
        <v>111.32233992297954</v>
      </c>
      <c r="AB66" s="6">
        <f>$K$66*$V$66</f>
        <v>13874.5692</v>
      </c>
      <c r="AC66" s="6">
        <f>$M$66*$W$66</f>
        <v>1590.7289872000001</v>
      </c>
      <c r="AD66" s="6">
        <f>$O$66*$X$66</f>
        <v>2350.3911152000001</v>
      </c>
      <c r="AE66" s="6">
        <f ca="1">$K$66*$Y$66</f>
        <v>17683.870837786959</v>
      </c>
      <c r="AF66" s="6">
        <f ca="1">$M$66*$Z$66</f>
        <v>2202.2423855830193</v>
      </c>
      <c r="AG66" s="6">
        <f>$O$66*$AA$66</f>
        <v>2077.7201523224903</v>
      </c>
    </row>
    <row r="67" spans="1:33" ht="11.25" customHeight="1" x14ac:dyDescent="0.25">
      <c r="A67" s="4" t="s">
        <v>21</v>
      </c>
      <c r="B67" s="4" t="s">
        <v>39</v>
      </c>
      <c r="C67" s="4" t="s">
        <v>36</v>
      </c>
      <c r="D67" s="4" t="s">
        <v>48</v>
      </c>
      <c r="E67" s="4" t="s">
        <v>49</v>
      </c>
      <c r="F67" s="4" t="s">
        <v>25</v>
      </c>
      <c r="G67" s="4" t="s">
        <v>25</v>
      </c>
      <c r="H67" s="4" t="s">
        <v>37</v>
      </c>
      <c r="I67" s="5">
        <v>44593</v>
      </c>
      <c r="J67" s="6">
        <v>405</v>
      </c>
      <c r="K67" s="58">
        <v>405</v>
      </c>
      <c r="L67" s="6">
        <v>17.995000000000001</v>
      </c>
      <c r="M67" s="59">
        <v>17.995000000000001</v>
      </c>
      <c r="N67" s="6">
        <v>17.995000000000001</v>
      </c>
      <c r="O67" s="59">
        <v>17.995000000000001</v>
      </c>
      <c r="P67" s="6">
        <v>0</v>
      </c>
      <c r="Q67" s="4" t="s">
        <v>26</v>
      </c>
      <c r="R67" s="4">
        <v>0</v>
      </c>
      <c r="S67" s="6">
        <v>17</v>
      </c>
      <c r="T67" s="6">
        <v>10</v>
      </c>
      <c r="U67" s="6">
        <v>64</v>
      </c>
      <c r="V67" s="59">
        <f>IF(ISERROR(VLOOKUP($S$67,'TAR FIN'!$A$1:$O$91,15,0)),0,VLOOKUP($S$67,'TAR FIN'!$A$1:$O$91,15,0))*(1-0.06)</f>
        <v>35.851599999999998</v>
      </c>
      <c r="W67" s="59">
        <f>IF(ISERROR(VLOOKUP($T$67,'TAR FIN'!$A$1:$O$91,15,0)),0,VLOOKUP($T$67,'TAR FIN'!$A$1:$O$91,15,0))*(1-0.06)</f>
        <v>85.229799999999997</v>
      </c>
      <c r="X67" s="59">
        <f>IF(ISERROR(VLOOKUP($U$67,'TAR FIN'!$A$1:$O$91,15,0)),0,VLOOKUP($U$67,'TAR FIN'!$A$1:$O$91,15,0))*(1-0.06)</f>
        <v>125.9318</v>
      </c>
      <c r="Y67" s="59">
        <f ca="1">('TUSD BE'!$AM$9+'TUSD BF'!$AM$9+'TUSD CVA'!$AM$9)*1*(1-0.03)</f>
        <v>45.694756686788011</v>
      </c>
      <c r="Z67" s="59">
        <f ca="1">('TUSD BE'!$AM$11+'TUSD BF'!$AM$11+'TUSD CVA'!$AM$11)*1*(1-0.03)</f>
        <v>117.99412696008461</v>
      </c>
      <c r="AA67" s="59">
        <f>('TE BE'!$AB$7+'TE BF'!$AB$7+'TE CVA'!$AB$7)*1*(1-0.03)</f>
        <v>111.32233992297954</v>
      </c>
      <c r="AB67" s="6">
        <f>$K$67*$V$67</f>
        <v>14519.897999999999</v>
      </c>
      <c r="AC67" s="6">
        <f>$M$67*$W$67</f>
        <v>1533.710251</v>
      </c>
      <c r="AD67" s="6">
        <f>$O$67*$X$67</f>
        <v>2266.1427410000001</v>
      </c>
      <c r="AE67" s="6">
        <f ca="1">$K$67*$Y$67</f>
        <v>18506.376458149145</v>
      </c>
      <c r="AF67" s="6">
        <f ca="1">$M$67*$Z$67</f>
        <v>2123.3043146467226</v>
      </c>
      <c r="AG67" s="6">
        <f>$O$67*$AA$67</f>
        <v>2003.2455069140169</v>
      </c>
    </row>
    <row r="68" spans="1:33" ht="11.25" customHeight="1" x14ac:dyDescent="0.25">
      <c r="A68" s="4" t="s">
        <v>21</v>
      </c>
      <c r="B68" s="4" t="s">
        <v>39</v>
      </c>
      <c r="C68" s="4" t="s">
        <v>36</v>
      </c>
      <c r="D68" s="4" t="s">
        <v>48</v>
      </c>
      <c r="E68" s="4" t="s">
        <v>49</v>
      </c>
      <c r="F68" s="4" t="s">
        <v>25</v>
      </c>
      <c r="G68" s="4" t="s">
        <v>25</v>
      </c>
      <c r="H68" s="4" t="s">
        <v>37</v>
      </c>
      <c r="I68" s="5">
        <v>44621</v>
      </c>
      <c r="J68" s="6">
        <v>415</v>
      </c>
      <c r="K68" s="58">
        <v>415</v>
      </c>
      <c r="L68" s="6">
        <v>21.170999999999999</v>
      </c>
      <c r="M68" s="59">
        <v>21.170999999999999</v>
      </c>
      <c r="N68" s="6">
        <v>21.170999999999999</v>
      </c>
      <c r="O68" s="59">
        <v>21.170999999999999</v>
      </c>
      <c r="P68" s="6">
        <v>0</v>
      </c>
      <c r="Q68" s="4" t="s">
        <v>26</v>
      </c>
      <c r="R68" s="4">
        <v>0</v>
      </c>
      <c r="S68" s="6">
        <v>17</v>
      </c>
      <c r="T68" s="6">
        <v>10</v>
      </c>
      <c r="U68" s="6">
        <v>64</v>
      </c>
      <c r="V68" s="59">
        <f>IF(ISERROR(VLOOKUP($S$68,'TAR FIN'!$A$1:$O$91,15,0)),0,VLOOKUP($S$68,'TAR FIN'!$A$1:$O$91,15,0))*(1-0.06)</f>
        <v>35.851599999999998</v>
      </c>
      <c r="W68" s="59">
        <f>IF(ISERROR(VLOOKUP($T$68,'TAR FIN'!$A$1:$O$91,15,0)),0,VLOOKUP($T$68,'TAR FIN'!$A$1:$O$91,15,0))*(1-0.06)</f>
        <v>85.229799999999997</v>
      </c>
      <c r="X68" s="59">
        <f>IF(ISERROR(VLOOKUP($U$68,'TAR FIN'!$A$1:$O$91,15,0)),0,VLOOKUP($U$68,'TAR FIN'!$A$1:$O$91,15,0))*(1-0.06)</f>
        <v>125.9318</v>
      </c>
      <c r="Y68" s="59">
        <f ca="1">('TUSD BE'!$AM$9+'TUSD BF'!$AM$9+'TUSD CVA'!$AM$9)*1*(1-0.03)</f>
        <v>45.694756686788011</v>
      </c>
      <c r="Z68" s="59">
        <f ca="1">('TUSD BE'!$AM$11+'TUSD BF'!$AM$11+'TUSD CVA'!$AM$11)*1*(1-0.03)</f>
        <v>117.99412696008461</v>
      </c>
      <c r="AA68" s="59">
        <f>('TE BE'!$AB$7+'TE BF'!$AB$7+'TE CVA'!$AB$7)*1*(1-0.03)</f>
        <v>111.32233992297954</v>
      </c>
      <c r="AB68" s="6">
        <f>$K$68*$V$68</f>
        <v>14878.413999999999</v>
      </c>
      <c r="AC68" s="6">
        <f>$M$68*$W$68</f>
        <v>1804.4000957999999</v>
      </c>
      <c r="AD68" s="6">
        <f>$O$68*$X$68</f>
        <v>2666.1021378</v>
      </c>
      <c r="AE68" s="6">
        <f ca="1">$K$68*$Y$68</f>
        <v>18963.324025017024</v>
      </c>
      <c r="AF68" s="6">
        <f ca="1">$M$68*$Z$68</f>
        <v>2498.0536618719511</v>
      </c>
      <c r="AG68" s="6">
        <f>$O$68*$AA$68</f>
        <v>2356.8052585093997</v>
      </c>
    </row>
    <row r="69" spans="1:33" ht="11.25" customHeight="1" x14ac:dyDescent="0.25">
      <c r="A69" s="4" t="s">
        <v>21</v>
      </c>
      <c r="B69" s="4" t="s">
        <v>39</v>
      </c>
      <c r="C69" s="4" t="s">
        <v>36</v>
      </c>
      <c r="D69" s="4" t="s">
        <v>48</v>
      </c>
      <c r="E69" s="4" t="s">
        <v>49</v>
      </c>
      <c r="F69" s="4" t="s">
        <v>25</v>
      </c>
      <c r="G69" s="4" t="s">
        <v>25</v>
      </c>
      <c r="H69" s="4" t="s">
        <v>37</v>
      </c>
      <c r="I69" s="5">
        <v>44652</v>
      </c>
      <c r="J69" s="6">
        <v>382</v>
      </c>
      <c r="K69" s="58">
        <v>382</v>
      </c>
      <c r="L69" s="6">
        <v>17.343</v>
      </c>
      <c r="M69" s="59">
        <v>17.343</v>
      </c>
      <c r="N69" s="6">
        <v>17.343</v>
      </c>
      <c r="O69" s="59">
        <v>17.343</v>
      </c>
      <c r="P69" s="6">
        <v>0</v>
      </c>
      <c r="Q69" s="4" t="s">
        <v>26</v>
      </c>
      <c r="R69" s="4">
        <v>0</v>
      </c>
      <c r="S69" s="6">
        <v>17</v>
      </c>
      <c r="T69" s="6">
        <v>10</v>
      </c>
      <c r="U69" s="6">
        <v>64</v>
      </c>
      <c r="V69" s="59">
        <f>IF(ISERROR(VLOOKUP($S$69,'TAR FIN'!$A$1:$O$91,15,0)),0,VLOOKUP($S$69,'TAR FIN'!$A$1:$O$91,15,0))*(1-0.06)</f>
        <v>35.851599999999998</v>
      </c>
      <c r="W69" s="59">
        <f>IF(ISERROR(VLOOKUP($T$69,'TAR FIN'!$A$1:$O$91,15,0)),0,VLOOKUP($T$69,'TAR FIN'!$A$1:$O$91,15,0))*(1-0.06)</f>
        <v>85.229799999999997</v>
      </c>
      <c r="X69" s="59">
        <f>IF(ISERROR(VLOOKUP($U$69,'TAR FIN'!$A$1:$O$91,15,0)),0,VLOOKUP($U$69,'TAR FIN'!$A$1:$O$91,15,0))*(1-0.06)</f>
        <v>125.9318</v>
      </c>
      <c r="Y69" s="59">
        <f ca="1">('TUSD BE'!$AM$9+'TUSD BF'!$AM$9+'TUSD CVA'!$AM$9)*1*(1-0.03)</f>
        <v>45.694756686788011</v>
      </c>
      <c r="Z69" s="59">
        <f ca="1">('TUSD BE'!$AM$11+'TUSD BF'!$AM$11+'TUSD CVA'!$AM$11)*1*(1-0.03)</f>
        <v>117.99412696008461</v>
      </c>
      <c r="AA69" s="59">
        <f>('TE BE'!$AB$7+'TE BF'!$AB$7+'TE CVA'!$AB$7)*1*(1-0.03)</f>
        <v>111.32233992297954</v>
      </c>
      <c r="AB69" s="6">
        <f>$K$69*$V$69</f>
        <v>13695.311199999998</v>
      </c>
      <c r="AC69" s="6">
        <f>$M$69*$W$69</f>
        <v>1478.1404213999999</v>
      </c>
      <c r="AD69" s="6">
        <f>$O$69*$X$69</f>
        <v>2184.0352073999998</v>
      </c>
      <c r="AE69" s="6">
        <f ca="1">$K$69*$Y$69</f>
        <v>17455.397054353019</v>
      </c>
      <c r="AF69" s="6">
        <f ca="1">$M$69*$Z$69</f>
        <v>2046.3721438687476</v>
      </c>
      <c r="AG69" s="6">
        <f>$O$69*$AA$69</f>
        <v>1930.6633412842341</v>
      </c>
    </row>
    <row r="70" spans="1:33" ht="11.25" customHeight="1" x14ac:dyDescent="0.25">
      <c r="A70" s="4" t="s">
        <v>21</v>
      </c>
      <c r="B70" s="4" t="s">
        <v>39</v>
      </c>
      <c r="C70" s="4" t="s">
        <v>36</v>
      </c>
      <c r="D70" s="4" t="s">
        <v>48</v>
      </c>
      <c r="E70" s="4" t="s">
        <v>49</v>
      </c>
      <c r="F70" s="4" t="s">
        <v>25</v>
      </c>
      <c r="G70" s="4" t="s">
        <v>25</v>
      </c>
      <c r="H70" s="4" t="s">
        <v>37</v>
      </c>
      <c r="I70" s="5">
        <v>44682</v>
      </c>
      <c r="J70" s="6">
        <v>497</v>
      </c>
      <c r="K70" s="58">
        <v>497</v>
      </c>
      <c r="L70" s="6">
        <v>15.837999999999999</v>
      </c>
      <c r="M70" s="59">
        <v>15.837999999999999</v>
      </c>
      <c r="N70" s="6">
        <v>15.837999999999999</v>
      </c>
      <c r="O70" s="59">
        <v>15.837999999999999</v>
      </c>
      <c r="P70" s="6">
        <v>0</v>
      </c>
      <c r="Q70" s="4" t="s">
        <v>26</v>
      </c>
      <c r="R70" s="4">
        <v>0</v>
      </c>
      <c r="S70" s="6">
        <v>17</v>
      </c>
      <c r="T70" s="6">
        <v>10</v>
      </c>
      <c r="U70" s="6">
        <v>64</v>
      </c>
      <c r="V70" s="59">
        <f>IF(ISERROR(VLOOKUP($S$70,'TAR FIN'!$A$1:$O$91,15,0)),0,VLOOKUP($S$70,'TAR FIN'!$A$1:$O$91,15,0))*(1-0.06)</f>
        <v>35.851599999999998</v>
      </c>
      <c r="W70" s="59">
        <f>IF(ISERROR(VLOOKUP($T$70,'TAR FIN'!$A$1:$O$91,15,0)),0,VLOOKUP($T$70,'TAR FIN'!$A$1:$O$91,15,0))*(1-0.06)</f>
        <v>85.229799999999997</v>
      </c>
      <c r="X70" s="59">
        <f>IF(ISERROR(VLOOKUP($U$70,'TAR FIN'!$A$1:$O$91,15,0)),0,VLOOKUP($U$70,'TAR FIN'!$A$1:$O$91,15,0))*(1-0.06)</f>
        <v>125.9318</v>
      </c>
      <c r="Y70" s="59">
        <f ca="1">('TUSD BE'!$AM$9+'TUSD BF'!$AM$9+'TUSD CVA'!$AM$9)*1*(1-0.03)</f>
        <v>45.694756686788011</v>
      </c>
      <c r="Z70" s="59">
        <f ca="1">('TUSD BE'!$AM$11+'TUSD BF'!$AM$11+'TUSD CVA'!$AM$11)*1*(1-0.03)</f>
        <v>117.99412696008461</v>
      </c>
      <c r="AA70" s="59">
        <f>('TE BE'!$AB$7+'TE BF'!$AB$7+'TE CVA'!$AB$7)*1*(1-0.03)</f>
        <v>111.32233992297954</v>
      </c>
      <c r="AB70" s="6">
        <f>$K$70*$V$70</f>
        <v>17818.245199999998</v>
      </c>
      <c r="AC70" s="6">
        <f>$M$70*$W$70</f>
        <v>1349.8695723999999</v>
      </c>
      <c r="AD70" s="6">
        <f>$O$70*$X$70</f>
        <v>1994.5078483999998</v>
      </c>
      <c r="AE70" s="6">
        <f ca="1">$K$70*$Y$70</f>
        <v>22710.29407333364</v>
      </c>
      <c r="AF70" s="6">
        <f ca="1">$M$70*$Z$70</f>
        <v>1868.7909827938199</v>
      </c>
      <c r="AG70" s="6">
        <f>$O$70*$AA$70</f>
        <v>1763.1232197001498</v>
      </c>
    </row>
    <row r="71" spans="1:33" ht="11.25" customHeight="1" x14ac:dyDescent="0.25">
      <c r="A71" s="4" t="s">
        <v>21</v>
      </c>
      <c r="B71" s="4" t="s">
        <v>39</v>
      </c>
      <c r="C71" s="4" t="s">
        <v>36</v>
      </c>
      <c r="D71" s="4" t="s">
        <v>48</v>
      </c>
      <c r="E71" s="4" t="s">
        <v>49</v>
      </c>
      <c r="F71" s="4" t="s">
        <v>25</v>
      </c>
      <c r="G71" s="4" t="s">
        <v>25</v>
      </c>
      <c r="H71" s="4" t="s">
        <v>37</v>
      </c>
      <c r="I71" s="5">
        <v>44713</v>
      </c>
      <c r="J71" s="6">
        <v>497</v>
      </c>
      <c r="K71" s="58">
        <v>497</v>
      </c>
      <c r="L71" s="6">
        <v>15.795</v>
      </c>
      <c r="M71" s="59">
        <v>15.795</v>
      </c>
      <c r="N71" s="6">
        <v>15.795</v>
      </c>
      <c r="O71" s="59">
        <v>15.795</v>
      </c>
      <c r="P71" s="6">
        <v>0</v>
      </c>
      <c r="Q71" s="4" t="s">
        <v>26</v>
      </c>
      <c r="R71" s="4">
        <v>0</v>
      </c>
      <c r="S71" s="6">
        <v>17</v>
      </c>
      <c r="T71" s="6">
        <v>10</v>
      </c>
      <c r="U71" s="6">
        <v>64</v>
      </c>
      <c r="V71" s="59">
        <f>IF(ISERROR(VLOOKUP($S$71,'TAR FIN'!$A$1:$O$91,15,0)),0,VLOOKUP($S$71,'TAR FIN'!$A$1:$O$91,15,0))*(1-0.06)</f>
        <v>35.851599999999998</v>
      </c>
      <c r="W71" s="59">
        <f>IF(ISERROR(VLOOKUP($T$71,'TAR FIN'!$A$1:$O$91,15,0)),0,VLOOKUP($T$71,'TAR FIN'!$A$1:$O$91,15,0))*(1-0.06)</f>
        <v>85.229799999999997</v>
      </c>
      <c r="X71" s="59">
        <f>IF(ISERROR(VLOOKUP($U$71,'TAR FIN'!$A$1:$O$91,15,0)),0,VLOOKUP($U$71,'TAR FIN'!$A$1:$O$91,15,0))*(1-0.06)</f>
        <v>125.9318</v>
      </c>
      <c r="Y71" s="59">
        <f ca="1">('TUSD BE'!$AM$9+'TUSD BF'!$AM$9+'TUSD CVA'!$AM$9)*1*(1-0.03)</f>
        <v>45.694756686788011</v>
      </c>
      <c r="Z71" s="59">
        <f ca="1">('TUSD BE'!$AM$11+'TUSD BF'!$AM$11+'TUSD CVA'!$AM$11)*1*(1-0.03)</f>
        <v>117.99412696008461</v>
      </c>
      <c r="AA71" s="59">
        <f>('TE BE'!$AB$7+'TE BF'!$AB$7+'TE CVA'!$AB$7)*1*(1-0.03)</f>
        <v>111.32233992297954</v>
      </c>
      <c r="AB71" s="6">
        <f>$K$71*$V$71</f>
        <v>17818.245199999998</v>
      </c>
      <c r="AC71" s="6">
        <f>$M$71*$W$71</f>
        <v>1346.2046909999999</v>
      </c>
      <c r="AD71" s="6">
        <f>$O$71*$X$71</f>
        <v>1989.0927809999998</v>
      </c>
      <c r="AE71" s="6">
        <f ca="1">$K$71*$Y$71</f>
        <v>22710.29407333364</v>
      </c>
      <c r="AF71" s="6">
        <f ca="1">$M$71*$Z$71</f>
        <v>1863.7172353345366</v>
      </c>
      <c r="AG71" s="6">
        <f>$O$71*$AA$71</f>
        <v>1758.3363590834617</v>
      </c>
    </row>
    <row r="72" spans="1:33" ht="11.25" customHeight="1" x14ac:dyDescent="0.25">
      <c r="A72" s="4" t="s">
        <v>21</v>
      </c>
      <c r="B72" s="4" t="s">
        <v>39</v>
      </c>
      <c r="C72" s="4" t="s">
        <v>36</v>
      </c>
      <c r="D72" s="4" t="s">
        <v>48</v>
      </c>
      <c r="E72" s="4" t="s">
        <v>49</v>
      </c>
      <c r="F72" s="4" t="s">
        <v>25</v>
      </c>
      <c r="G72" s="4" t="s">
        <v>25</v>
      </c>
      <c r="H72" s="4" t="s">
        <v>37</v>
      </c>
      <c r="I72" s="5">
        <v>44743</v>
      </c>
      <c r="J72" s="6">
        <v>497</v>
      </c>
      <c r="K72" s="58">
        <v>497</v>
      </c>
      <c r="L72" s="6">
        <v>20.617999999999999</v>
      </c>
      <c r="M72" s="59">
        <v>20.617999999999999</v>
      </c>
      <c r="N72" s="6">
        <v>20.617999999999999</v>
      </c>
      <c r="O72" s="59">
        <v>20.617999999999999</v>
      </c>
      <c r="P72" s="6">
        <v>0</v>
      </c>
      <c r="Q72" s="4" t="s">
        <v>26</v>
      </c>
      <c r="R72" s="4">
        <v>0</v>
      </c>
      <c r="S72" s="6">
        <v>17</v>
      </c>
      <c r="T72" s="6">
        <v>10</v>
      </c>
      <c r="U72" s="6">
        <v>64</v>
      </c>
      <c r="V72" s="59">
        <f>IF(ISERROR(VLOOKUP($S$72,'TAR FIN'!$A$1:$O$91,15,0)),0,VLOOKUP($S$72,'TAR FIN'!$A$1:$O$91,15,0))*(1-0.06)</f>
        <v>35.851599999999998</v>
      </c>
      <c r="W72" s="59">
        <f>IF(ISERROR(VLOOKUP($T$72,'TAR FIN'!$A$1:$O$91,15,0)),0,VLOOKUP($T$72,'TAR FIN'!$A$1:$O$91,15,0))*(1-0.06)</f>
        <v>85.229799999999997</v>
      </c>
      <c r="X72" s="59">
        <f>IF(ISERROR(VLOOKUP($U$72,'TAR FIN'!$A$1:$O$91,15,0)),0,VLOOKUP($U$72,'TAR FIN'!$A$1:$O$91,15,0))*(1-0.06)</f>
        <v>125.9318</v>
      </c>
      <c r="Y72" s="59">
        <f ca="1">('TUSD BE'!$AM$9+'TUSD BF'!$AM$9+'TUSD CVA'!$AM$9)*1*(1-0.03)</f>
        <v>45.694756686788011</v>
      </c>
      <c r="Z72" s="59">
        <f ca="1">('TUSD BE'!$AM$11+'TUSD BF'!$AM$11+'TUSD CVA'!$AM$11)*1*(1-0.03)</f>
        <v>117.99412696008461</v>
      </c>
      <c r="AA72" s="59">
        <f>('TE BE'!$AB$7+'TE BF'!$AB$7+'TE CVA'!$AB$7)*1*(1-0.03)</f>
        <v>111.32233992297954</v>
      </c>
      <c r="AB72" s="6">
        <f>$K$72*$V$72</f>
        <v>17818.245199999998</v>
      </c>
      <c r="AC72" s="6">
        <f>$M$72*$W$72</f>
        <v>1757.2680163999999</v>
      </c>
      <c r="AD72" s="6">
        <f>$O$72*$X$72</f>
        <v>2596.4618523999998</v>
      </c>
      <c r="AE72" s="6">
        <f ca="1">$K$72*$Y$72</f>
        <v>22710.29407333364</v>
      </c>
      <c r="AF72" s="6">
        <f ca="1">$M$72*$Z$72</f>
        <v>2432.8029096630244</v>
      </c>
      <c r="AG72" s="6">
        <f>$O$72*$AA$72</f>
        <v>2295.2440045319918</v>
      </c>
    </row>
    <row r="73" spans="1:33" ht="11.25" customHeight="1" x14ac:dyDescent="0.25">
      <c r="A73" s="4" t="s">
        <v>57</v>
      </c>
      <c r="B73" s="4" t="s">
        <v>39</v>
      </c>
      <c r="C73" s="4" t="s">
        <v>36</v>
      </c>
      <c r="D73" s="4" t="s">
        <v>48</v>
      </c>
      <c r="E73" s="4" t="s">
        <v>49</v>
      </c>
      <c r="F73" s="4" t="s">
        <v>25</v>
      </c>
      <c r="G73" s="4" t="s">
        <v>25</v>
      </c>
      <c r="H73" s="4" t="s">
        <v>37</v>
      </c>
      <c r="I73" s="5">
        <v>44774</v>
      </c>
      <c r="J73" s="6">
        <v>497</v>
      </c>
      <c r="K73" s="58">
        <v>497</v>
      </c>
      <c r="L73" s="6">
        <v>20.617999999999999</v>
      </c>
      <c r="M73" s="59">
        <v>20.617999999999999</v>
      </c>
      <c r="N73" s="6">
        <v>20.617999999999999</v>
      </c>
      <c r="O73" s="59">
        <v>20.617999999999999</v>
      </c>
      <c r="P73" s="6">
        <v>0</v>
      </c>
      <c r="Q73" s="4" t="s">
        <v>26</v>
      </c>
      <c r="R73" s="4">
        <v>0</v>
      </c>
      <c r="S73" s="6">
        <v>17</v>
      </c>
      <c r="T73" s="6">
        <v>10</v>
      </c>
      <c r="U73" s="6">
        <v>64</v>
      </c>
      <c r="V73" s="59">
        <f>IF(ISERROR(VLOOKUP($S$73,'TAR FIN'!$A$1:$O$91,15,0)),0,VLOOKUP($S$73,'TAR FIN'!$A$1:$O$91,15,0))*(1-0.06)</f>
        <v>35.851599999999998</v>
      </c>
      <c r="W73" s="59">
        <f>IF(ISERROR(VLOOKUP($T$73,'TAR FIN'!$A$1:$O$91,15,0)),0,VLOOKUP($T$73,'TAR FIN'!$A$1:$O$91,15,0))*(1-0.06)</f>
        <v>85.229799999999997</v>
      </c>
      <c r="X73" s="59">
        <f>IF(ISERROR(VLOOKUP($U$73,'TAR FIN'!$A$1:$O$91,15,0)),0,VLOOKUP($U$73,'TAR FIN'!$A$1:$O$91,15,0))*(1-0.06)</f>
        <v>125.9318</v>
      </c>
      <c r="Y73" s="59">
        <f ca="1">('TUSD BE'!$AM$9+'TUSD BF'!$AM$9+'TUSD CVA'!$AM$9)*1*(1-0.03)</f>
        <v>45.694756686788011</v>
      </c>
      <c r="Z73" s="59">
        <f ca="1">('TUSD BE'!$AM$11+'TUSD BF'!$AM$11+'TUSD CVA'!$AM$11)*1*(1-0.03)</f>
        <v>117.99412696008461</v>
      </c>
      <c r="AA73" s="59">
        <f>('TE BE'!$AB$7+'TE BF'!$AB$7+'TE CVA'!$AB$7)*1*(1-0.03)</f>
        <v>111.32233992297954</v>
      </c>
      <c r="AB73" s="6">
        <f>$K$73*$V$73</f>
        <v>17818.245199999998</v>
      </c>
      <c r="AC73" s="6">
        <f>$M$73*$W$73</f>
        <v>1757.2680163999999</v>
      </c>
      <c r="AD73" s="6">
        <f>$O$73*$X$73</f>
        <v>2596.4618523999998</v>
      </c>
      <c r="AE73" s="6">
        <f ca="1">$K$73*$Y$73</f>
        <v>22710.29407333364</v>
      </c>
      <c r="AF73" s="6">
        <f ca="1">$M$73*$Z$73</f>
        <v>2432.8029096630244</v>
      </c>
      <c r="AG73" s="6">
        <f>$O$73*$AA$73</f>
        <v>2295.2440045319918</v>
      </c>
    </row>
    <row r="74" spans="1:33" ht="11.25" customHeight="1" x14ac:dyDescent="0.25">
      <c r="A74" s="4" t="s">
        <v>21</v>
      </c>
      <c r="B74" s="4" t="s">
        <v>39</v>
      </c>
      <c r="C74" s="4" t="s">
        <v>40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44440</v>
      </c>
      <c r="J74" s="6">
        <v>0</v>
      </c>
      <c r="K74" s="6">
        <v>0</v>
      </c>
      <c r="L74" s="6">
        <v>402.84899999999999</v>
      </c>
      <c r="M74" s="6">
        <v>402.84899999999999</v>
      </c>
      <c r="N74" s="6">
        <v>402.84899999999999</v>
      </c>
      <c r="O74" s="6">
        <v>402.84899999999999</v>
      </c>
      <c r="P74" s="6">
        <v>0</v>
      </c>
      <c r="Q74" s="4" t="s">
        <v>26</v>
      </c>
      <c r="R74" s="4">
        <v>0</v>
      </c>
      <c r="S74" s="6">
        <v>0</v>
      </c>
      <c r="T74" s="6">
        <v>3</v>
      </c>
      <c r="U74" s="6">
        <v>85</v>
      </c>
      <c r="V74" s="6">
        <f>IF(ISERROR(VLOOKUP($S$74,'TAR FIN'!$A$1:$O$91,15,0)),0,VLOOKUP($S$74,'TAR FIN'!$A$1:$O$91,15,0))</f>
        <v>0</v>
      </c>
      <c r="W74" s="6">
        <f>IF(ISERROR(VLOOKUP($T$74,'TAR FIN'!$A$1:$O$91,15,0)),0,VLOOKUP($T$74,'TAR FIN'!$A$1:$O$91,15,0))</f>
        <v>90.67</v>
      </c>
      <c r="X74" s="6">
        <f>IF(ISERROR(VLOOKUP($U$74,'TAR FIN'!$A$1:$O$91,15,0)),0,VLOOKUP($U$74,'TAR FIN'!$A$1:$O$91,15,0))</f>
        <v>133.97</v>
      </c>
      <c r="Y74" s="6"/>
      <c r="Z74" s="6">
        <f ca="1">('TUSD BE'!$AM$16+'TUSD BF'!$AM$16+'TUSD CVA'!$AM$16)*1</f>
        <v>121.64342985575733</v>
      </c>
      <c r="AA74" s="6">
        <f>('TE BE'!$AB$8+'TE BF'!$AB$8+'TE CVA'!$AB$8)*1</f>
        <v>114.76529888966962</v>
      </c>
      <c r="AB74" s="6">
        <f>$K$74*$V$74</f>
        <v>0</v>
      </c>
      <c r="AC74" s="6">
        <f>$M$74*$W$74</f>
        <v>36526.318829999997</v>
      </c>
      <c r="AD74" s="6">
        <f>$O$74*$X$74</f>
        <v>53969.680529999998</v>
      </c>
      <c r="AE74" s="6">
        <f>$K$74*$Y$74</f>
        <v>0</v>
      </c>
      <c r="AF74" s="6">
        <f ca="1">$M$74*$Z$74</f>
        <v>49003.934073961987</v>
      </c>
      <c r="AG74" s="6">
        <f>$O$74*$AA$74</f>
        <v>46233.085892404517</v>
      </c>
    </row>
    <row r="75" spans="1:33" ht="11.25" customHeight="1" x14ac:dyDescent="0.25">
      <c r="A75" s="4" t="s">
        <v>21</v>
      </c>
      <c r="B75" s="4" t="s">
        <v>39</v>
      </c>
      <c r="C75" s="4" t="s">
        <v>40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44470</v>
      </c>
      <c r="J75" s="6">
        <v>0</v>
      </c>
      <c r="K75" s="6">
        <v>0</v>
      </c>
      <c r="L75" s="6">
        <v>414.13499999999999</v>
      </c>
      <c r="M75" s="6">
        <v>414.13499999999999</v>
      </c>
      <c r="N75" s="6">
        <v>414.13499999999999</v>
      </c>
      <c r="O75" s="6">
        <v>414.13499999999999</v>
      </c>
      <c r="P75" s="6">
        <v>0</v>
      </c>
      <c r="Q75" s="4" t="s">
        <v>26</v>
      </c>
      <c r="R75" s="4">
        <v>0</v>
      </c>
      <c r="S75" s="6">
        <v>0</v>
      </c>
      <c r="T75" s="6">
        <v>3</v>
      </c>
      <c r="U75" s="6">
        <v>85</v>
      </c>
      <c r="V75" s="6">
        <f>IF(ISERROR(VLOOKUP($S$75,'TAR FIN'!$A$1:$O$91,15,0)),0,VLOOKUP($S$75,'TAR FIN'!$A$1:$O$91,15,0))</f>
        <v>0</v>
      </c>
      <c r="W75" s="6">
        <f>IF(ISERROR(VLOOKUP($T$75,'TAR FIN'!$A$1:$O$91,15,0)),0,VLOOKUP($T$75,'TAR FIN'!$A$1:$O$91,15,0))</f>
        <v>90.67</v>
      </c>
      <c r="X75" s="6">
        <f>IF(ISERROR(VLOOKUP($U$75,'TAR FIN'!$A$1:$O$91,15,0)),0,VLOOKUP($U$75,'TAR FIN'!$A$1:$O$91,15,0))</f>
        <v>133.97</v>
      </c>
      <c r="Y75" s="6"/>
      <c r="Z75" s="6">
        <f ca="1">('TUSD BE'!$AM$16+'TUSD BF'!$AM$16+'TUSD CVA'!$AM$16)*1</f>
        <v>121.64342985575733</v>
      </c>
      <c r="AA75" s="6">
        <f>('TE BE'!$AB$8+'TE BF'!$AB$8+'TE CVA'!$AB$8)*1</f>
        <v>114.76529888966962</v>
      </c>
      <c r="AB75" s="6">
        <f>$K$75*$V$75</f>
        <v>0</v>
      </c>
      <c r="AC75" s="6">
        <f>$M$75*$W$75</f>
        <v>37549.620450000002</v>
      </c>
      <c r="AD75" s="6">
        <f>$O$75*$X$75</f>
        <v>55481.665949999995</v>
      </c>
      <c r="AE75" s="6">
        <f>$K$75*$Y$75</f>
        <v>0</v>
      </c>
      <c r="AF75" s="6">
        <f ca="1">$M$75*$Z$75</f>
        <v>50376.801823314061</v>
      </c>
      <c r="AG75" s="6">
        <f>$O$75*$AA$75</f>
        <v>47528.327055673326</v>
      </c>
    </row>
    <row r="76" spans="1:33" ht="11.25" customHeight="1" x14ac:dyDescent="0.25">
      <c r="A76" s="4" t="s">
        <v>21</v>
      </c>
      <c r="B76" s="4" t="s">
        <v>39</v>
      </c>
      <c r="C76" s="4" t="s">
        <v>40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44501</v>
      </c>
      <c r="J76" s="6">
        <v>0</v>
      </c>
      <c r="K76" s="6">
        <v>0</v>
      </c>
      <c r="L76" s="6">
        <v>443.66300000000001</v>
      </c>
      <c r="M76" s="6">
        <v>443.66300000000001</v>
      </c>
      <c r="N76" s="6">
        <v>443.66300000000001</v>
      </c>
      <c r="O76" s="6">
        <v>443.66300000000001</v>
      </c>
      <c r="P76" s="6">
        <v>0</v>
      </c>
      <c r="Q76" s="4" t="s">
        <v>26</v>
      </c>
      <c r="R76" s="4">
        <v>0</v>
      </c>
      <c r="S76" s="6">
        <v>0</v>
      </c>
      <c r="T76" s="6">
        <v>3</v>
      </c>
      <c r="U76" s="6">
        <v>85</v>
      </c>
      <c r="V76" s="6">
        <f>IF(ISERROR(VLOOKUP($S$76,'TAR FIN'!$A$1:$O$91,15,0)),0,VLOOKUP($S$76,'TAR FIN'!$A$1:$O$91,15,0))</f>
        <v>0</v>
      </c>
      <c r="W76" s="6">
        <f>IF(ISERROR(VLOOKUP($T$76,'TAR FIN'!$A$1:$O$91,15,0)),0,VLOOKUP($T$76,'TAR FIN'!$A$1:$O$91,15,0))</f>
        <v>90.67</v>
      </c>
      <c r="X76" s="6">
        <f>IF(ISERROR(VLOOKUP($U$76,'TAR FIN'!$A$1:$O$91,15,0)),0,VLOOKUP($U$76,'TAR FIN'!$A$1:$O$91,15,0))</f>
        <v>133.97</v>
      </c>
      <c r="Y76" s="6"/>
      <c r="Z76" s="6">
        <f ca="1">('TUSD BE'!$AM$16+'TUSD BF'!$AM$16+'TUSD CVA'!$AM$16)*1</f>
        <v>121.64342985575733</v>
      </c>
      <c r="AA76" s="6">
        <f>('TE BE'!$AB$8+'TE BF'!$AB$8+'TE CVA'!$AB$8)*1</f>
        <v>114.76529888966962</v>
      </c>
      <c r="AB76" s="6">
        <f>$K$76*$V$76</f>
        <v>0</v>
      </c>
      <c r="AC76" s="6">
        <f>$M$76*$W$76</f>
        <v>40226.924210000005</v>
      </c>
      <c r="AD76" s="6">
        <f>$O$76*$X$76</f>
        <v>59437.53211</v>
      </c>
      <c r="AE76" s="6">
        <f>$K$76*$Y$76</f>
        <v>0</v>
      </c>
      <c r="AF76" s="6">
        <f ca="1">$M$76*$Z$76</f>
        <v>53968.689020094869</v>
      </c>
      <c r="AG76" s="6">
        <f>$O$76*$AA$76</f>
        <v>50917.116801287499</v>
      </c>
    </row>
    <row r="77" spans="1:33" ht="11.25" customHeight="1" x14ac:dyDescent="0.25">
      <c r="A77" s="4" t="s">
        <v>21</v>
      </c>
      <c r="B77" s="4" t="s">
        <v>39</v>
      </c>
      <c r="C77" s="4" t="s">
        <v>40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44531</v>
      </c>
      <c r="J77" s="6">
        <v>0</v>
      </c>
      <c r="K77" s="6">
        <v>0</v>
      </c>
      <c r="L77" s="6">
        <v>474.50400000000002</v>
      </c>
      <c r="M77" s="6">
        <v>474.50400000000002</v>
      </c>
      <c r="N77" s="6">
        <v>474.50400000000002</v>
      </c>
      <c r="O77" s="6">
        <v>474.50400000000002</v>
      </c>
      <c r="P77" s="6">
        <v>0</v>
      </c>
      <c r="Q77" s="4" t="s">
        <v>26</v>
      </c>
      <c r="R77" s="4">
        <v>0</v>
      </c>
      <c r="S77" s="6">
        <v>0</v>
      </c>
      <c r="T77" s="6">
        <v>3</v>
      </c>
      <c r="U77" s="6">
        <v>85</v>
      </c>
      <c r="V77" s="6">
        <f>IF(ISERROR(VLOOKUP($S$77,'TAR FIN'!$A$1:$O$91,15,0)),0,VLOOKUP($S$77,'TAR FIN'!$A$1:$O$91,15,0))</f>
        <v>0</v>
      </c>
      <c r="W77" s="6">
        <f>IF(ISERROR(VLOOKUP($T$77,'TAR FIN'!$A$1:$O$91,15,0)),0,VLOOKUP($T$77,'TAR FIN'!$A$1:$O$91,15,0))</f>
        <v>90.67</v>
      </c>
      <c r="X77" s="6">
        <f>IF(ISERROR(VLOOKUP($U$77,'TAR FIN'!$A$1:$O$91,15,0)),0,VLOOKUP($U$77,'TAR FIN'!$A$1:$O$91,15,0))</f>
        <v>133.97</v>
      </c>
      <c r="Y77" s="6"/>
      <c r="Z77" s="6">
        <f ca="1">('TUSD BE'!$AM$16+'TUSD BF'!$AM$16+'TUSD CVA'!$AM$16)*1</f>
        <v>121.64342985575733</v>
      </c>
      <c r="AA77" s="6">
        <f>('TE BE'!$AB$8+'TE BF'!$AB$8+'TE CVA'!$AB$8)*1</f>
        <v>114.76529888966962</v>
      </c>
      <c r="AB77" s="6">
        <f>$K$77*$V$77</f>
        <v>0</v>
      </c>
      <c r="AC77" s="6">
        <f>$M$77*$W$77</f>
        <v>43023.277679999999</v>
      </c>
      <c r="AD77" s="6">
        <f>$O$77*$X$77</f>
        <v>63569.300880000003</v>
      </c>
      <c r="AE77" s="6">
        <f>$K$77*$Y$77</f>
        <v>0</v>
      </c>
      <c r="AF77" s="6">
        <f ca="1">$M$77*$Z$77</f>
        <v>57720.294040276283</v>
      </c>
      <c r="AG77" s="6">
        <f>$O$77*$AA$77</f>
        <v>54456.593384343796</v>
      </c>
    </row>
    <row r="78" spans="1:33" ht="11.25" customHeight="1" x14ac:dyDescent="0.25">
      <c r="A78" s="4" t="s">
        <v>21</v>
      </c>
      <c r="B78" s="4" t="s">
        <v>39</v>
      </c>
      <c r="C78" s="4" t="s">
        <v>40</v>
      </c>
      <c r="D78" s="4" t="s">
        <v>41</v>
      </c>
      <c r="E78" s="4" t="s">
        <v>25</v>
      </c>
      <c r="F78" s="4" t="s">
        <v>25</v>
      </c>
      <c r="G78" s="4" t="s">
        <v>25</v>
      </c>
      <c r="H78" s="4" t="s">
        <v>38</v>
      </c>
      <c r="I78" s="5">
        <v>44562</v>
      </c>
      <c r="J78" s="6">
        <v>0</v>
      </c>
      <c r="K78" s="6">
        <v>0</v>
      </c>
      <c r="L78" s="6">
        <v>495.185</v>
      </c>
      <c r="M78" s="6">
        <v>495.185</v>
      </c>
      <c r="N78" s="6">
        <v>495.185</v>
      </c>
      <c r="O78" s="6">
        <v>495.185</v>
      </c>
      <c r="P78" s="6">
        <v>0</v>
      </c>
      <c r="Q78" s="4" t="s">
        <v>26</v>
      </c>
      <c r="R78" s="4">
        <v>0</v>
      </c>
      <c r="S78" s="6">
        <v>0</v>
      </c>
      <c r="T78" s="6">
        <v>3</v>
      </c>
      <c r="U78" s="6">
        <v>85</v>
      </c>
      <c r="V78" s="6">
        <f>IF(ISERROR(VLOOKUP($S$78,'TAR FIN'!$A$1:$O$91,15,0)),0,VLOOKUP($S$78,'TAR FIN'!$A$1:$O$91,15,0))</f>
        <v>0</v>
      </c>
      <c r="W78" s="6">
        <f>IF(ISERROR(VLOOKUP($T$78,'TAR FIN'!$A$1:$O$91,15,0)),0,VLOOKUP($T$78,'TAR FIN'!$A$1:$O$91,15,0))</f>
        <v>90.67</v>
      </c>
      <c r="X78" s="6">
        <f>IF(ISERROR(VLOOKUP($U$78,'TAR FIN'!$A$1:$O$91,15,0)),0,VLOOKUP($U$78,'TAR FIN'!$A$1:$O$91,15,0))</f>
        <v>133.97</v>
      </c>
      <c r="Y78" s="6"/>
      <c r="Z78" s="6">
        <f ca="1">('TUSD BE'!$AM$16+'TUSD BF'!$AM$16+'TUSD CVA'!$AM$16)*1</f>
        <v>121.64342985575733</v>
      </c>
      <c r="AA78" s="6">
        <f>('TE BE'!$AB$8+'TE BF'!$AB$8+'TE CVA'!$AB$8)*1</f>
        <v>114.76529888966962</v>
      </c>
      <c r="AB78" s="6">
        <f>$K$78*$V$78</f>
        <v>0</v>
      </c>
      <c r="AC78" s="6">
        <f>$M$78*$W$78</f>
        <v>44898.423950000004</v>
      </c>
      <c r="AD78" s="6">
        <f>$O$78*$X$78</f>
        <v>66339.934450000001</v>
      </c>
      <c r="AE78" s="6">
        <f>$K$78*$Y$78</f>
        <v>0</v>
      </c>
      <c r="AF78" s="6">
        <f ca="1">$M$78*$Z$78</f>
        <v>60236.001813123192</v>
      </c>
      <c r="AG78" s="6">
        <f>$O$78*$AA$78</f>
        <v>56830.054530681053</v>
      </c>
    </row>
    <row r="79" spans="1:33" ht="11.25" customHeight="1" x14ac:dyDescent="0.25">
      <c r="A79" s="4" t="s">
        <v>21</v>
      </c>
      <c r="B79" s="4" t="s">
        <v>39</v>
      </c>
      <c r="C79" s="4" t="s">
        <v>40</v>
      </c>
      <c r="D79" s="4" t="s">
        <v>41</v>
      </c>
      <c r="E79" s="4" t="s">
        <v>25</v>
      </c>
      <c r="F79" s="4" t="s">
        <v>25</v>
      </c>
      <c r="G79" s="4" t="s">
        <v>25</v>
      </c>
      <c r="H79" s="4" t="s">
        <v>38</v>
      </c>
      <c r="I79" s="5">
        <v>44593</v>
      </c>
      <c r="J79" s="6">
        <v>0</v>
      </c>
      <c r="K79" s="6">
        <v>0</v>
      </c>
      <c r="L79" s="6">
        <v>447.32499999999999</v>
      </c>
      <c r="M79" s="6">
        <v>447.32499999999999</v>
      </c>
      <c r="N79" s="6">
        <v>447.32499999999999</v>
      </c>
      <c r="O79" s="6">
        <v>447.32499999999999</v>
      </c>
      <c r="P79" s="6">
        <v>0</v>
      </c>
      <c r="Q79" s="4" t="s">
        <v>26</v>
      </c>
      <c r="R79" s="4">
        <v>0</v>
      </c>
      <c r="S79" s="6">
        <v>0</v>
      </c>
      <c r="T79" s="6">
        <v>3</v>
      </c>
      <c r="U79" s="6">
        <v>85</v>
      </c>
      <c r="V79" s="6">
        <f>IF(ISERROR(VLOOKUP($S$79,'TAR FIN'!$A$1:$O$91,15,0)),0,VLOOKUP($S$79,'TAR FIN'!$A$1:$O$91,15,0))</f>
        <v>0</v>
      </c>
      <c r="W79" s="6">
        <f>IF(ISERROR(VLOOKUP($T$79,'TAR FIN'!$A$1:$O$91,15,0)),0,VLOOKUP($T$79,'TAR FIN'!$A$1:$O$91,15,0))</f>
        <v>90.67</v>
      </c>
      <c r="X79" s="6">
        <f>IF(ISERROR(VLOOKUP($U$79,'TAR FIN'!$A$1:$O$91,15,0)),0,VLOOKUP($U$79,'TAR FIN'!$A$1:$O$91,15,0))</f>
        <v>133.97</v>
      </c>
      <c r="Y79" s="6"/>
      <c r="Z79" s="6">
        <f ca="1">('TUSD BE'!$AM$16+'TUSD BF'!$AM$16+'TUSD CVA'!$AM$16)*1</f>
        <v>121.64342985575733</v>
      </c>
      <c r="AA79" s="6">
        <f>('TE BE'!$AB$8+'TE BF'!$AB$8+'TE CVA'!$AB$8)*1</f>
        <v>114.76529888966962</v>
      </c>
      <c r="AB79" s="6">
        <f>$K$79*$V$79</f>
        <v>0</v>
      </c>
      <c r="AC79" s="6">
        <f>$M$79*$W$79</f>
        <v>40558.957750000001</v>
      </c>
      <c r="AD79" s="6">
        <f>$O$79*$X$79</f>
        <v>59928.130249999995</v>
      </c>
      <c r="AE79" s="6">
        <f>$K$79*$Y$79</f>
        <v>0</v>
      </c>
      <c r="AF79" s="6">
        <f ca="1">$M$79*$Z$79</f>
        <v>54414.147260226644</v>
      </c>
      <c r="AG79" s="6">
        <f>$O$79*$AA$79</f>
        <v>51337.387325821466</v>
      </c>
    </row>
    <row r="80" spans="1:33" ht="11.25" customHeight="1" x14ac:dyDescent="0.25">
      <c r="A80" s="4" t="s">
        <v>21</v>
      </c>
      <c r="B80" s="4" t="s">
        <v>39</v>
      </c>
      <c r="C80" s="4" t="s">
        <v>40</v>
      </c>
      <c r="D80" s="4" t="s">
        <v>41</v>
      </c>
      <c r="E80" s="4" t="s">
        <v>25</v>
      </c>
      <c r="F80" s="4" t="s">
        <v>25</v>
      </c>
      <c r="G80" s="4" t="s">
        <v>25</v>
      </c>
      <c r="H80" s="4" t="s">
        <v>38</v>
      </c>
      <c r="I80" s="5">
        <v>44621</v>
      </c>
      <c r="J80" s="6">
        <v>0</v>
      </c>
      <c r="K80" s="6">
        <v>0</v>
      </c>
      <c r="L80" s="6">
        <v>461.18900000000002</v>
      </c>
      <c r="M80" s="6">
        <v>461.18900000000002</v>
      </c>
      <c r="N80" s="6">
        <v>461.18900000000002</v>
      </c>
      <c r="O80" s="6">
        <v>461.18900000000002</v>
      </c>
      <c r="P80" s="6">
        <v>0</v>
      </c>
      <c r="Q80" s="4" t="s">
        <v>26</v>
      </c>
      <c r="R80" s="4">
        <v>0</v>
      </c>
      <c r="S80" s="6">
        <v>0</v>
      </c>
      <c r="T80" s="6">
        <v>3</v>
      </c>
      <c r="U80" s="6">
        <v>85</v>
      </c>
      <c r="V80" s="6">
        <f>IF(ISERROR(VLOOKUP($S$80,'TAR FIN'!$A$1:$O$91,15,0)),0,VLOOKUP($S$80,'TAR FIN'!$A$1:$O$91,15,0))</f>
        <v>0</v>
      </c>
      <c r="W80" s="6">
        <f>IF(ISERROR(VLOOKUP($T$80,'TAR FIN'!$A$1:$O$91,15,0)),0,VLOOKUP($T$80,'TAR FIN'!$A$1:$O$91,15,0))</f>
        <v>90.67</v>
      </c>
      <c r="X80" s="6">
        <f>IF(ISERROR(VLOOKUP($U$80,'TAR FIN'!$A$1:$O$91,15,0)),0,VLOOKUP($U$80,'TAR FIN'!$A$1:$O$91,15,0))</f>
        <v>133.97</v>
      </c>
      <c r="Y80" s="6"/>
      <c r="Z80" s="6">
        <f ca="1">('TUSD BE'!$AM$16+'TUSD BF'!$AM$16+'TUSD CVA'!$AM$16)*1</f>
        <v>121.64342985575733</v>
      </c>
      <c r="AA80" s="6">
        <f>('TE BE'!$AB$8+'TE BF'!$AB$8+'TE CVA'!$AB$8)*1</f>
        <v>114.76529888966962</v>
      </c>
      <c r="AB80" s="6">
        <f>$K$80*$V$80</f>
        <v>0</v>
      </c>
      <c r="AC80" s="6">
        <f>$M$80*$W$80</f>
        <v>41816.006630000003</v>
      </c>
      <c r="AD80" s="6">
        <f>$O$80*$X$80</f>
        <v>61785.490330000001</v>
      </c>
      <c r="AE80" s="6">
        <f>$K$80*$Y$80</f>
        <v>0</v>
      </c>
      <c r="AF80" s="6">
        <f ca="1">$M$80*$Z$80</f>
        <v>56100.611771746873</v>
      </c>
      <c r="AG80" s="6">
        <f>$O$80*$AA$80</f>
        <v>52928.493429627844</v>
      </c>
    </row>
    <row r="81" spans="1:33" ht="11.25" customHeight="1" x14ac:dyDescent="0.25">
      <c r="A81" s="4" t="s">
        <v>21</v>
      </c>
      <c r="B81" s="4" t="s">
        <v>39</v>
      </c>
      <c r="C81" s="4" t="s">
        <v>40</v>
      </c>
      <c r="D81" s="4" t="s">
        <v>41</v>
      </c>
      <c r="E81" s="4" t="s">
        <v>25</v>
      </c>
      <c r="F81" s="4" t="s">
        <v>25</v>
      </c>
      <c r="G81" s="4" t="s">
        <v>25</v>
      </c>
      <c r="H81" s="4" t="s">
        <v>38</v>
      </c>
      <c r="I81" s="5">
        <v>44652</v>
      </c>
      <c r="J81" s="6">
        <v>0</v>
      </c>
      <c r="K81" s="6">
        <v>0</v>
      </c>
      <c r="L81" s="6">
        <v>415.10899999999998</v>
      </c>
      <c r="M81" s="6">
        <v>415.10899999999998</v>
      </c>
      <c r="N81" s="6">
        <v>415.10899999999998</v>
      </c>
      <c r="O81" s="6">
        <v>415.10899999999998</v>
      </c>
      <c r="P81" s="6">
        <v>0</v>
      </c>
      <c r="Q81" s="4" t="s">
        <v>26</v>
      </c>
      <c r="R81" s="4">
        <v>0</v>
      </c>
      <c r="S81" s="6">
        <v>0</v>
      </c>
      <c r="T81" s="6">
        <v>3</v>
      </c>
      <c r="U81" s="6">
        <v>85</v>
      </c>
      <c r="V81" s="6">
        <f>IF(ISERROR(VLOOKUP($S$81,'TAR FIN'!$A$1:$O$91,15,0)),0,VLOOKUP($S$81,'TAR FIN'!$A$1:$O$91,15,0))</f>
        <v>0</v>
      </c>
      <c r="W81" s="6">
        <f>IF(ISERROR(VLOOKUP($T$81,'TAR FIN'!$A$1:$O$91,15,0)),0,VLOOKUP($T$81,'TAR FIN'!$A$1:$O$91,15,0))</f>
        <v>90.67</v>
      </c>
      <c r="X81" s="6">
        <f>IF(ISERROR(VLOOKUP($U$81,'TAR FIN'!$A$1:$O$91,15,0)),0,VLOOKUP($U$81,'TAR FIN'!$A$1:$O$91,15,0))</f>
        <v>133.97</v>
      </c>
      <c r="Y81" s="6"/>
      <c r="Z81" s="6">
        <f ca="1">('TUSD BE'!$AM$16+'TUSD BF'!$AM$16+'TUSD CVA'!$AM$16)*1</f>
        <v>121.64342985575733</v>
      </c>
      <c r="AA81" s="6">
        <f>('TE BE'!$AB$8+'TE BF'!$AB$8+'TE CVA'!$AB$8)*1</f>
        <v>114.76529888966962</v>
      </c>
      <c r="AB81" s="6">
        <f>$K$81*$V$81</f>
        <v>0</v>
      </c>
      <c r="AC81" s="6">
        <f>$M$81*$W$81</f>
        <v>37637.93303</v>
      </c>
      <c r="AD81" s="6">
        <f>$O$81*$X$81</f>
        <v>55612.152729999994</v>
      </c>
      <c r="AE81" s="6">
        <f>$K$81*$Y$81</f>
        <v>0</v>
      </c>
      <c r="AF81" s="6">
        <f ca="1">$M$81*$Z$81</f>
        <v>50495.28252399357</v>
      </c>
      <c r="AG81" s="6">
        <f>$O$81*$AA$81</f>
        <v>47640.108456791866</v>
      </c>
    </row>
    <row r="82" spans="1:33" ht="11.25" customHeight="1" x14ac:dyDescent="0.25">
      <c r="A82" s="4" t="s">
        <v>21</v>
      </c>
      <c r="B82" s="4" t="s">
        <v>39</v>
      </c>
      <c r="C82" s="4" t="s">
        <v>40</v>
      </c>
      <c r="D82" s="4" t="s">
        <v>41</v>
      </c>
      <c r="E82" s="4" t="s">
        <v>25</v>
      </c>
      <c r="F82" s="4" t="s">
        <v>25</v>
      </c>
      <c r="G82" s="4" t="s">
        <v>25</v>
      </c>
      <c r="H82" s="4" t="s">
        <v>38</v>
      </c>
      <c r="I82" s="5">
        <v>44682</v>
      </c>
      <c r="J82" s="6">
        <v>0</v>
      </c>
      <c r="K82" s="6">
        <v>0</v>
      </c>
      <c r="L82" s="6">
        <v>405.09</v>
      </c>
      <c r="M82" s="6">
        <v>405.09</v>
      </c>
      <c r="N82" s="6">
        <v>405.09</v>
      </c>
      <c r="O82" s="6">
        <v>405.09</v>
      </c>
      <c r="P82" s="6">
        <v>0</v>
      </c>
      <c r="Q82" s="4" t="s">
        <v>26</v>
      </c>
      <c r="R82" s="4">
        <v>0</v>
      </c>
      <c r="S82" s="6">
        <v>0</v>
      </c>
      <c r="T82" s="6">
        <v>3</v>
      </c>
      <c r="U82" s="6">
        <v>85</v>
      </c>
      <c r="V82" s="6">
        <f>IF(ISERROR(VLOOKUP($S$82,'TAR FIN'!$A$1:$O$91,15,0)),0,VLOOKUP($S$82,'TAR FIN'!$A$1:$O$91,15,0))</f>
        <v>0</v>
      </c>
      <c r="W82" s="6">
        <f>IF(ISERROR(VLOOKUP($T$82,'TAR FIN'!$A$1:$O$91,15,0)),0,VLOOKUP($T$82,'TAR FIN'!$A$1:$O$91,15,0))</f>
        <v>90.67</v>
      </c>
      <c r="X82" s="6">
        <f>IF(ISERROR(VLOOKUP($U$82,'TAR FIN'!$A$1:$O$91,15,0)),0,VLOOKUP($U$82,'TAR FIN'!$A$1:$O$91,15,0))</f>
        <v>133.97</v>
      </c>
      <c r="Y82" s="6"/>
      <c r="Z82" s="6">
        <f ca="1">('TUSD BE'!$AM$16+'TUSD BF'!$AM$16+'TUSD CVA'!$AM$16)*1</f>
        <v>121.64342985575733</v>
      </c>
      <c r="AA82" s="6">
        <f>('TE BE'!$AB$8+'TE BF'!$AB$8+'TE CVA'!$AB$8)*1</f>
        <v>114.76529888966962</v>
      </c>
      <c r="AB82" s="6">
        <f>$K$82*$V$82</f>
        <v>0</v>
      </c>
      <c r="AC82" s="6">
        <f>$M$82*$W$82</f>
        <v>36729.510300000002</v>
      </c>
      <c r="AD82" s="6">
        <f>$O$82*$X$82</f>
        <v>54269.907299999999</v>
      </c>
      <c r="AE82" s="6">
        <f>$K$82*$Y$82</f>
        <v>0</v>
      </c>
      <c r="AF82" s="6">
        <f ca="1">$M$82*$Z$82</f>
        <v>49276.537000268734</v>
      </c>
      <c r="AG82" s="6">
        <f>$O$82*$AA$82</f>
        <v>46490.274927216262</v>
      </c>
    </row>
    <row r="83" spans="1:33" ht="11.25" customHeight="1" x14ac:dyDescent="0.25">
      <c r="A83" s="4" t="s">
        <v>21</v>
      </c>
      <c r="B83" s="4" t="s">
        <v>39</v>
      </c>
      <c r="C83" s="4" t="s">
        <v>40</v>
      </c>
      <c r="D83" s="4" t="s">
        <v>41</v>
      </c>
      <c r="E83" s="4" t="s">
        <v>25</v>
      </c>
      <c r="F83" s="4" t="s">
        <v>25</v>
      </c>
      <c r="G83" s="4" t="s">
        <v>25</v>
      </c>
      <c r="H83" s="4" t="s">
        <v>38</v>
      </c>
      <c r="I83" s="5">
        <v>44713</v>
      </c>
      <c r="J83" s="6">
        <v>0</v>
      </c>
      <c r="K83" s="6">
        <v>0</v>
      </c>
      <c r="L83" s="6">
        <v>381.92899999999997</v>
      </c>
      <c r="M83" s="6">
        <v>381.92899999999997</v>
      </c>
      <c r="N83" s="6">
        <v>381.92899999999997</v>
      </c>
      <c r="O83" s="6">
        <v>381.92899999999997</v>
      </c>
      <c r="P83" s="6">
        <v>0</v>
      </c>
      <c r="Q83" s="4" t="s">
        <v>26</v>
      </c>
      <c r="R83" s="4">
        <v>0</v>
      </c>
      <c r="S83" s="6">
        <v>0</v>
      </c>
      <c r="T83" s="6">
        <v>3</v>
      </c>
      <c r="U83" s="6">
        <v>85</v>
      </c>
      <c r="V83" s="6">
        <f>IF(ISERROR(VLOOKUP($S$83,'TAR FIN'!$A$1:$O$91,15,0)),0,VLOOKUP($S$83,'TAR FIN'!$A$1:$O$91,15,0))</f>
        <v>0</v>
      </c>
      <c r="W83" s="6">
        <f>IF(ISERROR(VLOOKUP($T$83,'TAR FIN'!$A$1:$O$91,15,0)),0,VLOOKUP($T$83,'TAR FIN'!$A$1:$O$91,15,0))</f>
        <v>90.67</v>
      </c>
      <c r="X83" s="6">
        <f>IF(ISERROR(VLOOKUP($U$83,'TAR FIN'!$A$1:$O$91,15,0)),0,VLOOKUP($U$83,'TAR FIN'!$A$1:$O$91,15,0))</f>
        <v>133.97</v>
      </c>
      <c r="Y83" s="6"/>
      <c r="Z83" s="6">
        <f ca="1">('TUSD BE'!$AM$16+'TUSD BF'!$AM$16+'TUSD CVA'!$AM$16)*1</f>
        <v>121.64342985575733</v>
      </c>
      <c r="AA83" s="6">
        <f>('TE BE'!$AB$8+'TE BF'!$AB$8+'TE CVA'!$AB$8)*1</f>
        <v>114.76529888966962</v>
      </c>
      <c r="AB83" s="6">
        <f>$K$83*$V$83</f>
        <v>0</v>
      </c>
      <c r="AC83" s="6">
        <f>$M$83*$W$83</f>
        <v>34629.50243</v>
      </c>
      <c r="AD83" s="6">
        <f>$O$83*$X$83</f>
        <v>51167.028129999999</v>
      </c>
      <c r="AE83" s="6">
        <f>$K$83*$Y$83</f>
        <v>0</v>
      </c>
      <c r="AF83" s="6">
        <f ca="1">$M$83*$Z$83</f>
        <v>46459.153521379536</v>
      </c>
      <c r="AG83" s="6">
        <f>$O$83*$AA$83</f>
        <v>43832.19583963263</v>
      </c>
    </row>
    <row r="84" spans="1:33" ht="11.25" customHeight="1" x14ac:dyDescent="0.25">
      <c r="A84" s="4" t="s">
        <v>21</v>
      </c>
      <c r="B84" s="4" t="s">
        <v>39</v>
      </c>
      <c r="C84" s="4" t="s">
        <v>40</v>
      </c>
      <c r="D84" s="4" t="s">
        <v>41</v>
      </c>
      <c r="E84" s="4" t="s">
        <v>25</v>
      </c>
      <c r="F84" s="4" t="s">
        <v>25</v>
      </c>
      <c r="G84" s="4" t="s">
        <v>25</v>
      </c>
      <c r="H84" s="4" t="s">
        <v>38</v>
      </c>
      <c r="I84" s="5">
        <v>44743</v>
      </c>
      <c r="J84" s="6">
        <v>0</v>
      </c>
      <c r="K84" s="6">
        <v>0</v>
      </c>
      <c r="L84" s="6">
        <v>421.21100000000001</v>
      </c>
      <c r="M84" s="6">
        <v>421.21100000000001</v>
      </c>
      <c r="N84" s="6">
        <v>421.21100000000001</v>
      </c>
      <c r="O84" s="6">
        <v>421.21100000000001</v>
      </c>
      <c r="P84" s="6">
        <v>0</v>
      </c>
      <c r="Q84" s="4" t="s">
        <v>26</v>
      </c>
      <c r="R84" s="4">
        <v>0</v>
      </c>
      <c r="S84" s="6">
        <v>0</v>
      </c>
      <c r="T84" s="6">
        <v>3</v>
      </c>
      <c r="U84" s="6">
        <v>85</v>
      </c>
      <c r="V84" s="6">
        <f>IF(ISERROR(VLOOKUP($S$84,'TAR FIN'!$A$1:$O$91,15,0)),0,VLOOKUP($S$84,'TAR FIN'!$A$1:$O$91,15,0))</f>
        <v>0</v>
      </c>
      <c r="W84" s="6">
        <f>IF(ISERROR(VLOOKUP($T$84,'TAR FIN'!$A$1:$O$91,15,0)),0,VLOOKUP($T$84,'TAR FIN'!$A$1:$O$91,15,0))</f>
        <v>90.67</v>
      </c>
      <c r="X84" s="6">
        <f>IF(ISERROR(VLOOKUP($U$84,'TAR FIN'!$A$1:$O$91,15,0)),0,VLOOKUP($U$84,'TAR FIN'!$A$1:$O$91,15,0))</f>
        <v>133.97</v>
      </c>
      <c r="Y84" s="6"/>
      <c r="Z84" s="6">
        <f ca="1">('TUSD BE'!$AM$16+'TUSD BF'!$AM$16+'TUSD CVA'!$AM$16)*1</f>
        <v>121.64342985575733</v>
      </c>
      <c r="AA84" s="6">
        <f>('TE BE'!$AB$8+'TE BF'!$AB$8+'TE CVA'!$AB$8)*1</f>
        <v>114.76529888966962</v>
      </c>
      <c r="AB84" s="6">
        <f>$K$84*$V$84</f>
        <v>0</v>
      </c>
      <c r="AC84" s="6">
        <f>$M$84*$W$84</f>
        <v>38191.201370000002</v>
      </c>
      <c r="AD84" s="6">
        <f>$O$84*$X$84</f>
        <v>56429.637670000004</v>
      </c>
      <c r="AE84" s="6">
        <f>$K$84*$Y$84</f>
        <v>0</v>
      </c>
      <c r="AF84" s="6">
        <f ca="1">$M$84*$Z$84</f>
        <v>51237.550732973403</v>
      </c>
      <c r="AG84" s="6">
        <f>$O$84*$AA$84</f>
        <v>48340.406310616636</v>
      </c>
    </row>
    <row r="85" spans="1:33" ht="11.25" customHeight="1" x14ac:dyDescent="0.25">
      <c r="A85" s="4" t="s">
        <v>57</v>
      </c>
      <c r="B85" s="4" t="s">
        <v>39</v>
      </c>
      <c r="C85" s="4" t="s">
        <v>40</v>
      </c>
      <c r="D85" s="4" t="s">
        <v>41</v>
      </c>
      <c r="E85" s="4" t="s">
        <v>25</v>
      </c>
      <c r="F85" s="4" t="s">
        <v>25</v>
      </c>
      <c r="G85" s="4" t="s">
        <v>25</v>
      </c>
      <c r="H85" s="4" t="s">
        <v>38</v>
      </c>
      <c r="I85" s="5">
        <v>44774</v>
      </c>
      <c r="J85" s="6">
        <v>0</v>
      </c>
      <c r="K85" s="6">
        <v>0</v>
      </c>
      <c r="L85" s="6">
        <v>421.21100000000001</v>
      </c>
      <c r="M85" s="6">
        <v>421.21100000000001</v>
      </c>
      <c r="N85" s="6">
        <v>421.21100000000001</v>
      </c>
      <c r="O85" s="6">
        <v>421.21100000000001</v>
      </c>
      <c r="P85" s="6">
        <v>0</v>
      </c>
      <c r="Q85" s="4" t="s">
        <v>26</v>
      </c>
      <c r="R85" s="4">
        <v>0</v>
      </c>
      <c r="S85" s="6">
        <v>0</v>
      </c>
      <c r="T85" s="6">
        <v>3</v>
      </c>
      <c r="U85" s="6">
        <v>85</v>
      </c>
      <c r="V85" s="6">
        <f>IF(ISERROR(VLOOKUP($S$85,'TAR FIN'!$A$1:$O$91,15,0)),0,VLOOKUP($S$85,'TAR FIN'!$A$1:$O$91,15,0))</f>
        <v>0</v>
      </c>
      <c r="W85" s="6">
        <f>IF(ISERROR(VLOOKUP($T$85,'TAR FIN'!$A$1:$O$91,15,0)),0,VLOOKUP($T$85,'TAR FIN'!$A$1:$O$91,15,0))</f>
        <v>90.67</v>
      </c>
      <c r="X85" s="6">
        <f>IF(ISERROR(VLOOKUP($U$85,'TAR FIN'!$A$1:$O$91,15,0)),0,VLOOKUP($U$85,'TAR FIN'!$A$1:$O$91,15,0))</f>
        <v>133.97</v>
      </c>
      <c r="Y85" s="6"/>
      <c r="Z85" s="6">
        <f ca="1">('TUSD BE'!$AM$16+'TUSD BF'!$AM$16+'TUSD CVA'!$AM$16)*1</f>
        <v>121.64342985575733</v>
      </c>
      <c r="AA85" s="6">
        <f>('TE BE'!$AB$8+'TE BF'!$AB$8+'TE CVA'!$AB$8)*1</f>
        <v>114.76529888966962</v>
      </c>
      <c r="AB85" s="6">
        <f>$K$85*$V$85</f>
        <v>0</v>
      </c>
      <c r="AC85" s="6">
        <f>$M$85*$W$85</f>
        <v>38191.201370000002</v>
      </c>
      <c r="AD85" s="6">
        <f>$O$85*$X$85</f>
        <v>56429.637670000004</v>
      </c>
      <c r="AE85" s="6">
        <f>$K$85*$Y$85</f>
        <v>0</v>
      </c>
      <c r="AF85" s="6">
        <f ca="1">$M$85*$Z$85</f>
        <v>51237.550732973403</v>
      </c>
      <c r="AG85" s="6">
        <f>$O$85*$AA$85</f>
        <v>48340.406310616636</v>
      </c>
    </row>
    <row r="86" spans="1:33" ht="11.25" customHeight="1" x14ac:dyDescent="0.25">
      <c r="A86" s="4" t="s">
        <v>21</v>
      </c>
      <c r="B86" s="4" t="s">
        <v>39</v>
      </c>
      <c r="C86" s="4" t="s">
        <v>40</v>
      </c>
      <c r="D86" s="4" t="s">
        <v>41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1642</v>
      </c>
      <c r="K86" s="6">
        <v>1642</v>
      </c>
      <c r="L86" s="6">
        <v>0</v>
      </c>
      <c r="M86" s="6">
        <v>0</v>
      </c>
      <c r="N86" s="6">
        <v>0</v>
      </c>
      <c r="O86" s="6">
        <v>0</v>
      </c>
      <c r="P86" s="6">
        <v>17</v>
      </c>
      <c r="Q86" s="4" t="s">
        <v>26</v>
      </c>
      <c r="R86" s="4">
        <v>0</v>
      </c>
      <c r="S86" s="6">
        <v>28</v>
      </c>
      <c r="T86" s="6">
        <v>0</v>
      </c>
      <c r="U86" s="6">
        <v>0</v>
      </c>
      <c r="V86" s="6">
        <f>IF(ISERROR(VLOOKUP($S$86,'TAR FIN'!$A$1:$O$91,15,0)),0,VLOOKUP($S$86,'TAR FIN'!$A$1:$O$91,15,0))</f>
        <v>14.45</v>
      </c>
      <c r="W86" s="6">
        <f>IF(ISERROR(VLOOKUP($T$86,'TAR FIN'!$A$1:$O$91,15,0)),0,VLOOKUP($T$86,'TAR FIN'!$A$1:$O$91,15,0))</f>
        <v>0</v>
      </c>
      <c r="X86" s="6">
        <f>IF(ISERROR(VLOOKUP($U$86,'TAR FIN'!$A$1:$O$91,15,0)),0,VLOOKUP($U$86,'TAR FIN'!$A$1:$O$91,15,0))</f>
        <v>0</v>
      </c>
      <c r="Y86" s="6">
        <f ca="1">('TUSD BE'!$AM$14+'TUSD BF'!$AM$14+'TUSD CVA'!$AM$14)*1</f>
        <v>18.372313529244348</v>
      </c>
      <c r="Z86" s="6"/>
      <c r="AA86" s="6"/>
      <c r="AB86" s="6">
        <f>$K$86*$V$86</f>
        <v>23726.899999999998</v>
      </c>
      <c r="AC86" s="6">
        <f>$M$86*$W$86</f>
        <v>0</v>
      </c>
      <c r="AD86" s="6">
        <f>$O$86*$X$86</f>
        <v>0</v>
      </c>
      <c r="AE86" s="6">
        <f ca="1">$K$86*$Y$86</f>
        <v>30167.338815019219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21</v>
      </c>
      <c r="B87" s="4" t="s">
        <v>39</v>
      </c>
      <c r="C87" s="4" t="s">
        <v>40</v>
      </c>
      <c r="D87" s="4" t="s">
        <v>41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1656</v>
      </c>
      <c r="K87" s="6">
        <v>1656</v>
      </c>
      <c r="L87" s="6">
        <v>0</v>
      </c>
      <c r="M87" s="6">
        <v>0</v>
      </c>
      <c r="N87" s="6">
        <v>0</v>
      </c>
      <c r="O87" s="6">
        <v>0</v>
      </c>
      <c r="P87" s="6">
        <v>17</v>
      </c>
      <c r="Q87" s="4" t="s">
        <v>26</v>
      </c>
      <c r="R87" s="4">
        <v>0</v>
      </c>
      <c r="S87" s="6">
        <v>28</v>
      </c>
      <c r="T87" s="6">
        <v>0</v>
      </c>
      <c r="U87" s="6">
        <v>0</v>
      </c>
      <c r="V87" s="6">
        <f>IF(ISERROR(VLOOKUP($S$87,'TAR FIN'!$A$1:$O$91,15,0)),0,VLOOKUP($S$87,'TAR FIN'!$A$1:$O$91,15,0))</f>
        <v>14.45</v>
      </c>
      <c r="W87" s="6">
        <f>IF(ISERROR(VLOOKUP($T$87,'TAR FIN'!$A$1:$O$91,15,0)),0,VLOOKUP($T$87,'TAR FIN'!$A$1:$O$91,15,0))</f>
        <v>0</v>
      </c>
      <c r="X87" s="6">
        <f>IF(ISERROR(VLOOKUP($U$87,'TAR FIN'!$A$1:$O$91,15,0)),0,VLOOKUP($U$87,'TAR FIN'!$A$1:$O$91,15,0))</f>
        <v>0</v>
      </c>
      <c r="Y87" s="6">
        <f ca="1">('TUSD BE'!$AM$14+'TUSD BF'!$AM$14+'TUSD CVA'!$AM$14)*1</f>
        <v>18.372313529244348</v>
      </c>
      <c r="Z87" s="6"/>
      <c r="AA87" s="6"/>
      <c r="AB87" s="6">
        <f>$K$87*$V$87</f>
        <v>23929.199999999997</v>
      </c>
      <c r="AC87" s="6">
        <f>$M$87*$W$87</f>
        <v>0</v>
      </c>
      <c r="AD87" s="6">
        <f>$O$87*$X$87</f>
        <v>0</v>
      </c>
      <c r="AE87" s="6">
        <f ca="1">$K$87*$Y$87</f>
        <v>30424.551204428641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21</v>
      </c>
      <c r="B88" s="4" t="s">
        <v>39</v>
      </c>
      <c r="C88" s="4" t="s">
        <v>40</v>
      </c>
      <c r="D88" s="4" t="s">
        <v>41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1693</v>
      </c>
      <c r="K88" s="6">
        <v>1693</v>
      </c>
      <c r="L88" s="6">
        <v>0</v>
      </c>
      <c r="M88" s="6">
        <v>0</v>
      </c>
      <c r="N88" s="6">
        <v>0</v>
      </c>
      <c r="O88" s="6">
        <v>0</v>
      </c>
      <c r="P88" s="6">
        <v>17</v>
      </c>
      <c r="Q88" s="4" t="s">
        <v>26</v>
      </c>
      <c r="R88" s="4">
        <v>0</v>
      </c>
      <c r="S88" s="6">
        <v>28</v>
      </c>
      <c r="T88" s="6">
        <v>0</v>
      </c>
      <c r="U88" s="6">
        <v>0</v>
      </c>
      <c r="V88" s="6">
        <f>IF(ISERROR(VLOOKUP($S$88,'TAR FIN'!$A$1:$O$91,15,0)),0,VLOOKUP($S$88,'TAR FIN'!$A$1:$O$91,15,0))</f>
        <v>14.45</v>
      </c>
      <c r="W88" s="6">
        <f>IF(ISERROR(VLOOKUP($T$88,'TAR FIN'!$A$1:$O$91,15,0)),0,VLOOKUP($T$88,'TAR FIN'!$A$1:$O$91,15,0))</f>
        <v>0</v>
      </c>
      <c r="X88" s="6">
        <f>IF(ISERROR(VLOOKUP($U$88,'TAR FIN'!$A$1:$O$91,15,0)),0,VLOOKUP($U$88,'TAR FIN'!$A$1:$O$91,15,0))</f>
        <v>0</v>
      </c>
      <c r="Y88" s="6">
        <f ca="1">('TUSD BE'!$AM$14+'TUSD BF'!$AM$14+'TUSD CVA'!$AM$14)*1</f>
        <v>18.372313529244348</v>
      </c>
      <c r="Z88" s="6"/>
      <c r="AA88" s="6"/>
      <c r="AB88" s="6">
        <f>$K$88*$V$88</f>
        <v>24463.85</v>
      </c>
      <c r="AC88" s="6">
        <f>$M$88*$W$88</f>
        <v>0</v>
      </c>
      <c r="AD88" s="6">
        <f>$O$88*$X$88</f>
        <v>0</v>
      </c>
      <c r="AE88" s="6">
        <f ca="1">$K$88*$Y$88</f>
        <v>31104.326805010682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39</v>
      </c>
      <c r="C89" s="4" t="s">
        <v>40</v>
      </c>
      <c r="D89" s="4" t="s">
        <v>41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1741</v>
      </c>
      <c r="K89" s="6">
        <v>1741</v>
      </c>
      <c r="L89" s="6">
        <v>0</v>
      </c>
      <c r="M89" s="6">
        <v>0</v>
      </c>
      <c r="N89" s="6">
        <v>0</v>
      </c>
      <c r="O89" s="6">
        <v>0</v>
      </c>
      <c r="P89" s="6">
        <v>17</v>
      </c>
      <c r="Q89" s="4" t="s">
        <v>26</v>
      </c>
      <c r="R89" s="4">
        <v>0</v>
      </c>
      <c r="S89" s="6">
        <v>28</v>
      </c>
      <c r="T89" s="6">
        <v>0</v>
      </c>
      <c r="U89" s="6">
        <v>0</v>
      </c>
      <c r="V89" s="6">
        <f>IF(ISERROR(VLOOKUP($S$89,'TAR FIN'!$A$1:$O$91,15,0)),0,VLOOKUP($S$89,'TAR FIN'!$A$1:$O$91,15,0))</f>
        <v>14.45</v>
      </c>
      <c r="W89" s="6">
        <f>IF(ISERROR(VLOOKUP($T$89,'TAR FIN'!$A$1:$O$91,15,0)),0,VLOOKUP($T$89,'TAR FIN'!$A$1:$O$91,15,0))</f>
        <v>0</v>
      </c>
      <c r="X89" s="6">
        <f>IF(ISERROR(VLOOKUP($U$89,'TAR FIN'!$A$1:$O$91,15,0)),0,VLOOKUP($U$89,'TAR FIN'!$A$1:$O$91,15,0))</f>
        <v>0</v>
      </c>
      <c r="Y89" s="6">
        <f ca="1">('TUSD BE'!$AM$14+'TUSD BF'!$AM$14+'TUSD CVA'!$AM$14)*1</f>
        <v>18.372313529244348</v>
      </c>
      <c r="Z89" s="6"/>
      <c r="AA89" s="6"/>
      <c r="AB89" s="6">
        <f>$K$89*$V$89</f>
        <v>25157.449999999997</v>
      </c>
      <c r="AC89" s="6">
        <f>$M$89*$W$89</f>
        <v>0</v>
      </c>
      <c r="AD89" s="6">
        <f>$O$89*$X$89</f>
        <v>0</v>
      </c>
      <c r="AE89" s="6">
        <f ca="1">$K$89*$Y$89</f>
        <v>31986.197854414411</v>
      </c>
      <c r="AF89" s="6">
        <f>$M$89*$Z$89</f>
        <v>0</v>
      </c>
      <c r="AG89" s="6">
        <f>$O$89*$AA$89</f>
        <v>0</v>
      </c>
    </row>
    <row r="90" spans="1:33" ht="11.25" customHeight="1" x14ac:dyDescent="0.25">
      <c r="A90" s="4" t="s">
        <v>21</v>
      </c>
      <c r="B90" s="4" t="s">
        <v>39</v>
      </c>
      <c r="C90" s="4" t="s">
        <v>40</v>
      </c>
      <c r="D90" s="4" t="s">
        <v>41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1778</v>
      </c>
      <c r="K90" s="6">
        <v>1778</v>
      </c>
      <c r="L90" s="6">
        <v>0</v>
      </c>
      <c r="M90" s="6">
        <v>0</v>
      </c>
      <c r="N90" s="6">
        <v>0</v>
      </c>
      <c r="O90" s="6">
        <v>0</v>
      </c>
      <c r="P90" s="6">
        <v>17</v>
      </c>
      <c r="Q90" s="4" t="s">
        <v>26</v>
      </c>
      <c r="R90" s="4">
        <v>0</v>
      </c>
      <c r="S90" s="6">
        <v>28</v>
      </c>
      <c r="T90" s="6">
        <v>0</v>
      </c>
      <c r="U90" s="6">
        <v>0</v>
      </c>
      <c r="V90" s="6">
        <f>IF(ISERROR(VLOOKUP($S$90,'TAR FIN'!$A$1:$O$91,15,0)),0,VLOOKUP($S$90,'TAR FIN'!$A$1:$O$91,15,0))</f>
        <v>14.45</v>
      </c>
      <c r="W90" s="6">
        <f>IF(ISERROR(VLOOKUP($T$90,'TAR FIN'!$A$1:$O$91,15,0)),0,VLOOKUP($T$90,'TAR FIN'!$A$1:$O$91,15,0))</f>
        <v>0</v>
      </c>
      <c r="X90" s="6">
        <f>IF(ISERROR(VLOOKUP($U$90,'TAR FIN'!$A$1:$O$91,15,0)),0,VLOOKUP($U$90,'TAR FIN'!$A$1:$O$91,15,0))</f>
        <v>0</v>
      </c>
      <c r="Y90" s="6">
        <f ca="1">('TUSD BE'!$AM$14+'TUSD BF'!$AM$14+'TUSD CVA'!$AM$14)*1</f>
        <v>18.372313529244348</v>
      </c>
      <c r="Z90" s="6"/>
      <c r="AA90" s="6"/>
      <c r="AB90" s="6">
        <f>$K$90*$V$90</f>
        <v>25692.1</v>
      </c>
      <c r="AC90" s="6">
        <f>$M$90*$W$90</f>
        <v>0</v>
      </c>
      <c r="AD90" s="6">
        <f>$O$90*$X$90</f>
        <v>0</v>
      </c>
      <c r="AE90" s="6">
        <f ca="1">$K$90*$Y$90</f>
        <v>32665.973454996452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39</v>
      </c>
      <c r="C91" s="4" t="s">
        <v>40</v>
      </c>
      <c r="D91" s="4" t="s">
        <v>41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1755</v>
      </c>
      <c r="K91" s="6">
        <v>1755</v>
      </c>
      <c r="L91" s="6">
        <v>0</v>
      </c>
      <c r="M91" s="6">
        <v>0</v>
      </c>
      <c r="N91" s="6">
        <v>0</v>
      </c>
      <c r="O91" s="6">
        <v>0</v>
      </c>
      <c r="P91" s="6">
        <v>17</v>
      </c>
      <c r="Q91" s="4" t="s">
        <v>26</v>
      </c>
      <c r="R91" s="4">
        <v>0</v>
      </c>
      <c r="S91" s="6">
        <v>28</v>
      </c>
      <c r="T91" s="6">
        <v>0</v>
      </c>
      <c r="U91" s="6">
        <v>0</v>
      </c>
      <c r="V91" s="6">
        <f>IF(ISERROR(VLOOKUP($S$91,'TAR FIN'!$A$1:$O$91,15,0)),0,VLOOKUP($S$91,'TAR FIN'!$A$1:$O$91,15,0))</f>
        <v>14.45</v>
      </c>
      <c r="W91" s="6">
        <f>IF(ISERROR(VLOOKUP($T$91,'TAR FIN'!$A$1:$O$91,15,0)),0,VLOOKUP($T$91,'TAR FIN'!$A$1:$O$91,15,0))</f>
        <v>0</v>
      </c>
      <c r="X91" s="6">
        <f>IF(ISERROR(VLOOKUP($U$91,'TAR FIN'!$A$1:$O$91,15,0)),0,VLOOKUP($U$91,'TAR FIN'!$A$1:$O$91,15,0))</f>
        <v>0</v>
      </c>
      <c r="Y91" s="6">
        <f ca="1">('TUSD BE'!$AM$14+'TUSD BF'!$AM$14+'TUSD CVA'!$AM$14)*1</f>
        <v>18.372313529244348</v>
      </c>
      <c r="Z91" s="6"/>
      <c r="AA91" s="6"/>
      <c r="AB91" s="6">
        <f>$K$91*$V$91</f>
        <v>25359.75</v>
      </c>
      <c r="AC91" s="6">
        <f>$M$91*$W$91</f>
        <v>0</v>
      </c>
      <c r="AD91" s="6">
        <f>$O$91*$X$91</f>
        <v>0</v>
      </c>
      <c r="AE91" s="6">
        <f ca="1">$K$91*$Y$91</f>
        <v>32243.41024382383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21</v>
      </c>
      <c r="B92" s="4" t="s">
        <v>39</v>
      </c>
      <c r="C92" s="4" t="s">
        <v>40</v>
      </c>
      <c r="D92" s="4" t="s">
        <v>41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1724</v>
      </c>
      <c r="K92" s="6">
        <v>1724</v>
      </c>
      <c r="L92" s="6">
        <v>0</v>
      </c>
      <c r="M92" s="6">
        <v>0</v>
      </c>
      <c r="N92" s="6">
        <v>0</v>
      </c>
      <c r="O92" s="6">
        <v>0</v>
      </c>
      <c r="P92" s="6">
        <v>17</v>
      </c>
      <c r="Q92" s="4" t="s">
        <v>26</v>
      </c>
      <c r="R92" s="4">
        <v>0</v>
      </c>
      <c r="S92" s="6">
        <v>28</v>
      </c>
      <c r="T92" s="6">
        <v>0</v>
      </c>
      <c r="U92" s="6">
        <v>0</v>
      </c>
      <c r="V92" s="6">
        <f>IF(ISERROR(VLOOKUP($S$92,'TAR FIN'!$A$1:$O$91,15,0)),0,VLOOKUP($S$92,'TAR FIN'!$A$1:$O$91,15,0))</f>
        <v>14.45</v>
      </c>
      <c r="W92" s="6">
        <f>IF(ISERROR(VLOOKUP($T$92,'TAR FIN'!$A$1:$O$91,15,0)),0,VLOOKUP($T$92,'TAR FIN'!$A$1:$O$91,15,0))</f>
        <v>0</v>
      </c>
      <c r="X92" s="6">
        <f>IF(ISERROR(VLOOKUP($U$92,'TAR FIN'!$A$1:$O$91,15,0)),0,VLOOKUP($U$92,'TAR FIN'!$A$1:$O$91,15,0))</f>
        <v>0</v>
      </c>
      <c r="Y92" s="6">
        <f ca="1">('TUSD BE'!$AM$14+'TUSD BF'!$AM$14+'TUSD CVA'!$AM$14)*1</f>
        <v>18.372313529244348</v>
      </c>
      <c r="Z92" s="6"/>
      <c r="AA92" s="6"/>
      <c r="AB92" s="6">
        <f>$K$92*$V$92</f>
        <v>24911.8</v>
      </c>
      <c r="AC92" s="6">
        <f>$M$92*$W$92</f>
        <v>0</v>
      </c>
      <c r="AD92" s="6">
        <f>$O$92*$X$92</f>
        <v>0</v>
      </c>
      <c r="AE92" s="6">
        <f ca="1">$K$92*$Y$92</f>
        <v>31673.868524417256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39</v>
      </c>
      <c r="C93" s="4" t="s">
        <v>40</v>
      </c>
      <c r="D93" s="4" t="s">
        <v>41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1710</v>
      </c>
      <c r="K93" s="6">
        <v>1710</v>
      </c>
      <c r="L93" s="6">
        <v>0</v>
      </c>
      <c r="M93" s="6">
        <v>0</v>
      </c>
      <c r="N93" s="6">
        <v>0</v>
      </c>
      <c r="O93" s="6">
        <v>0</v>
      </c>
      <c r="P93" s="6">
        <v>17</v>
      </c>
      <c r="Q93" s="4" t="s">
        <v>26</v>
      </c>
      <c r="R93" s="4">
        <v>0</v>
      </c>
      <c r="S93" s="6">
        <v>28</v>
      </c>
      <c r="T93" s="6">
        <v>0</v>
      </c>
      <c r="U93" s="6">
        <v>0</v>
      </c>
      <c r="V93" s="6">
        <f>IF(ISERROR(VLOOKUP($S$93,'TAR FIN'!$A$1:$O$91,15,0)),0,VLOOKUP($S$93,'TAR FIN'!$A$1:$O$91,15,0))</f>
        <v>14.45</v>
      </c>
      <c r="W93" s="6">
        <f>IF(ISERROR(VLOOKUP($T$93,'TAR FIN'!$A$1:$O$91,15,0)),0,VLOOKUP($T$93,'TAR FIN'!$A$1:$O$91,15,0))</f>
        <v>0</v>
      </c>
      <c r="X93" s="6">
        <f>IF(ISERROR(VLOOKUP($U$93,'TAR FIN'!$A$1:$O$91,15,0)),0,VLOOKUP($U$93,'TAR FIN'!$A$1:$O$91,15,0))</f>
        <v>0</v>
      </c>
      <c r="Y93" s="6">
        <f ca="1">('TUSD BE'!$AM$14+'TUSD BF'!$AM$14+'TUSD CVA'!$AM$14)*1</f>
        <v>18.372313529244348</v>
      </c>
      <c r="Z93" s="6"/>
      <c r="AA93" s="6"/>
      <c r="AB93" s="6">
        <f>$K$93*$V$93</f>
        <v>24709.5</v>
      </c>
      <c r="AC93" s="6">
        <f>$M$93*$W$93</f>
        <v>0</v>
      </c>
      <c r="AD93" s="6">
        <f>$O$93*$X$93</f>
        <v>0</v>
      </c>
      <c r="AE93" s="6">
        <f ca="1">$K$93*$Y$93</f>
        <v>31416.656135007834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39</v>
      </c>
      <c r="C94" s="4" t="s">
        <v>40</v>
      </c>
      <c r="D94" s="4" t="s">
        <v>41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1636</v>
      </c>
      <c r="K94" s="6">
        <v>1636</v>
      </c>
      <c r="L94" s="6">
        <v>0</v>
      </c>
      <c r="M94" s="6">
        <v>0</v>
      </c>
      <c r="N94" s="6">
        <v>0</v>
      </c>
      <c r="O94" s="6">
        <v>0</v>
      </c>
      <c r="P94" s="6">
        <v>17</v>
      </c>
      <c r="Q94" s="4" t="s">
        <v>26</v>
      </c>
      <c r="R94" s="4">
        <v>0</v>
      </c>
      <c r="S94" s="6">
        <v>28</v>
      </c>
      <c r="T94" s="6">
        <v>0</v>
      </c>
      <c r="U94" s="6">
        <v>0</v>
      </c>
      <c r="V94" s="6">
        <f>IF(ISERROR(VLOOKUP($S$94,'TAR FIN'!$A$1:$O$91,15,0)),0,VLOOKUP($S$94,'TAR FIN'!$A$1:$O$91,15,0))</f>
        <v>14.45</v>
      </c>
      <c r="W94" s="6">
        <f>IF(ISERROR(VLOOKUP($T$94,'TAR FIN'!$A$1:$O$91,15,0)),0,VLOOKUP($T$94,'TAR FIN'!$A$1:$O$91,15,0))</f>
        <v>0</v>
      </c>
      <c r="X94" s="6">
        <f>IF(ISERROR(VLOOKUP($U$94,'TAR FIN'!$A$1:$O$91,15,0)),0,VLOOKUP($U$94,'TAR FIN'!$A$1:$O$91,15,0))</f>
        <v>0</v>
      </c>
      <c r="Y94" s="6">
        <f ca="1">('TUSD BE'!$AM$14+'TUSD BF'!$AM$14+'TUSD CVA'!$AM$14)*1</f>
        <v>18.372313529244348</v>
      </c>
      <c r="Z94" s="6"/>
      <c r="AA94" s="6"/>
      <c r="AB94" s="6">
        <f>$K$94*$V$94</f>
        <v>23640.199999999997</v>
      </c>
      <c r="AC94" s="6">
        <f>$M$94*$W$94</f>
        <v>0</v>
      </c>
      <c r="AD94" s="6">
        <f>$O$94*$X$94</f>
        <v>0</v>
      </c>
      <c r="AE94" s="6">
        <f ca="1">$K$94*$Y$94</f>
        <v>30057.104933843755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39</v>
      </c>
      <c r="C95" s="4" t="s">
        <v>40</v>
      </c>
      <c r="D95" s="4" t="s">
        <v>41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1647</v>
      </c>
      <c r="K95" s="6">
        <v>1647</v>
      </c>
      <c r="L95" s="6">
        <v>0</v>
      </c>
      <c r="M95" s="6">
        <v>0</v>
      </c>
      <c r="N95" s="6">
        <v>0</v>
      </c>
      <c r="O95" s="6">
        <v>0</v>
      </c>
      <c r="P95" s="6">
        <v>17</v>
      </c>
      <c r="Q95" s="4" t="s">
        <v>26</v>
      </c>
      <c r="R95" s="4">
        <v>0</v>
      </c>
      <c r="S95" s="6">
        <v>28</v>
      </c>
      <c r="T95" s="6">
        <v>0</v>
      </c>
      <c r="U95" s="6">
        <v>0</v>
      </c>
      <c r="V95" s="6">
        <f>IF(ISERROR(VLOOKUP($S$95,'TAR FIN'!$A$1:$O$91,15,0)),0,VLOOKUP($S$95,'TAR FIN'!$A$1:$O$91,15,0))</f>
        <v>14.45</v>
      </c>
      <c r="W95" s="6">
        <f>IF(ISERROR(VLOOKUP($T$95,'TAR FIN'!$A$1:$O$91,15,0)),0,VLOOKUP($T$95,'TAR FIN'!$A$1:$O$91,15,0))</f>
        <v>0</v>
      </c>
      <c r="X95" s="6">
        <f>IF(ISERROR(VLOOKUP($U$95,'TAR FIN'!$A$1:$O$91,15,0)),0,VLOOKUP($U$95,'TAR FIN'!$A$1:$O$91,15,0))</f>
        <v>0</v>
      </c>
      <c r="Y95" s="6">
        <f ca="1">('TUSD BE'!$AM$14+'TUSD BF'!$AM$14+'TUSD CVA'!$AM$14)*1</f>
        <v>18.372313529244348</v>
      </c>
      <c r="Z95" s="6"/>
      <c r="AA95" s="6"/>
      <c r="AB95" s="6">
        <f>$K$95*$V$95</f>
        <v>23799.149999999998</v>
      </c>
      <c r="AC95" s="6">
        <f>$M$95*$W$95</f>
        <v>0</v>
      </c>
      <c r="AD95" s="6">
        <f>$O$95*$X$95</f>
        <v>0</v>
      </c>
      <c r="AE95" s="6">
        <f ca="1">$K$95*$Y$95</f>
        <v>30259.20038266544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39</v>
      </c>
      <c r="C96" s="4" t="s">
        <v>40</v>
      </c>
      <c r="D96" s="4" t="s">
        <v>41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1684</v>
      </c>
      <c r="K96" s="6">
        <v>1684</v>
      </c>
      <c r="L96" s="6">
        <v>0</v>
      </c>
      <c r="M96" s="6">
        <v>0</v>
      </c>
      <c r="N96" s="6">
        <v>0</v>
      </c>
      <c r="O96" s="6">
        <v>0</v>
      </c>
      <c r="P96" s="6">
        <v>17</v>
      </c>
      <c r="Q96" s="4" t="s">
        <v>26</v>
      </c>
      <c r="R96" s="4">
        <v>0</v>
      </c>
      <c r="S96" s="6">
        <v>28</v>
      </c>
      <c r="T96" s="6">
        <v>0</v>
      </c>
      <c r="U96" s="6">
        <v>0</v>
      </c>
      <c r="V96" s="6">
        <f>IF(ISERROR(VLOOKUP($S$96,'TAR FIN'!$A$1:$O$91,15,0)),0,VLOOKUP($S$96,'TAR FIN'!$A$1:$O$91,15,0))</f>
        <v>14.45</v>
      </c>
      <c r="W96" s="6">
        <f>IF(ISERROR(VLOOKUP($T$96,'TAR FIN'!$A$1:$O$91,15,0)),0,VLOOKUP($T$96,'TAR FIN'!$A$1:$O$91,15,0))</f>
        <v>0</v>
      </c>
      <c r="X96" s="6">
        <f>IF(ISERROR(VLOOKUP($U$96,'TAR FIN'!$A$1:$O$91,15,0)),0,VLOOKUP($U$96,'TAR FIN'!$A$1:$O$91,15,0))</f>
        <v>0</v>
      </c>
      <c r="Y96" s="6">
        <f ca="1">('TUSD BE'!$AM$14+'TUSD BF'!$AM$14+'TUSD CVA'!$AM$14)*1</f>
        <v>18.372313529244348</v>
      </c>
      <c r="Z96" s="6"/>
      <c r="AA96" s="6"/>
      <c r="AB96" s="6">
        <f>$K$96*$V$96</f>
        <v>24333.8</v>
      </c>
      <c r="AC96" s="6">
        <f>$M$96*$W$96</f>
        <v>0</v>
      </c>
      <c r="AD96" s="6">
        <f>$O$96*$X$96</f>
        <v>0</v>
      </c>
      <c r="AE96" s="6">
        <f ca="1">$K$96*$Y$96</f>
        <v>30938.975983247481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57</v>
      </c>
      <c r="B97" s="4" t="s">
        <v>39</v>
      </c>
      <c r="C97" s="4" t="s">
        <v>40</v>
      </c>
      <c r="D97" s="4" t="s">
        <v>41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1684</v>
      </c>
      <c r="K97" s="6">
        <v>1684</v>
      </c>
      <c r="L97" s="6">
        <v>0</v>
      </c>
      <c r="M97" s="6">
        <v>0</v>
      </c>
      <c r="N97" s="6">
        <v>0</v>
      </c>
      <c r="O97" s="6">
        <v>0</v>
      </c>
      <c r="P97" s="6">
        <v>17</v>
      </c>
      <c r="Q97" s="4" t="s">
        <v>26</v>
      </c>
      <c r="R97" s="4">
        <v>0</v>
      </c>
      <c r="S97" s="6">
        <v>28</v>
      </c>
      <c r="T97" s="6">
        <v>0</v>
      </c>
      <c r="U97" s="6">
        <v>0</v>
      </c>
      <c r="V97" s="6">
        <f>IF(ISERROR(VLOOKUP($S$97,'TAR FIN'!$A$1:$O$91,15,0)),0,VLOOKUP($S$97,'TAR FIN'!$A$1:$O$91,15,0))</f>
        <v>14.45</v>
      </c>
      <c r="W97" s="6">
        <f>IF(ISERROR(VLOOKUP($T$97,'TAR FIN'!$A$1:$O$91,15,0)),0,VLOOKUP($T$97,'TAR FIN'!$A$1:$O$91,15,0))</f>
        <v>0</v>
      </c>
      <c r="X97" s="6">
        <f>IF(ISERROR(VLOOKUP($U$97,'TAR FIN'!$A$1:$O$91,15,0)),0,VLOOKUP($U$97,'TAR FIN'!$A$1:$O$91,15,0))</f>
        <v>0</v>
      </c>
      <c r="Y97" s="6">
        <f ca="1">('TUSD BE'!$AM$14+'TUSD BF'!$AM$14+'TUSD CVA'!$AM$14)*1</f>
        <v>18.372313529244348</v>
      </c>
      <c r="Z97" s="6"/>
      <c r="AA97" s="6"/>
      <c r="AB97" s="6">
        <f>$K$97*$V$97</f>
        <v>24333.8</v>
      </c>
      <c r="AC97" s="6">
        <f>$M$97*$W$97</f>
        <v>0</v>
      </c>
      <c r="AD97" s="6">
        <f>$O$97*$X$97</f>
        <v>0</v>
      </c>
      <c r="AE97" s="6">
        <f ca="1">$K$97*$Y$97</f>
        <v>30938.975983247481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39</v>
      </c>
      <c r="C98" s="4" t="s">
        <v>40</v>
      </c>
      <c r="D98" s="4" t="s">
        <v>41</v>
      </c>
      <c r="E98" s="4" t="s">
        <v>25</v>
      </c>
      <c r="F98" s="4" t="s">
        <v>25</v>
      </c>
      <c r="G98" s="4" t="s">
        <v>25</v>
      </c>
      <c r="H98" s="4" t="s">
        <v>37</v>
      </c>
      <c r="I98" s="5">
        <v>44440</v>
      </c>
      <c r="J98" s="6">
        <v>0</v>
      </c>
      <c r="K98" s="6">
        <v>0</v>
      </c>
      <c r="L98" s="6">
        <v>34.100999999999999</v>
      </c>
      <c r="M98" s="6">
        <v>34.100999999999999</v>
      </c>
      <c r="N98" s="6">
        <v>34.100999999999999</v>
      </c>
      <c r="O98" s="6">
        <v>34.100999999999999</v>
      </c>
      <c r="P98" s="6">
        <v>0</v>
      </c>
      <c r="Q98" s="4" t="s">
        <v>26</v>
      </c>
      <c r="R98" s="4">
        <v>0</v>
      </c>
      <c r="S98" s="6">
        <v>0</v>
      </c>
      <c r="T98" s="6">
        <v>18</v>
      </c>
      <c r="U98" s="6">
        <v>64</v>
      </c>
      <c r="V98" s="6">
        <f>IF(ISERROR(VLOOKUP($S$98,'TAR FIN'!$A$1:$O$91,15,0)),0,VLOOKUP($S$98,'TAR FIN'!$A$1:$O$91,15,0))</f>
        <v>0</v>
      </c>
      <c r="W98" s="6">
        <f>IF(ISERROR(VLOOKUP($T$98,'TAR FIN'!$A$1:$O$91,15,0)),0,VLOOKUP($T$98,'TAR FIN'!$A$1:$O$91,15,0))</f>
        <v>1007.94</v>
      </c>
      <c r="X98" s="6">
        <f>IF(ISERROR(VLOOKUP($U$98,'TAR FIN'!$A$1:$O$91,15,0)),0,VLOOKUP($U$98,'TAR FIN'!$A$1:$O$91,15,0))</f>
        <v>133.97</v>
      </c>
      <c r="Y98" s="6"/>
      <c r="Z98" s="6">
        <f ca="1">('TUSD BE'!$AM$15+'TUSD BF'!$AM$15+'TUSD CVA'!$AM$15)*1</f>
        <v>1254.594131793204</v>
      </c>
      <c r="AA98" s="6">
        <f>('TE BE'!$AB$7+'TE BF'!$AB$7+'TE CVA'!$AB$7)*1</f>
        <v>114.76529888966962</v>
      </c>
      <c r="AB98" s="6">
        <f>$K$98*$V$98</f>
        <v>0</v>
      </c>
      <c r="AC98" s="6">
        <f>$M$98*$W$98</f>
        <v>34371.761940000004</v>
      </c>
      <c r="AD98" s="6">
        <f>$O$98*$X$98</f>
        <v>4568.5109700000003</v>
      </c>
      <c r="AE98" s="6">
        <f>$K$98*$Y$98</f>
        <v>0</v>
      </c>
      <c r="AF98" s="6">
        <f ca="1">$M$98*$Z$98</f>
        <v>42782.914488280046</v>
      </c>
      <c r="AG98" s="6">
        <f>$O$98*$AA$98</f>
        <v>3913.6114574366238</v>
      </c>
    </row>
    <row r="99" spans="1:33" ht="11.25" customHeight="1" x14ac:dyDescent="0.25">
      <c r="A99" s="4" t="s">
        <v>21</v>
      </c>
      <c r="B99" s="4" t="s">
        <v>39</v>
      </c>
      <c r="C99" s="4" t="s">
        <v>40</v>
      </c>
      <c r="D99" s="4" t="s">
        <v>41</v>
      </c>
      <c r="E99" s="4" t="s">
        <v>25</v>
      </c>
      <c r="F99" s="4" t="s">
        <v>25</v>
      </c>
      <c r="G99" s="4" t="s">
        <v>25</v>
      </c>
      <c r="H99" s="4" t="s">
        <v>37</v>
      </c>
      <c r="I99" s="5">
        <v>44470</v>
      </c>
      <c r="J99" s="6">
        <v>0</v>
      </c>
      <c r="K99" s="6">
        <v>0</v>
      </c>
      <c r="L99" s="6">
        <v>35.451000000000001</v>
      </c>
      <c r="M99" s="6">
        <v>35.451000000000001</v>
      </c>
      <c r="N99" s="6">
        <v>35.451000000000001</v>
      </c>
      <c r="O99" s="6">
        <v>35.451000000000001</v>
      </c>
      <c r="P99" s="6">
        <v>0</v>
      </c>
      <c r="Q99" s="4" t="s">
        <v>26</v>
      </c>
      <c r="R99" s="4">
        <v>0</v>
      </c>
      <c r="S99" s="6">
        <v>0</v>
      </c>
      <c r="T99" s="6">
        <v>18</v>
      </c>
      <c r="U99" s="6">
        <v>64</v>
      </c>
      <c r="V99" s="6">
        <f>IF(ISERROR(VLOOKUP($S$99,'TAR FIN'!$A$1:$O$91,15,0)),0,VLOOKUP($S$99,'TAR FIN'!$A$1:$O$91,15,0))</f>
        <v>0</v>
      </c>
      <c r="W99" s="6">
        <f>IF(ISERROR(VLOOKUP($T$99,'TAR FIN'!$A$1:$O$91,15,0)),0,VLOOKUP($T$99,'TAR FIN'!$A$1:$O$91,15,0))</f>
        <v>1007.94</v>
      </c>
      <c r="X99" s="6">
        <f>IF(ISERROR(VLOOKUP($U$99,'TAR FIN'!$A$1:$O$91,15,0)),0,VLOOKUP($U$99,'TAR FIN'!$A$1:$O$91,15,0))</f>
        <v>133.97</v>
      </c>
      <c r="Y99" s="6"/>
      <c r="Z99" s="6">
        <f ca="1">('TUSD BE'!$AM$15+'TUSD BF'!$AM$15+'TUSD CVA'!$AM$15)*1</f>
        <v>1254.594131793204</v>
      </c>
      <c r="AA99" s="6">
        <f>('TE BE'!$AB$7+'TE BF'!$AB$7+'TE CVA'!$AB$7)*1</f>
        <v>114.76529888966962</v>
      </c>
      <c r="AB99" s="6">
        <f>$K$99*$V$99</f>
        <v>0</v>
      </c>
      <c r="AC99" s="6">
        <f>$M$99*$W$99</f>
        <v>35732.480940000001</v>
      </c>
      <c r="AD99" s="6">
        <f>$O$99*$X$99</f>
        <v>4749.3704699999998</v>
      </c>
      <c r="AE99" s="6">
        <f>$K$99*$Y$99</f>
        <v>0</v>
      </c>
      <c r="AF99" s="6">
        <f ca="1">$M$99*$Z$99</f>
        <v>44476.616566200879</v>
      </c>
      <c r="AG99" s="6">
        <f>$O$99*$AA$99</f>
        <v>4068.544610937678</v>
      </c>
    </row>
    <row r="100" spans="1:33" ht="11.25" customHeight="1" x14ac:dyDescent="0.25">
      <c r="A100" s="4" t="s">
        <v>21</v>
      </c>
      <c r="B100" s="4" t="s">
        <v>39</v>
      </c>
      <c r="C100" s="4" t="s">
        <v>40</v>
      </c>
      <c r="D100" s="4" t="s">
        <v>41</v>
      </c>
      <c r="E100" s="4" t="s">
        <v>25</v>
      </c>
      <c r="F100" s="4" t="s">
        <v>25</v>
      </c>
      <c r="G100" s="4" t="s">
        <v>25</v>
      </c>
      <c r="H100" s="4" t="s">
        <v>37</v>
      </c>
      <c r="I100" s="5">
        <v>44501</v>
      </c>
      <c r="J100" s="6">
        <v>0</v>
      </c>
      <c r="K100" s="6">
        <v>0</v>
      </c>
      <c r="L100" s="6">
        <v>40.037999999999997</v>
      </c>
      <c r="M100" s="6">
        <v>40.037999999999997</v>
      </c>
      <c r="N100" s="6">
        <v>40.037999999999997</v>
      </c>
      <c r="O100" s="6">
        <v>40.037999999999997</v>
      </c>
      <c r="P100" s="6">
        <v>0</v>
      </c>
      <c r="Q100" s="4" t="s">
        <v>26</v>
      </c>
      <c r="R100" s="4">
        <v>0</v>
      </c>
      <c r="S100" s="6">
        <v>0</v>
      </c>
      <c r="T100" s="6">
        <v>18</v>
      </c>
      <c r="U100" s="6">
        <v>64</v>
      </c>
      <c r="V100" s="6">
        <f>IF(ISERROR(VLOOKUP($S$100,'TAR FIN'!$A$1:$O$91,15,0)),0,VLOOKUP($S$100,'TAR FIN'!$A$1:$O$91,15,0))</f>
        <v>0</v>
      </c>
      <c r="W100" s="6">
        <f>IF(ISERROR(VLOOKUP($T$100,'TAR FIN'!$A$1:$O$91,15,0)),0,VLOOKUP($T$100,'TAR FIN'!$A$1:$O$91,15,0))</f>
        <v>1007.94</v>
      </c>
      <c r="X100" s="6">
        <f>IF(ISERROR(VLOOKUP($U$100,'TAR FIN'!$A$1:$O$91,15,0)),0,VLOOKUP($U$100,'TAR FIN'!$A$1:$O$91,15,0))</f>
        <v>133.97</v>
      </c>
      <c r="Y100" s="6"/>
      <c r="Z100" s="6">
        <f ca="1">('TUSD BE'!$AM$15+'TUSD BF'!$AM$15+'TUSD CVA'!$AM$15)*1</f>
        <v>1254.594131793204</v>
      </c>
      <c r="AA100" s="6">
        <f>('TE BE'!$AB$7+'TE BF'!$AB$7+'TE CVA'!$AB$7)*1</f>
        <v>114.76529888966962</v>
      </c>
      <c r="AB100" s="6">
        <f>$K$100*$V$100</f>
        <v>0</v>
      </c>
      <c r="AC100" s="6">
        <f>$M$100*$W$100</f>
        <v>40355.901720000002</v>
      </c>
      <c r="AD100" s="6">
        <f>$O$100*$X$100</f>
        <v>5363.8908599999995</v>
      </c>
      <c r="AE100" s="6">
        <f>$K$100*$Y$100</f>
        <v>0</v>
      </c>
      <c r="AF100" s="6">
        <f ca="1">$M$100*$Z$100</f>
        <v>50231.4398487363</v>
      </c>
      <c r="AG100" s="6">
        <f>$O$100*$AA$100</f>
        <v>4594.9730369445924</v>
      </c>
    </row>
    <row r="101" spans="1:33" ht="11.25" customHeight="1" x14ac:dyDescent="0.25">
      <c r="A101" s="4" t="s">
        <v>21</v>
      </c>
      <c r="B101" s="4" t="s">
        <v>39</v>
      </c>
      <c r="C101" s="4" t="s">
        <v>40</v>
      </c>
      <c r="D101" s="4" t="s">
        <v>41</v>
      </c>
      <c r="E101" s="4" t="s">
        <v>25</v>
      </c>
      <c r="F101" s="4" t="s">
        <v>25</v>
      </c>
      <c r="G101" s="4" t="s">
        <v>25</v>
      </c>
      <c r="H101" s="4" t="s">
        <v>37</v>
      </c>
      <c r="I101" s="5">
        <v>44531</v>
      </c>
      <c r="J101" s="6">
        <v>0</v>
      </c>
      <c r="K101" s="6">
        <v>0</v>
      </c>
      <c r="L101" s="6">
        <v>43.884999999999998</v>
      </c>
      <c r="M101" s="6">
        <v>43.884999999999998</v>
      </c>
      <c r="N101" s="6">
        <v>43.884999999999998</v>
      </c>
      <c r="O101" s="6">
        <v>43.884999999999998</v>
      </c>
      <c r="P101" s="6">
        <v>0</v>
      </c>
      <c r="Q101" s="4" t="s">
        <v>26</v>
      </c>
      <c r="R101" s="4">
        <v>0</v>
      </c>
      <c r="S101" s="6">
        <v>0</v>
      </c>
      <c r="T101" s="6">
        <v>18</v>
      </c>
      <c r="U101" s="6">
        <v>64</v>
      </c>
      <c r="V101" s="6">
        <f>IF(ISERROR(VLOOKUP($S$101,'TAR FIN'!$A$1:$O$91,15,0)),0,VLOOKUP($S$101,'TAR FIN'!$A$1:$O$91,15,0))</f>
        <v>0</v>
      </c>
      <c r="W101" s="6">
        <f>IF(ISERROR(VLOOKUP($T$101,'TAR FIN'!$A$1:$O$91,15,0)),0,VLOOKUP($T$101,'TAR FIN'!$A$1:$O$91,15,0))</f>
        <v>1007.94</v>
      </c>
      <c r="X101" s="6">
        <f>IF(ISERROR(VLOOKUP($U$101,'TAR FIN'!$A$1:$O$91,15,0)),0,VLOOKUP($U$101,'TAR FIN'!$A$1:$O$91,15,0))</f>
        <v>133.97</v>
      </c>
      <c r="Y101" s="6"/>
      <c r="Z101" s="6">
        <f ca="1">('TUSD BE'!$AM$15+'TUSD BF'!$AM$15+'TUSD CVA'!$AM$15)*1</f>
        <v>1254.594131793204</v>
      </c>
      <c r="AA101" s="6">
        <f>('TE BE'!$AB$7+'TE BF'!$AB$7+'TE CVA'!$AB$7)*1</f>
        <v>114.76529888966962</v>
      </c>
      <c r="AB101" s="6">
        <f>$K$101*$V$101</f>
        <v>0</v>
      </c>
      <c r="AC101" s="6">
        <f>$M$101*$W$101</f>
        <v>44233.446900000003</v>
      </c>
      <c r="AD101" s="6">
        <f>$O$101*$X$101</f>
        <v>5879.2734499999997</v>
      </c>
      <c r="AE101" s="6">
        <f>$K$101*$Y$101</f>
        <v>0</v>
      </c>
      <c r="AF101" s="6">
        <f ca="1">$M$101*$Z$101</f>
        <v>55057.863473744757</v>
      </c>
      <c r="AG101" s="6">
        <f>$O$101*$AA$101</f>
        <v>5036.4751417731513</v>
      </c>
    </row>
    <row r="102" spans="1:33" ht="11.25" customHeight="1" x14ac:dyDescent="0.25">
      <c r="A102" s="4" t="s">
        <v>21</v>
      </c>
      <c r="B102" s="4" t="s">
        <v>39</v>
      </c>
      <c r="C102" s="4" t="s">
        <v>40</v>
      </c>
      <c r="D102" s="4" t="s">
        <v>41</v>
      </c>
      <c r="E102" s="4" t="s">
        <v>25</v>
      </c>
      <c r="F102" s="4" t="s">
        <v>25</v>
      </c>
      <c r="G102" s="4" t="s">
        <v>25</v>
      </c>
      <c r="H102" s="4" t="s">
        <v>37</v>
      </c>
      <c r="I102" s="5">
        <v>44562</v>
      </c>
      <c r="J102" s="6">
        <v>0</v>
      </c>
      <c r="K102" s="6">
        <v>0</v>
      </c>
      <c r="L102" s="6">
        <v>43.957999999999998</v>
      </c>
      <c r="M102" s="6">
        <v>43.957999999999998</v>
      </c>
      <c r="N102" s="6">
        <v>43.957999999999998</v>
      </c>
      <c r="O102" s="6">
        <v>43.957999999999998</v>
      </c>
      <c r="P102" s="6">
        <v>0</v>
      </c>
      <c r="Q102" s="4" t="s">
        <v>26</v>
      </c>
      <c r="R102" s="4">
        <v>0</v>
      </c>
      <c r="S102" s="6">
        <v>0</v>
      </c>
      <c r="T102" s="6">
        <v>18</v>
      </c>
      <c r="U102" s="6">
        <v>64</v>
      </c>
      <c r="V102" s="6">
        <f>IF(ISERROR(VLOOKUP($S$102,'TAR FIN'!$A$1:$O$91,15,0)),0,VLOOKUP($S$102,'TAR FIN'!$A$1:$O$91,15,0))</f>
        <v>0</v>
      </c>
      <c r="W102" s="6">
        <f>IF(ISERROR(VLOOKUP($T$102,'TAR FIN'!$A$1:$O$91,15,0)),0,VLOOKUP($T$102,'TAR FIN'!$A$1:$O$91,15,0))</f>
        <v>1007.94</v>
      </c>
      <c r="X102" s="6">
        <f>IF(ISERROR(VLOOKUP($U$102,'TAR FIN'!$A$1:$O$91,15,0)),0,VLOOKUP($U$102,'TAR FIN'!$A$1:$O$91,15,0))</f>
        <v>133.97</v>
      </c>
      <c r="Y102" s="6"/>
      <c r="Z102" s="6">
        <f ca="1">('TUSD BE'!$AM$15+'TUSD BF'!$AM$15+'TUSD CVA'!$AM$15)*1</f>
        <v>1254.594131793204</v>
      </c>
      <c r="AA102" s="6">
        <f>('TE BE'!$AB$7+'TE BF'!$AB$7+'TE CVA'!$AB$7)*1</f>
        <v>114.76529888966962</v>
      </c>
      <c r="AB102" s="6">
        <f>$K$102*$V$102</f>
        <v>0</v>
      </c>
      <c r="AC102" s="6">
        <f>$M$102*$W$102</f>
        <v>44307.026519999999</v>
      </c>
      <c r="AD102" s="6">
        <f>$O$102*$X$102</f>
        <v>5889.0532599999997</v>
      </c>
      <c r="AE102" s="6">
        <f>$K$102*$Y$102</f>
        <v>0</v>
      </c>
      <c r="AF102" s="6">
        <f ca="1">$M$102*$Z$102</f>
        <v>55149.44884536566</v>
      </c>
      <c r="AG102" s="6">
        <f>$O$102*$AA$102</f>
        <v>5044.8530085920975</v>
      </c>
    </row>
    <row r="103" spans="1:33" ht="11.25" customHeight="1" x14ac:dyDescent="0.25">
      <c r="A103" s="4" t="s">
        <v>21</v>
      </c>
      <c r="B103" s="4" t="s">
        <v>39</v>
      </c>
      <c r="C103" s="4" t="s">
        <v>40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44593</v>
      </c>
      <c r="J103" s="6">
        <v>0</v>
      </c>
      <c r="K103" s="6">
        <v>0</v>
      </c>
      <c r="L103" s="6">
        <v>40.201999999999998</v>
      </c>
      <c r="M103" s="6">
        <v>40.201999999999998</v>
      </c>
      <c r="N103" s="6">
        <v>40.201999999999998</v>
      </c>
      <c r="O103" s="6">
        <v>40.201999999999998</v>
      </c>
      <c r="P103" s="6">
        <v>0</v>
      </c>
      <c r="Q103" s="4" t="s">
        <v>26</v>
      </c>
      <c r="R103" s="4">
        <v>0</v>
      </c>
      <c r="S103" s="6">
        <v>0</v>
      </c>
      <c r="T103" s="6">
        <v>18</v>
      </c>
      <c r="U103" s="6">
        <v>64</v>
      </c>
      <c r="V103" s="6">
        <f>IF(ISERROR(VLOOKUP($S$103,'TAR FIN'!$A$1:$O$91,15,0)),0,VLOOKUP($S$103,'TAR FIN'!$A$1:$O$91,15,0))</f>
        <v>0</v>
      </c>
      <c r="W103" s="6">
        <f>IF(ISERROR(VLOOKUP($T$103,'TAR FIN'!$A$1:$O$91,15,0)),0,VLOOKUP($T$103,'TAR FIN'!$A$1:$O$91,15,0))</f>
        <v>1007.94</v>
      </c>
      <c r="X103" s="6">
        <f>IF(ISERROR(VLOOKUP($U$103,'TAR FIN'!$A$1:$O$91,15,0)),0,VLOOKUP($U$103,'TAR FIN'!$A$1:$O$91,15,0))</f>
        <v>133.97</v>
      </c>
      <c r="Y103" s="6"/>
      <c r="Z103" s="6">
        <f ca="1">('TUSD BE'!$AM$15+'TUSD BF'!$AM$15+'TUSD CVA'!$AM$15)*1</f>
        <v>1254.594131793204</v>
      </c>
      <c r="AA103" s="6">
        <f>('TE BE'!$AB$7+'TE BF'!$AB$7+'TE CVA'!$AB$7)*1</f>
        <v>114.76529888966962</v>
      </c>
      <c r="AB103" s="6">
        <f>$K$103*$V$103</f>
        <v>0</v>
      </c>
      <c r="AC103" s="6">
        <f>$M$103*$W$103</f>
        <v>40521.203880000001</v>
      </c>
      <c r="AD103" s="6">
        <f>$O$103*$X$103</f>
        <v>5385.8619399999998</v>
      </c>
      <c r="AE103" s="6">
        <f>$K$103*$Y$103</f>
        <v>0</v>
      </c>
      <c r="AF103" s="6">
        <f ca="1">$M$103*$Z$103</f>
        <v>50437.19328635039</v>
      </c>
      <c r="AG103" s="6">
        <f>$O$103*$AA$103</f>
        <v>4613.794545962498</v>
      </c>
    </row>
    <row r="104" spans="1:33" ht="11.25" customHeight="1" x14ac:dyDescent="0.25">
      <c r="A104" s="4" t="s">
        <v>21</v>
      </c>
      <c r="B104" s="4" t="s">
        <v>39</v>
      </c>
      <c r="C104" s="4" t="s">
        <v>40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44621</v>
      </c>
      <c r="J104" s="6">
        <v>0</v>
      </c>
      <c r="K104" s="6">
        <v>0</v>
      </c>
      <c r="L104" s="6">
        <v>40.914999999999999</v>
      </c>
      <c r="M104" s="6">
        <v>40.914999999999999</v>
      </c>
      <c r="N104" s="6">
        <v>40.914999999999999</v>
      </c>
      <c r="O104" s="6">
        <v>40.914999999999999</v>
      </c>
      <c r="P104" s="6">
        <v>0</v>
      </c>
      <c r="Q104" s="4" t="s">
        <v>26</v>
      </c>
      <c r="R104" s="4">
        <v>0</v>
      </c>
      <c r="S104" s="6">
        <v>0</v>
      </c>
      <c r="T104" s="6">
        <v>18</v>
      </c>
      <c r="U104" s="6">
        <v>64</v>
      </c>
      <c r="V104" s="6">
        <f>IF(ISERROR(VLOOKUP($S$104,'TAR FIN'!$A$1:$O$91,15,0)),0,VLOOKUP($S$104,'TAR FIN'!$A$1:$O$91,15,0))</f>
        <v>0</v>
      </c>
      <c r="W104" s="6">
        <f>IF(ISERROR(VLOOKUP($T$104,'TAR FIN'!$A$1:$O$91,15,0)),0,VLOOKUP($T$104,'TAR FIN'!$A$1:$O$91,15,0))</f>
        <v>1007.94</v>
      </c>
      <c r="X104" s="6">
        <f>IF(ISERROR(VLOOKUP($U$104,'TAR FIN'!$A$1:$O$91,15,0)),0,VLOOKUP($U$104,'TAR FIN'!$A$1:$O$91,15,0))</f>
        <v>133.97</v>
      </c>
      <c r="Y104" s="6"/>
      <c r="Z104" s="6">
        <f ca="1">('TUSD BE'!$AM$15+'TUSD BF'!$AM$15+'TUSD CVA'!$AM$15)*1</f>
        <v>1254.594131793204</v>
      </c>
      <c r="AA104" s="6">
        <f>('TE BE'!$AB$7+'TE BF'!$AB$7+'TE CVA'!$AB$7)*1</f>
        <v>114.76529888966962</v>
      </c>
      <c r="AB104" s="6">
        <f>$K$104*$V$104</f>
        <v>0</v>
      </c>
      <c r="AC104" s="6">
        <f>$M$104*$W$104</f>
        <v>41239.865100000003</v>
      </c>
      <c r="AD104" s="6">
        <f>$O$104*$X$104</f>
        <v>5481.3825500000003</v>
      </c>
      <c r="AE104" s="6">
        <f>$K$104*$Y$104</f>
        <v>0</v>
      </c>
      <c r="AF104" s="6">
        <f ca="1">$M$104*$Z$104</f>
        <v>51331.718902318942</v>
      </c>
      <c r="AG104" s="6">
        <f>$O$104*$AA$104</f>
        <v>4695.6222040708326</v>
      </c>
    </row>
    <row r="105" spans="1:33" ht="11.25" customHeight="1" x14ac:dyDescent="0.25">
      <c r="A105" s="4" t="s">
        <v>21</v>
      </c>
      <c r="B105" s="4" t="s">
        <v>39</v>
      </c>
      <c r="C105" s="4" t="s">
        <v>40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44652</v>
      </c>
      <c r="J105" s="6">
        <v>0</v>
      </c>
      <c r="K105" s="6">
        <v>0</v>
      </c>
      <c r="L105" s="6">
        <v>33.695</v>
      </c>
      <c r="M105" s="6">
        <v>33.695</v>
      </c>
      <c r="N105" s="6">
        <v>33.695</v>
      </c>
      <c r="O105" s="6">
        <v>33.695</v>
      </c>
      <c r="P105" s="6">
        <v>0</v>
      </c>
      <c r="Q105" s="4" t="s">
        <v>26</v>
      </c>
      <c r="R105" s="4">
        <v>0</v>
      </c>
      <c r="S105" s="6">
        <v>0</v>
      </c>
      <c r="T105" s="6">
        <v>18</v>
      </c>
      <c r="U105" s="6">
        <v>64</v>
      </c>
      <c r="V105" s="6">
        <f>IF(ISERROR(VLOOKUP($S$105,'TAR FIN'!$A$1:$O$91,15,0)),0,VLOOKUP($S$105,'TAR FIN'!$A$1:$O$91,15,0))</f>
        <v>0</v>
      </c>
      <c r="W105" s="6">
        <f>IF(ISERROR(VLOOKUP($T$105,'TAR FIN'!$A$1:$O$91,15,0)),0,VLOOKUP($T$105,'TAR FIN'!$A$1:$O$91,15,0))</f>
        <v>1007.94</v>
      </c>
      <c r="X105" s="6">
        <f>IF(ISERROR(VLOOKUP($U$105,'TAR FIN'!$A$1:$O$91,15,0)),0,VLOOKUP($U$105,'TAR FIN'!$A$1:$O$91,15,0))</f>
        <v>133.97</v>
      </c>
      <c r="Y105" s="6"/>
      <c r="Z105" s="6">
        <f ca="1">('TUSD BE'!$AM$15+'TUSD BF'!$AM$15+'TUSD CVA'!$AM$15)*1</f>
        <v>1254.594131793204</v>
      </c>
      <c r="AA105" s="6">
        <f>('TE BE'!$AB$7+'TE BF'!$AB$7+'TE CVA'!$AB$7)*1</f>
        <v>114.76529888966962</v>
      </c>
      <c r="AB105" s="6">
        <f>$K$105*$V$105</f>
        <v>0</v>
      </c>
      <c r="AC105" s="6">
        <f>$M$105*$W$105</f>
        <v>33962.5383</v>
      </c>
      <c r="AD105" s="6">
        <f>$O$105*$X$105</f>
        <v>4514.1191500000004</v>
      </c>
      <c r="AE105" s="6">
        <f>$K$105*$Y$105</f>
        <v>0</v>
      </c>
      <c r="AF105" s="6">
        <f ca="1">$M$105*$Z$105</f>
        <v>42273.549270772011</v>
      </c>
      <c r="AG105" s="6">
        <f>$O$105*$AA$105</f>
        <v>3867.0167460874181</v>
      </c>
    </row>
    <row r="106" spans="1:33" ht="11.25" customHeight="1" x14ac:dyDescent="0.25">
      <c r="A106" s="4" t="s">
        <v>21</v>
      </c>
      <c r="B106" s="4" t="s">
        <v>39</v>
      </c>
      <c r="C106" s="4" t="s">
        <v>40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44682</v>
      </c>
      <c r="J106" s="6">
        <v>0</v>
      </c>
      <c r="K106" s="6">
        <v>0</v>
      </c>
      <c r="L106" s="6">
        <v>35.722000000000001</v>
      </c>
      <c r="M106" s="6">
        <v>35.722000000000001</v>
      </c>
      <c r="N106" s="6">
        <v>35.722000000000001</v>
      </c>
      <c r="O106" s="6">
        <v>35.722000000000001</v>
      </c>
      <c r="P106" s="6">
        <v>0</v>
      </c>
      <c r="Q106" s="4" t="s">
        <v>26</v>
      </c>
      <c r="R106" s="4">
        <v>0</v>
      </c>
      <c r="S106" s="6">
        <v>0</v>
      </c>
      <c r="T106" s="6">
        <v>18</v>
      </c>
      <c r="U106" s="6">
        <v>64</v>
      </c>
      <c r="V106" s="6">
        <f>IF(ISERROR(VLOOKUP($S$106,'TAR FIN'!$A$1:$O$91,15,0)),0,VLOOKUP($S$106,'TAR FIN'!$A$1:$O$91,15,0))</f>
        <v>0</v>
      </c>
      <c r="W106" s="6">
        <f>IF(ISERROR(VLOOKUP($T$106,'TAR FIN'!$A$1:$O$91,15,0)),0,VLOOKUP($T$106,'TAR FIN'!$A$1:$O$91,15,0))</f>
        <v>1007.94</v>
      </c>
      <c r="X106" s="6">
        <f>IF(ISERROR(VLOOKUP($U$106,'TAR FIN'!$A$1:$O$91,15,0)),0,VLOOKUP($U$106,'TAR FIN'!$A$1:$O$91,15,0))</f>
        <v>133.97</v>
      </c>
      <c r="Y106" s="6"/>
      <c r="Z106" s="6">
        <f ca="1">('TUSD BE'!$AM$15+'TUSD BF'!$AM$15+'TUSD CVA'!$AM$15)*1</f>
        <v>1254.594131793204</v>
      </c>
      <c r="AA106" s="6">
        <f>('TE BE'!$AB$7+'TE BF'!$AB$7+'TE CVA'!$AB$7)*1</f>
        <v>114.76529888966962</v>
      </c>
      <c r="AB106" s="6">
        <f>$K$106*$V$106</f>
        <v>0</v>
      </c>
      <c r="AC106" s="6">
        <f>$M$106*$W$106</f>
        <v>36005.632680000002</v>
      </c>
      <c r="AD106" s="6">
        <f>$O$106*$X$106</f>
        <v>4785.67634</v>
      </c>
      <c r="AE106" s="6">
        <f>$K$106*$Y$106</f>
        <v>0</v>
      </c>
      <c r="AF106" s="6">
        <f ca="1">$M$106*$Z$106</f>
        <v>44816.611575916839</v>
      </c>
      <c r="AG106" s="6">
        <f>$O$106*$AA$106</f>
        <v>4099.6460069367786</v>
      </c>
    </row>
    <row r="107" spans="1:33" ht="11.25" customHeight="1" x14ac:dyDescent="0.25">
      <c r="A107" s="4" t="s">
        <v>21</v>
      </c>
      <c r="B107" s="4" t="s">
        <v>39</v>
      </c>
      <c r="C107" s="4" t="s">
        <v>40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37</v>
      </c>
      <c r="I107" s="5">
        <v>44713</v>
      </c>
      <c r="J107" s="6">
        <v>0</v>
      </c>
      <c r="K107" s="6">
        <v>0</v>
      </c>
      <c r="L107" s="6">
        <v>34.24</v>
      </c>
      <c r="M107" s="6">
        <v>34.24</v>
      </c>
      <c r="N107" s="6">
        <v>34.24</v>
      </c>
      <c r="O107" s="6">
        <v>34.24</v>
      </c>
      <c r="P107" s="6">
        <v>0</v>
      </c>
      <c r="Q107" s="4" t="s">
        <v>26</v>
      </c>
      <c r="R107" s="4">
        <v>0</v>
      </c>
      <c r="S107" s="6">
        <v>0</v>
      </c>
      <c r="T107" s="6">
        <v>18</v>
      </c>
      <c r="U107" s="6">
        <v>64</v>
      </c>
      <c r="V107" s="6">
        <f>IF(ISERROR(VLOOKUP($S$107,'TAR FIN'!$A$1:$O$91,15,0)),0,VLOOKUP($S$107,'TAR FIN'!$A$1:$O$91,15,0))</f>
        <v>0</v>
      </c>
      <c r="W107" s="6">
        <f>IF(ISERROR(VLOOKUP($T$107,'TAR FIN'!$A$1:$O$91,15,0)),0,VLOOKUP($T$107,'TAR FIN'!$A$1:$O$91,15,0))</f>
        <v>1007.94</v>
      </c>
      <c r="X107" s="6">
        <f>IF(ISERROR(VLOOKUP($U$107,'TAR FIN'!$A$1:$O$91,15,0)),0,VLOOKUP($U$107,'TAR FIN'!$A$1:$O$91,15,0))</f>
        <v>133.97</v>
      </c>
      <c r="Y107" s="6"/>
      <c r="Z107" s="6">
        <f ca="1">('TUSD BE'!$AM$15+'TUSD BF'!$AM$15+'TUSD CVA'!$AM$15)*1</f>
        <v>1254.594131793204</v>
      </c>
      <c r="AA107" s="6">
        <f>('TE BE'!$AB$7+'TE BF'!$AB$7+'TE CVA'!$AB$7)*1</f>
        <v>114.76529888966962</v>
      </c>
      <c r="AB107" s="6">
        <f>$K$107*$V$107</f>
        <v>0</v>
      </c>
      <c r="AC107" s="6">
        <f>$M$107*$W$107</f>
        <v>34511.865600000005</v>
      </c>
      <c r="AD107" s="6">
        <f>$O$107*$X$107</f>
        <v>4587.1328000000003</v>
      </c>
      <c r="AE107" s="6">
        <f>$K$107*$Y$107</f>
        <v>0</v>
      </c>
      <c r="AF107" s="6">
        <f ca="1">$M$107*$Z$107</f>
        <v>42957.303072599309</v>
      </c>
      <c r="AG107" s="6">
        <f>$O$107*$AA$107</f>
        <v>3929.5638339822881</v>
      </c>
    </row>
    <row r="108" spans="1:33" ht="11.25" customHeight="1" x14ac:dyDescent="0.25">
      <c r="A108" s="4" t="s">
        <v>21</v>
      </c>
      <c r="B108" s="4" t="s">
        <v>39</v>
      </c>
      <c r="C108" s="4" t="s">
        <v>40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37</v>
      </c>
      <c r="I108" s="5">
        <v>44743</v>
      </c>
      <c r="J108" s="6">
        <v>0</v>
      </c>
      <c r="K108" s="6">
        <v>0</v>
      </c>
      <c r="L108" s="6">
        <v>35.9</v>
      </c>
      <c r="M108" s="6">
        <v>35.9</v>
      </c>
      <c r="N108" s="6">
        <v>35.9</v>
      </c>
      <c r="O108" s="6">
        <v>35.9</v>
      </c>
      <c r="P108" s="6">
        <v>0</v>
      </c>
      <c r="Q108" s="4" t="s">
        <v>26</v>
      </c>
      <c r="R108" s="4">
        <v>0</v>
      </c>
      <c r="S108" s="6">
        <v>0</v>
      </c>
      <c r="T108" s="6">
        <v>18</v>
      </c>
      <c r="U108" s="6">
        <v>64</v>
      </c>
      <c r="V108" s="6">
        <f>IF(ISERROR(VLOOKUP($S$108,'TAR FIN'!$A$1:$O$91,15,0)),0,VLOOKUP($S$108,'TAR FIN'!$A$1:$O$91,15,0))</f>
        <v>0</v>
      </c>
      <c r="W108" s="6">
        <f>IF(ISERROR(VLOOKUP($T$108,'TAR FIN'!$A$1:$O$91,15,0)),0,VLOOKUP($T$108,'TAR FIN'!$A$1:$O$91,15,0))</f>
        <v>1007.94</v>
      </c>
      <c r="X108" s="6">
        <f>IF(ISERROR(VLOOKUP($U$108,'TAR FIN'!$A$1:$O$91,15,0)),0,VLOOKUP($U$108,'TAR FIN'!$A$1:$O$91,15,0))</f>
        <v>133.97</v>
      </c>
      <c r="Y108" s="6"/>
      <c r="Z108" s="6">
        <f ca="1">('TUSD BE'!$AM$15+'TUSD BF'!$AM$15+'TUSD CVA'!$AM$15)*1</f>
        <v>1254.594131793204</v>
      </c>
      <c r="AA108" s="6">
        <f>('TE BE'!$AB$7+'TE BF'!$AB$7+'TE CVA'!$AB$7)*1</f>
        <v>114.76529888966962</v>
      </c>
      <c r="AB108" s="6">
        <f>$K$108*$V$108</f>
        <v>0</v>
      </c>
      <c r="AC108" s="6">
        <f>$M$108*$W$108</f>
        <v>36185.046000000002</v>
      </c>
      <c r="AD108" s="6">
        <f>$O$108*$X$108</f>
        <v>4809.5230000000001</v>
      </c>
      <c r="AE108" s="6">
        <f>$K$108*$Y$108</f>
        <v>0</v>
      </c>
      <c r="AF108" s="6">
        <f ca="1">$M$108*$Z$108</f>
        <v>45039.929331376021</v>
      </c>
      <c r="AG108" s="6">
        <f>$O$108*$AA$108</f>
        <v>4120.0742301391392</v>
      </c>
    </row>
    <row r="109" spans="1:33" ht="11.25" customHeight="1" x14ac:dyDescent="0.25">
      <c r="A109" s="4" t="s">
        <v>57</v>
      </c>
      <c r="B109" s="4" t="s">
        <v>39</v>
      </c>
      <c r="C109" s="4" t="s">
        <v>40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37</v>
      </c>
      <c r="I109" s="5">
        <v>44774</v>
      </c>
      <c r="J109" s="6">
        <v>0</v>
      </c>
      <c r="K109" s="6">
        <v>0</v>
      </c>
      <c r="L109" s="6">
        <v>35.9</v>
      </c>
      <c r="M109" s="6">
        <v>35.9</v>
      </c>
      <c r="N109" s="6">
        <v>35.9</v>
      </c>
      <c r="O109" s="6">
        <v>35.9</v>
      </c>
      <c r="P109" s="6">
        <v>0</v>
      </c>
      <c r="Q109" s="4" t="s">
        <v>26</v>
      </c>
      <c r="R109" s="4">
        <v>0</v>
      </c>
      <c r="S109" s="6">
        <v>0</v>
      </c>
      <c r="T109" s="6">
        <v>18</v>
      </c>
      <c r="U109" s="6">
        <v>64</v>
      </c>
      <c r="V109" s="6">
        <f>IF(ISERROR(VLOOKUP($S$109,'TAR FIN'!$A$1:$O$91,15,0)),0,VLOOKUP($S$109,'TAR FIN'!$A$1:$O$91,15,0))</f>
        <v>0</v>
      </c>
      <c r="W109" s="6">
        <f>IF(ISERROR(VLOOKUP($T$109,'TAR FIN'!$A$1:$O$91,15,0)),0,VLOOKUP($T$109,'TAR FIN'!$A$1:$O$91,15,0))</f>
        <v>1007.94</v>
      </c>
      <c r="X109" s="6">
        <f>IF(ISERROR(VLOOKUP($U$109,'TAR FIN'!$A$1:$O$91,15,0)),0,VLOOKUP($U$109,'TAR FIN'!$A$1:$O$91,15,0))</f>
        <v>133.97</v>
      </c>
      <c r="Y109" s="6"/>
      <c r="Z109" s="6">
        <f ca="1">('TUSD BE'!$AM$15+'TUSD BF'!$AM$15+'TUSD CVA'!$AM$15)*1</f>
        <v>1254.594131793204</v>
      </c>
      <c r="AA109" s="6">
        <f>('TE BE'!$AB$7+'TE BF'!$AB$7+'TE CVA'!$AB$7)*1</f>
        <v>114.76529888966962</v>
      </c>
      <c r="AB109" s="6">
        <f>$K$109*$V$109</f>
        <v>0</v>
      </c>
      <c r="AC109" s="6">
        <f>$M$109*$W$109</f>
        <v>36185.046000000002</v>
      </c>
      <c r="AD109" s="6">
        <f>$O$109*$X$109</f>
        <v>4809.5230000000001</v>
      </c>
      <c r="AE109" s="6">
        <f>$K$109*$Y$109</f>
        <v>0</v>
      </c>
      <c r="AF109" s="6">
        <f ca="1">$M$109*$Z$109</f>
        <v>45039.929331376021</v>
      </c>
      <c r="AG109" s="6">
        <f>$O$109*$AA$109</f>
        <v>4120.0742301391392</v>
      </c>
    </row>
    <row r="110" spans="1:33" ht="11.25" customHeight="1" x14ac:dyDescent="0.25">
      <c r="A110" s="4" t="s">
        <v>21</v>
      </c>
      <c r="B110" s="4" t="s">
        <v>39</v>
      </c>
      <c r="C110" s="4" t="s">
        <v>40</v>
      </c>
      <c r="D110" s="4" t="s">
        <v>50</v>
      </c>
      <c r="E110" s="4" t="s">
        <v>25</v>
      </c>
      <c r="F110" s="4" t="s">
        <v>25</v>
      </c>
      <c r="G110" s="4" t="s">
        <v>25</v>
      </c>
      <c r="H110" s="4" t="s">
        <v>38</v>
      </c>
      <c r="I110" s="5">
        <v>44440</v>
      </c>
      <c r="J110" s="6">
        <v>0</v>
      </c>
      <c r="K110" s="6">
        <v>0</v>
      </c>
      <c r="L110" s="6">
        <v>11.663</v>
      </c>
      <c r="M110" s="6">
        <v>11.663</v>
      </c>
      <c r="N110" s="6">
        <v>11.663</v>
      </c>
      <c r="O110" s="6">
        <v>11.663</v>
      </c>
      <c r="P110" s="6">
        <v>0</v>
      </c>
      <c r="Q110" s="4" t="s">
        <v>26</v>
      </c>
      <c r="R110" s="4">
        <v>0</v>
      </c>
      <c r="S110" s="6">
        <v>0</v>
      </c>
      <c r="T110" s="6">
        <v>3</v>
      </c>
      <c r="U110" s="6">
        <v>85</v>
      </c>
      <c r="V110" s="6">
        <f>IF(ISERROR(VLOOKUP($S$110,'TAR FIN'!$A$1:$O$91,15,0)),0,VLOOKUP($S$110,'TAR FIN'!$A$1:$O$91,15,0))</f>
        <v>0</v>
      </c>
      <c r="W110" s="6">
        <f>IF(ISERROR(VLOOKUP($T$110,'TAR FIN'!$A$1:$O$91,15,0)),0,VLOOKUP($T$110,'TAR FIN'!$A$1:$O$91,15,0))</f>
        <v>90.67</v>
      </c>
      <c r="X110" s="6">
        <f>IF(ISERROR(VLOOKUP($U$110,'TAR FIN'!$A$1:$O$91,15,0)),0,VLOOKUP($U$110,'TAR FIN'!$A$1:$O$91,15,0))</f>
        <v>133.97</v>
      </c>
      <c r="Y110" s="6"/>
      <c r="Z110" s="6">
        <f ca="1">('TUSD BE'!$AM$16+'TUSD BF'!$AM$16+'TUSD CVA'!$AM$16)*1</f>
        <v>121.64342985575733</v>
      </c>
      <c r="AA110" s="6">
        <f>('TE BE'!$AB$8+'TE BF'!$AB$8+'TE CVA'!$AB$8)*1</f>
        <v>114.76529888966962</v>
      </c>
      <c r="AB110" s="6">
        <f>$K$110*$V$110</f>
        <v>0</v>
      </c>
      <c r="AC110" s="6">
        <f>$M$110*$W$110</f>
        <v>1057.4842100000001</v>
      </c>
      <c r="AD110" s="6">
        <f>$O$110*$X$110</f>
        <v>1562.4921099999999</v>
      </c>
      <c r="AE110" s="6">
        <f>$K$110*$Y$110</f>
        <v>0</v>
      </c>
      <c r="AF110" s="6">
        <f ca="1">$M$110*$Z$110</f>
        <v>1418.7273224076978</v>
      </c>
      <c r="AG110" s="6">
        <f>$O$110*$AA$110</f>
        <v>1338.5076809502168</v>
      </c>
    </row>
    <row r="111" spans="1:33" ht="11.25" customHeight="1" x14ac:dyDescent="0.25">
      <c r="A111" s="4" t="s">
        <v>21</v>
      </c>
      <c r="B111" s="4" t="s">
        <v>39</v>
      </c>
      <c r="C111" s="4" t="s">
        <v>40</v>
      </c>
      <c r="D111" s="4" t="s">
        <v>50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44470</v>
      </c>
      <c r="J111" s="6">
        <v>0</v>
      </c>
      <c r="K111" s="6">
        <v>0</v>
      </c>
      <c r="L111" s="6">
        <v>12.083</v>
      </c>
      <c r="M111" s="6">
        <v>12.083</v>
      </c>
      <c r="N111" s="6">
        <v>12.083</v>
      </c>
      <c r="O111" s="6">
        <v>12.083</v>
      </c>
      <c r="P111" s="6">
        <v>0</v>
      </c>
      <c r="Q111" s="4" t="s">
        <v>26</v>
      </c>
      <c r="R111" s="4">
        <v>0</v>
      </c>
      <c r="S111" s="6">
        <v>0</v>
      </c>
      <c r="T111" s="6">
        <v>3</v>
      </c>
      <c r="U111" s="6">
        <v>85</v>
      </c>
      <c r="V111" s="6">
        <f>IF(ISERROR(VLOOKUP($S$111,'TAR FIN'!$A$1:$O$91,15,0)),0,VLOOKUP($S$111,'TAR FIN'!$A$1:$O$91,15,0))</f>
        <v>0</v>
      </c>
      <c r="W111" s="6">
        <f>IF(ISERROR(VLOOKUP($T$111,'TAR FIN'!$A$1:$O$91,15,0)),0,VLOOKUP($T$111,'TAR FIN'!$A$1:$O$91,15,0))</f>
        <v>90.67</v>
      </c>
      <c r="X111" s="6">
        <f>IF(ISERROR(VLOOKUP($U$111,'TAR FIN'!$A$1:$O$91,15,0)),0,VLOOKUP($U$111,'TAR FIN'!$A$1:$O$91,15,0))</f>
        <v>133.97</v>
      </c>
      <c r="Y111" s="6"/>
      <c r="Z111" s="6">
        <f ca="1">('TUSD BE'!$AM$16+'TUSD BF'!$AM$16+'TUSD CVA'!$AM$16)*1</f>
        <v>121.64342985575733</v>
      </c>
      <c r="AA111" s="6">
        <f>('TE BE'!$AB$8+'TE BF'!$AB$8+'TE CVA'!$AB$8)*1</f>
        <v>114.76529888966962</v>
      </c>
      <c r="AB111" s="6">
        <f>$K$111*$V$111</f>
        <v>0</v>
      </c>
      <c r="AC111" s="6">
        <f>$M$111*$W$111</f>
        <v>1095.5656100000001</v>
      </c>
      <c r="AD111" s="6">
        <f>$O$111*$X$111</f>
        <v>1618.7595100000001</v>
      </c>
      <c r="AE111" s="6">
        <f>$K$111*$Y$111</f>
        <v>0</v>
      </c>
      <c r="AF111" s="6">
        <f ca="1">$M$111*$Z$111</f>
        <v>1469.8175629471159</v>
      </c>
      <c r="AG111" s="6">
        <f>$O$111*$AA$111</f>
        <v>1386.709106483878</v>
      </c>
    </row>
    <row r="112" spans="1:33" ht="11.25" customHeight="1" x14ac:dyDescent="0.25">
      <c r="A112" s="4" t="s">
        <v>21</v>
      </c>
      <c r="B112" s="4" t="s">
        <v>39</v>
      </c>
      <c r="C112" s="4" t="s">
        <v>40</v>
      </c>
      <c r="D112" s="4" t="s">
        <v>50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44501</v>
      </c>
      <c r="J112" s="6">
        <v>0</v>
      </c>
      <c r="K112" s="6">
        <v>0</v>
      </c>
      <c r="L112" s="6">
        <v>14.297000000000001</v>
      </c>
      <c r="M112" s="6">
        <v>14.297000000000001</v>
      </c>
      <c r="N112" s="6">
        <v>14.297000000000001</v>
      </c>
      <c r="O112" s="6">
        <v>14.297000000000001</v>
      </c>
      <c r="P112" s="6">
        <v>0</v>
      </c>
      <c r="Q112" s="4" t="s">
        <v>26</v>
      </c>
      <c r="R112" s="4">
        <v>0</v>
      </c>
      <c r="S112" s="6">
        <v>0</v>
      </c>
      <c r="T112" s="6">
        <v>3</v>
      </c>
      <c r="U112" s="6">
        <v>85</v>
      </c>
      <c r="V112" s="6">
        <f>IF(ISERROR(VLOOKUP($S$112,'TAR FIN'!$A$1:$O$91,15,0)),0,VLOOKUP($S$112,'TAR FIN'!$A$1:$O$91,15,0))</f>
        <v>0</v>
      </c>
      <c r="W112" s="6">
        <f>IF(ISERROR(VLOOKUP($T$112,'TAR FIN'!$A$1:$O$91,15,0)),0,VLOOKUP($T$112,'TAR FIN'!$A$1:$O$91,15,0))</f>
        <v>90.67</v>
      </c>
      <c r="X112" s="6">
        <f>IF(ISERROR(VLOOKUP($U$112,'TAR FIN'!$A$1:$O$91,15,0)),0,VLOOKUP($U$112,'TAR FIN'!$A$1:$O$91,15,0))</f>
        <v>133.97</v>
      </c>
      <c r="Y112" s="6"/>
      <c r="Z112" s="6">
        <f ca="1">('TUSD BE'!$AM$16+'TUSD BF'!$AM$16+'TUSD CVA'!$AM$16)*1</f>
        <v>121.64342985575733</v>
      </c>
      <c r="AA112" s="6">
        <f>('TE BE'!$AB$8+'TE BF'!$AB$8+'TE CVA'!$AB$8)*1</f>
        <v>114.76529888966962</v>
      </c>
      <c r="AB112" s="6">
        <f>$K$112*$V$112</f>
        <v>0</v>
      </c>
      <c r="AC112" s="6">
        <f>$M$112*$W$112</f>
        <v>1296.30899</v>
      </c>
      <c r="AD112" s="6">
        <f>$O$112*$X$112</f>
        <v>1915.3690900000001</v>
      </c>
      <c r="AE112" s="6">
        <f>$K$112*$Y$112</f>
        <v>0</v>
      </c>
      <c r="AF112" s="6">
        <f ca="1">$M$112*$Z$112</f>
        <v>1739.1361166477627</v>
      </c>
      <c r="AG112" s="6">
        <f>$O$112*$AA$112</f>
        <v>1640.7994782256067</v>
      </c>
    </row>
    <row r="113" spans="1:33" ht="11.25" customHeight="1" x14ac:dyDescent="0.25">
      <c r="A113" s="4" t="s">
        <v>21</v>
      </c>
      <c r="B113" s="4" t="s">
        <v>39</v>
      </c>
      <c r="C113" s="4" t="s">
        <v>40</v>
      </c>
      <c r="D113" s="4" t="s">
        <v>50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44531</v>
      </c>
      <c r="J113" s="6">
        <v>0</v>
      </c>
      <c r="K113" s="6">
        <v>0</v>
      </c>
      <c r="L113" s="6">
        <v>15.787000000000001</v>
      </c>
      <c r="M113" s="6">
        <v>15.787000000000001</v>
      </c>
      <c r="N113" s="6">
        <v>15.787000000000001</v>
      </c>
      <c r="O113" s="6">
        <v>15.787000000000001</v>
      </c>
      <c r="P113" s="6">
        <v>0</v>
      </c>
      <c r="Q113" s="4" t="s">
        <v>26</v>
      </c>
      <c r="R113" s="4">
        <v>0</v>
      </c>
      <c r="S113" s="6">
        <v>0</v>
      </c>
      <c r="T113" s="6">
        <v>3</v>
      </c>
      <c r="U113" s="6">
        <v>85</v>
      </c>
      <c r="V113" s="6">
        <f>IF(ISERROR(VLOOKUP($S$113,'TAR FIN'!$A$1:$O$91,15,0)),0,VLOOKUP($S$113,'TAR FIN'!$A$1:$O$91,15,0))</f>
        <v>0</v>
      </c>
      <c r="W113" s="6">
        <f>IF(ISERROR(VLOOKUP($T$113,'TAR FIN'!$A$1:$O$91,15,0)),0,VLOOKUP($T$113,'TAR FIN'!$A$1:$O$91,15,0))</f>
        <v>90.67</v>
      </c>
      <c r="X113" s="6">
        <f>IF(ISERROR(VLOOKUP($U$113,'TAR FIN'!$A$1:$O$91,15,0)),0,VLOOKUP($U$113,'TAR FIN'!$A$1:$O$91,15,0))</f>
        <v>133.97</v>
      </c>
      <c r="Y113" s="6"/>
      <c r="Z113" s="6">
        <f ca="1">('TUSD BE'!$AM$16+'TUSD BF'!$AM$16+'TUSD CVA'!$AM$16)*1</f>
        <v>121.64342985575733</v>
      </c>
      <c r="AA113" s="6">
        <f>('TE BE'!$AB$8+'TE BF'!$AB$8+'TE CVA'!$AB$8)*1</f>
        <v>114.76529888966962</v>
      </c>
      <c r="AB113" s="6">
        <f>$K$113*$V$113</f>
        <v>0</v>
      </c>
      <c r="AC113" s="6">
        <f>$M$113*$W$113</f>
        <v>1431.4072900000001</v>
      </c>
      <c r="AD113" s="6">
        <f>$O$113*$X$113</f>
        <v>2114.9843900000001</v>
      </c>
      <c r="AE113" s="6">
        <f>$K$113*$Y$113</f>
        <v>0</v>
      </c>
      <c r="AF113" s="6">
        <f ca="1">$M$113*$Z$113</f>
        <v>1920.3848271328411</v>
      </c>
      <c r="AG113" s="6">
        <f>$O$113*$AA$113</f>
        <v>1811.7997735712145</v>
      </c>
    </row>
    <row r="114" spans="1:33" ht="11.25" customHeight="1" x14ac:dyDescent="0.25">
      <c r="A114" s="4" t="s">
        <v>21</v>
      </c>
      <c r="B114" s="4" t="s">
        <v>39</v>
      </c>
      <c r="C114" s="4" t="s">
        <v>40</v>
      </c>
      <c r="D114" s="4" t="s">
        <v>50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44562</v>
      </c>
      <c r="J114" s="6">
        <v>0</v>
      </c>
      <c r="K114" s="6">
        <v>0</v>
      </c>
      <c r="L114" s="6">
        <v>19.510000000000002</v>
      </c>
      <c r="M114" s="6">
        <v>19.510000000000002</v>
      </c>
      <c r="N114" s="6">
        <v>19.510000000000002</v>
      </c>
      <c r="O114" s="6">
        <v>19.510000000000002</v>
      </c>
      <c r="P114" s="6">
        <v>0</v>
      </c>
      <c r="Q114" s="4" t="s">
        <v>26</v>
      </c>
      <c r="R114" s="4">
        <v>0</v>
      </c>
      <c r="S114" s="6">
        <v>0</v>
      </c>
      <c r="T114" s="6">
        <v>3</v>
      </c>
      <c r="U114" s="6">
        <v>85</v>
      </c>
      <c r="V114" s="6">
        <f>IF(ISERROR(VLOOKUP($S$114,'TAR FIN'!$A$1:$O$91,15,0)),0,VLOOKUP($S$114,'TAR FIN'!$A$1:$O$91,15,0))</f>
        <v>0</v>
      </c>
      <c r="W114" s="6">
        <f>IF(ISERROR(VLOOKUP($T$114,'TAR FIN'!$A$1:$O$91,15,0)),0,VLOOKUP($T$114,'TAR FIN'!$A$1:$O$91,15,0))</f>
        <v>90.67</v>
      </c>
      <c r="X114" s="6">
        <f>IF(ISERROR(VLOOKUP($U$114,'TAR FIN'!$A$1:$O$91,15,0)),0,VLOOKUP($U$114,'TAR FIN'!$A$1:$O$91,15,0))</f>
        <v>133.97</v>
      </c>
      <c r="Y114" s="6"/>
      <c r="Z114" s="6">
        <f ca="1">('TUSD BE'!$AM$16+'TUSD BF'!$AM$16+'TUSD CVA'!$AM$16)*1</f>
        <v>121.64342985575733</v>
      </c>
      <c r="AA114" s="6">
        <f>('TE BE'!$AB$8+'TE BF'!$AB$8+'TE CVA'!$AB$8)*1</f>
        <v>114.76529888966962</v>
      </c>
      <c r="AB114" s="6">
        <f>$K$114*$V$114</f>
        <v>0</v>
      </c>
      <c r="AC114" s="6">
        <f>$M$114*$W$114</f>
        <v>1768.9717000000003</v>
      </c>
      <c r="AD114" s="6">
        <f>$O$114*$X$114</f>
        <v>2613.7547000000004</v>
      </c>
      <c r="AE114" s="6">
        <f>$K$114*$Y$114</f>
        <v>0</v>
      </c>
      <c r="AF114" s="6">
        <f ca="1">$M$114*$Z$114</f>
        <v>2373.2633164858257</v>
      </c>
      <c r="AG114" s="6">
        <f>$O$114*$AA$114</f>
        <v>2239.0709813374547</v>
      </c>
    </row>
    <row r="115" spans="1:33" ht="11.25" customHeight="1" x14ac:dyDescent="0.25">
      <c r="A115" s="4" t="s">
        <v>21</v>
      </c>
      <c r="B115" s="4" t="s">
        <v>39</v>
      </c>
      <c r="C115" s="4" t="s">
        <v>40</v>
      </c>
      <c r="D115" s="4" t="s">
        <v>50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44593</v>
      </c>
      <c r="J115" s="6">
        <v>0</v>
      </c>
      <c r="K115" s="6">
        <v>0</v>
      </c>
      <c r="L115" s="6">
        <v>15.8</v>
      </c>
      <c r="M115" s="6">
        <v>15.8</v>
      </c>
      <c r="N115" s="6">
        <v>15.8</v>
      </c>
      <c r="O115" s="6">
        <v>15.8</v>
      </c>
      <c r="P115" s="6">
        <v>0</v>
      </c>
      <c r="Q115" s="4" t="s">
        <v>26</v>
      </c>
      <c r="R115" s="4">
        <v>0</v>
      </c>
      <c r="S115" s="6">
        <v>0</v>
      </c>
      <c r="T115" s="6">
        <v>3</v>
      </c>
      <c r="U115" s="6">
        <v>85</v>
      </c>
      <c r="V115" s="6">
        <f>IF(ISERROR(VLOOKUP($S$115,'TAR FIN'!$A$1:$O$91,15,0)),0,VLOOKUP($S$115,'TAR FIN'!$A$1:$O$91,15,0))</f>
        <v>0</v>
      </c>
      <c r="W115" s="6">
        <f>IF(ISERROR(VLOOKUP($T$115,'TAR FIN'!$A$1:$O$91,15,0)),0,VLOOKUP($T$115,'TAR FIN'!$A$1:$O$91,15,0))</f>
        <v>90.67</v>
      </c>
      <c r="X115" s="6">
        <f>IF(ISERROR(VLOOKUP($U$115,'TAR FIN'!$A$1:$O$91,15,0)),0,VLOOKUP($U$115,'TAR FIN'!$A$1:$O$91,15,0))</f>
        <v>133.97</v>
      </c>
      <c r="Y115" s="6"/>
      <c r="Z115" s="6">
        <f ca="1">('TUSD BE'!$AM$16+'TUSD BF'!$AM$16+'TUSD CVA'!$AM$16)*1</f>
        <v>121.64342985575733</v>
      </c>
      <c r="AA115" s="6">
        <f>('TE BE'!$AB$8+'TE BF'!$AB$8+'TE CVA'!$AB$8)*1</f>
        <v>114.76529888966962</v>
      </c>
      <c r="AB115" s="6">
        <f>$K$115*$V$115</f>
        <v>0</v>
      </c>
      <c r="AC115" s="6">
        <f>$M$115*$W$115</f>
        <v>1432.586</v>
      </c>
      <c r="AD115" s="6">
        <f>$O$115*$X$115</f>
        <v>2116.7260000000001</v>
      </c>
      <c r="AE115" s="6">
        <f>$K$115*$Y$115</f>
        <v>0</v>
      </c>
      <c r="AF115" s="6">
        <f ca="1">$M$115*$Z$115</f>
        <v>1921.966191720966</v>
      </c>
      <c r="AG115" s="6">
        <f>$O$115*$AA$115</f>
        <v>1813.2917224567802</v>
      </c>
    </row>
    <row r="116" spans="1:33" ht="11.25" customHeight="1" x14ac:dyDescent="0.25">
      <c r="A116" s="4" t="s">
        <v>21</v>
      </c>
      <c r="B116" s="4" t="s">
        <v>39</v>
      </c>
      <c r="C116" s="4" t="s">
        <v>40</v>
      </c>
      <c r="D116" s="4" t="s">
        <v>50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44621</v>
      </c>
      <c r="J116" s="6">
        <v>0</v>
      </c>
      <c r="K116" s="6">
        <v>0</v>
      </c>
      <c r="L116" s="6">
        <v>17.056999999999999</v>
      </c>
      <c r="M116" s="6">
        <v>17.056999999999999</v>
      </c>
      <c r="N116" s="6">
        <v>17.056999999999999</v>
      </c>
      <c r="O116" s="6">
        <v>17.056999999999999</v>
      </c>
      <c r="P116" s="6">
        <v>0</v>
      </c>
      <c r="Q116" s="4" t="s">
        <v>26</v>
      </c>
      <c r="R116" s="4">
        <v>0</v>
      </c>
      <c r="S116" s="6">
        <v>0</v>
      </c>
      <c r="T116" s="6">
        <v>3</v>
      </c>
      <c r="U116" s="6">
        <v>85</v>
      </c>
      <c r="V116" s="6">
        <f>IF(ISERROR(VLOOKUP($S$116,'TAR FIN'!$A$1:$O$91,15,0)),0,VLOOKUP($S$116,'TAR FIN'!$A$1:$O$91,15,0))</f>
        <v>0</v>
      </c>
      <c r="W116" s="6">
        <f>IF(ISERROR(VLOOKUP($T$116,'TAR FIN'!$A$1:$O$91,15,0)),0,VLOOKUP($T$116,'TAR FIN'!$A$1:$O$91,15,0))</f>
        <v>90.67</v>
      </c>
      <c r="X116" s="6">
        <f>IF(ISERROR(VLOOKUP($U$116,'TAR FIN'!$A$1:$O$91,15,0)),0,VLOOKUP($U$116,'TAR FIN'!$A$1:$O$91,15,0))</f>
        <v>133.97</v>
      </c>
      <c r="Y116" s="6"/>
      <c r="Z116" s="6">
        <f ca="1">('TUSD BE'!$AM$16+'TUSD BF'!$AM$16+'TUSD CVA'!$AM$16)*1</f>
        <v>121.64342985575733</v>
      </c>
      <c r="AA116" s="6">
        <f>('TE BE'!$AB$8+'TE BF'!$AB$8+'TE CVA'!$AB$8)*1</f>
        <v>114.76529888966962</v>
      </c>
      <c r="AB116" s="6">
        <f>$K$116*$V$116</f>
        <v>0</v>
      </c>
      <c r="AC116" s="6">
        <f>$M$116*$W$116</f>
        <v>1546.55819</v>
      </c>
      <c r="AD116" s="6">
        <f>$O$116*$X$116</f>
        <v>2285.1262899999997</v>
      </c>
      <c r="AE116" s="6">
        <f>$K$116*$Y$116</f>
        <v>0</v>
      </c>
      <c r="AF116" s="6">
        <f ca="1">$M$116*$Z$116</f>
        <v>2074.8719830496525</v>
      </c>
      <c r="AG116" s="6">
        <f>$O$116*$AA$116</f>
        <v>1957.5517031610946</v>
      </c>
    </row>
    <row r="117" spans="1:33" ht="11.25" customHeight="1" x14ac:dyDescent="0.25">
      <c r="A117" s="4" t="s">
        <v>21</v>
      </c>
      <c r="B117" s="4" t="s">
        <v>39</v>
      </c>
      <c r="C117" s="4" t="s">
        <v>40</v>
      </c>
      <c r="D117" s="4" t="s">
        <v>50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44652</v>
      </c>
      <c r="J117" s="6">
        <v>0</v>
      </c>
      <c r="K117" s="6">
        <v>0</v>
      </c>
      <c r="L117" s="6">
        <v>12.231999999999999</v>
      </c>
      <c r="M117" s="6">
        <v>12.231999999999999</v>
      </c>
      <c r="N117" s="6">
        <v>12.231999999999999</v>
      </c>
      <c r="O117" s="6">
        <v>12.231999999999999</v>
      </c>
      <c r="P117" s="6">
        <v>0</v>
      </c>
      <c r="Q117" s="4" t="s">
        <v>26</v>
      </c>
      <c r="R117" s="4">
        <v>0</v>
      </c>
      <c r="S117" s="6">
        <v>0</v>
      </c>
      <c r="T117" s="6">
        <v>3</v>
      </c>
      <c r="U117" s="6">
        <v>85</v>
      </c>
      <c r="V117" s="6">
        <f>IF(ISERROR(VLOOKUP($S$117,'TAR FIN'!$A$1:$O$91,15,0)),0,VLOOKUP($S$117,'TAR FIN'!$A$1:$O$91,15,0))</f>
        <v>0</v>
      </c>
      <c r="W117" s="6">
        <f>IF(ISERROR(VLOOKUP($T$117,'TAR FIN'!$A$1:$O$91,15,0)),0,VLOOKUP($T$117,'TAR FIN'!$A$1:$O$91,15,0))</f>
        <v>90.67</v>
      </c>
      <c r="X117" s="6">
        <f>IF(ISERROR(VLOOKUP($U$117,'TAR FIN'!$A$1:$O$91,15,0)),0,VLOOKUP($U$117,'TAR FIN'!$A$1:$O$91,15,0))</f>
        <v>133.97</v>
      </c>
      <c r="Y117" s="6"/>
      <c r="Z117" s="6">
        <f ca="1">('TUSD BE'!$AM$16+'TUSD BF'!$AM$16+'TUSD CVA'!$AM$16)*1</f>
        <v>121.64342985575733</v>
      </c>
      <c r="AA117" s="6">
        <f>('TE BE'!$AB$8+'TE BF'!$AB$8+'TE CVA'!$AB$8)*1</f>
        <v>114.76529888966962</v>
      </c>
      <c r="AB117" s="6">
        <f>$K$117*$V$117</f>
        <v>0</v>
      </c>
      <c r="AC117" s="6">
        <f>$M$117*$W$117</f>
        <v>1109.0754400000001</v>
      </c>
      <c r="AD117" s="6">
        <f>$O$117*$X$117</f>
        <v>1638.7210399999999</v>
      </c>
      <c r="AE117" s="6">
        <f>$K$117*$Y$117</f>
        <v>0</v>
      </c>
      <c r="AF117" s="6">
        <f ca="1">$M$117*$Z$117</f>
        <v>1487.9424339956236</v>
      </c>
      <c r="AG117" s="6">
        <f>$O$117*$AA$117</f>
        <v>1403.8091360184387</v>
      </c>
    </row>
    <row r="118" spans="1:33" ht="11.25" customHeight="1" x14ac:dyDescent="0.25">
      <c r="A118" s="4" t="s">
        <v>21</v>
      </c>
      <c r="B118" s="4" t="s">
        <v>39</v>
      </c>
      <c r="C118" s="4" t="s">
        <v>40</v>
      </c>
      <c r="D118" s="4" t="s">
        <v>50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44682</v>
      </c>
      <c r="J118" s="6">
        <v>0</v>
      </c>
      <c r="K118" s="6">
        <v>0</v>
      </c>
      <c r="L118" s="6">
        <v>11.667999999999999</v>
      </c>
      <c r="M118" s="6">
        <v>11.667999999999999</v>
      </c>
      <c r="N118" s="6">
        <v>11.667999999999999</v>
      </c>
      <c r="O118" s="6">
        <v>11.667999999999999</v>
      </c>
      <c r="P118" s="6">
        <v>0</v>
      </c>
      <c r="Q118" s="4" t="s">
        <v>26</v>
      </c>
      <c r="R118" s="4">
        <v>0</v>
      </c>
      <c r="S118" s="6">
        <v>0</v>
      </c>
      <c r="T118" s="6">
        <v>3</v>
      </c>
      <c r="U118" s="6">
        <v>85</v>
      </c>
      <c r="V118" s="6">
        <f>IF(ISERROR(VLOOKUP($S$118,'TAR FIN'!$A$1:$O$91,15,0)),0,VLOOKUP($S$118,'TAR FIN'!$A$1:$O$91,15,0))</f>
        <v>0</v>
      </c>
      <c r="W118" s="6">
        <f>IF(ISERROR(VLOOKUP($T$118,'TAR FIN'!$A$1:$O$91,15,0)),0,VLOOKUP($T$118,'TAR FIN'!$A$1:$O$91,15,0))</f>
        <v>90.67</v>
      </c>
      <c r="X118" s="6">
        <f>IF(ISERROR(VLOOKUP($U$118,'TAR FIN'!$A$1:$O$91,15,0)),0,VLOOKUP($U$118,'TAR FIN'!$A$1:$O$91,15,0))</f>
        <v>133.97</v>
      </c>
      <c r="Y118" s="6"/>
      <c r="Z118" s="6">
        <f ca="1">('TUSD BE'!$AM$16+'TUSD BF'!$AM$16+'TUSD CVA'!$AM$16)*1</f>
        <v>121.64342985575733</v>
      </c>
      <c r="AA118" s="6">
        <f>('TE BE'!$AB$8+'TE BF'!$AB$8+'TE CVA'!$AB$8)*1</f>
        <v>114.76529888966962</v>
      </c>
      <c r="AB118" s="6">
        <f>$K$118*$V$118</f>
        <v>0</v>
      </c>
      <c r="AC118" s="6">
        <f>$M$118*$W$118</f>
        <v>1057.9375599999998</v>
      </c>
      <c r="AD118" s="6">
        <f>$O$118*$X$118</f>
        <v>1563.1619599999999</v>
      </c>
      <c r="AE118" s="6">
        <f>$K$118*$Y$118</f>
        <v>0</v>
      </c>
      <c r="AF118" s="6">
        <f ca="1">$M$118*$Z$118</f>
        <v>1419.3355395569765</v>
      </c>
      <c r="AG118" s="6">
        <f>$O$118*$AA$118</f>
        <v>1339.081507444665</v>
      </c>
    </row>
    <row r="119" spans="1:33" ht="11.25" customHeight="1" x14ac:dyDescent="0.25">
      <c r="A119" s="4" t="s">
        <v>21</v>
      </c>
      <c r="B119" s="4" t="s">
        <v>39</v>
      </c>
      <c r="C119" s="4" t="s">
        <v>40</v>
      </c>
      <c r="D119" s="4" t="s">
        <v>50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44713</v>
      </c>
      <c r="J119" s="6">
        <v>0</v>
      </c>
      <c r="K119" s="6">
        <v>0</v>
      </c>
      <c r="L119" s="6">
        <v>12.244</v>
      </c>
      <c r="M119" s="6">
        <v>12.244</v>
      </c>
      <c r="N119" s="6">
        <v>12.244</v>
      </c>
      <c r="O119" s="6">
        <v>12.244</v>
      </c>
      <c r="P119" s="6">
        <v>0</v>
      </c>
      <c r="Q119" s="4" t="s">
        <v>26</v>
      </c>
      <c r="R119" s="4">
        <v>0</v>
      </c>
      <c r="S119" s="6">
        <v>0</v>
      </c>
      <c r="T119" s="6">
        <v>3</v>
      </c>
      <c r="U119" s="6">
        <v>85</v>
      </c>
      <c r="V119" s="6">
        <f>IF(ISERROR(VLOOKUP($S$119,'TAR FIN'!$A$1:$O$91,15,0)),0,VLOOKUP($S$119,'TAR FIN'!$A$1:$O$91,15,0))</f>
        <v>0</v>
      </c>
      <c r="W119" s="6">
        <f>IF(ISERROR(VLOOKUP($T$119,'TAR FIN'!$A$1:$O$91,15,0)),0,VLOOKUP($T$119,'TAR FIN'!$A$1:$O$91,15,0))</f>
        <v>90.67</v>
      </c>
      <c r="X119" s="6">
        <f>IF(ISERROR(VLOOKUP($U$119,'TAR FIN'!$A$1:$O$91,15,0)),0,VLOOKUP($U$119,'TAR FIN'!$A$1:$O$91,15,0))</f>
        <v>133.97</v>
      </c>
      <c r="Y119" s="6"/>
      <c r="Z119" s="6">
        <f ca="1">('TUSD BE'!$AM$16+'TUSD BF'!$AM$16+'TUSD CVA'!$AM$16)*1</f>
        <v>121.64342985575733</v>
      </c>
      <c r="AA119" s="6">
        <f>('TE BE'!$AB$8+'TE BF'!$AB$8+'TE CVA'!$AB$8)*1</f>
        <v>114.76529888966962</v>
      </c>
      <c r="AB119" s="6">
        <f>$K$119*$V$119</f>
        <v>0</v>
      </c>
      <c r="AC119" s="6">
        <f>$M$119*$W$119</f>
        <v>1110.1634799999999</v>
      </c>
      <c r="AD119" s="6">
        <f>$O$119*$X$119</f>
        <v>1640.3286799999998</v>
      </c>
      <c r="AE119" s="6">
        <f>$K$119*$Y$119</f>
        <v>0</v>
      </c>
      <c r="AF119" s="6">
        <f ca="1">$M$119*$Z$119</f>
        <v>1489.4021551538929</v>
      </c>
      <c r="AG119" s="6">
        <f>$O$119*$AA$119</f>
        <v>1405.1863196051149</v>
      </c>
    </row>
    <row r="120" spans="1:33" ht="11.25" customHeight="1" x14ac:dyDescent="0.25">
      <c r="A120" s="4" t="s">
        <v>21</v>
      </c>
      <c r="B120" s="4" t="s">
        <v>39</v>
      </c>
      <c r="C120" s="4" t="s">
        <v>40</v>
      </c>
      <c r="D120" s="4" t="s">
        <v>50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44743</v>
      </c>
      <c r="J120" s="6">
        <v>0</v>
      </c>
      <c r="K120" s="6">
        <v>0</v>
      </c>
      <c r="L120" s="6">
        <v>12.145</v>
      </c>
      <c r="M120" s="6">
        <v>12.145</v>
      </c>
      <c r="N120" s="6">
        <v>12.145</v>
      </c>
      <c r="O120" s="6">
        <v>12.145</v>
      </c>
      <c r="P120" s="6">
        <v>0</v>
      </c>
      <c r="Q120" s="4" t="s">
        <v>26</v>
      </c>
      <c r="R120" s="4">
        <v>0</v>
      </c>
      <c r="S120" s="6">
        <v>0</v>
      </c>
      <c r="T120" s="6">
        <v>3</v>
      </c>
      <c r="U120" s="6">
        <v>85</v>
      </c>
      <c r="V120" s="6">
        <f>IF(ISERROR(VLOOKUP($S$120,'TAR FIN'!$A$1:$O$91,15,0)),0,VLOOKUP($S$120,'TAR FIN'!$A$1:$O$91,15,0))</f>
        <v>0</v>
      </c>
      <c r="W120" s="6">
        <f>IF(ISERROR(VLOOKUP($T$120,'TAR FIN'!$A$1:$O$91,15,0)),0,VLOOKUP($T$120,'TAR FIN'!$A$1:$O$91,15,0))</f>
        <v>90.67</v>
      </c>
      <c r="X120" s="6">
        <f>IF(ISERROR(VLOOKUP($U$120,'TAR FIN'!$A$1:$O$91,15,0)),0,VLOOKUP($U$120,'TAR FIN'!$A$1:$O$91,15,0))</f>
        <v>133.97</v>
      </c>
      <c r="Y120" s="6"/>
      <c r="Z120" s="6">
        <f ca="1">('TUSD BE'!$AM$16+'TUSD BF'!$AM$16+'TUSD CVA'!$AM$16)*1</f>
        <v>121.64342985575733</v>
      </c>
      <c r="AA120" s="6">
        <f>('TE BE'!$AB$8+'TE BF'!$AB$8+'TE CVA'!$AB$8)*1</f>
        <v>114.76529888966962</v>
      </c>
      <c r="AB120" s="6">
        <f>$K$120*$V$120</f>
        <v>0</v>
      </c>
      <c r="AC120" s="6">
        <f>$M$120*$W$120</f>
        <v>1101.18715</v>
      </c>
      <c r="AD120" s="6">
        <f>$O$120*$X$120</f>
        <v>1627.06565</v>
      </c>
      <c r="AE120" s="6">
        <f>$K$120*$Y$120</f>
        <v>0</v>
      </c>
      <c r="AF120" s="6">
        <f ca="1">$M$120*$Z$120</f>
        <v>1477.3594555981726</v>
      </c>
      <c r="AG120" s="6">
        <f>$O$120*$AA$120</f>
        <v>1393.8245550150375</v>
      </c>
    </row>
    <row r="121" spans="1:33" ht="11.25" customHeight="1" x14ac:dyDescent="0.25">
      <c r="A121" s="4" t="s">
        <v>57</v>
      </c>
      <c r="B121" s="4" t="s">
        <v>39</v>
      </c>
      <c r="C121" s="4" t="s">
        <v>40</v>
      </c>
      <c r="D121" s="4" t="s">
        <v>50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44774</v>
      </c>
      <c r="J121" s="6">
        <v>0</v>
      </c>
      <c r="K121" s="6">
        <v>0</v>
      </c>
      <c r="L121" s="6">
        <v>12.145</v>
      </c>
      <c r="M121" s="6">
        <v>12.145</v>
      </c>
      <c r="N121" s="6">
        <v>12.145</v>
      </c>
      <c r="O121" s="6">
        <v>12.145</v>
      </c>
      <c r="P121" s="6">
        <v>0</v>
      </c>
      <c r="Q121" s="4" t="s">
        <v>26</v>
      </c>
      <c r="R121" s="4">
        <v>0</v>
      </c>
      <c r="S121" s="6">
        <v>0</v>
      </c>
      <c r="T121" s="6">
        <v>3</v>
      </c>
      <c r="U121" s="6">
        <v>85</v>
      </c>
      <c r="V121" s="6">
        <f>IF(ISERROR(VLOOKUP($S$121,'TAR FIN'!$A$1:$O$91,15,0)),0,VLOOKUP($S$121,'TAR FIN'!$A$1:$O$91,15,0))</f>
        <v>0</v>
      </c>
      <c r="W121" s="6">
        <f>IF(ISERROR(VLOOKUP($T$121,'TAR FIN'!$A$1:$O$91,15,0)),0,VLOOKUP($T$121,'TAR FIN'!$A$1:$O$91,15,0))</f>
        <v>90.67</v>
      </c>
      <c r="X121" s="6">
        <f>IF(ISERROR(VLOOKUP($U$121,'TAR FIN'!$A$1:$O$91,15,0)),0,VLOOKUP($U$121,'TAR FIN'!$A$1:$O$91,15,0))</f>
        <v>133.97</v>
      </c>
      <c r="Y121" s="6"/>
      <c r="Z121" s="6">
        <f ca="1">('TUSD BE'!$AM$16+'TUSD BF'!$AM$16+'TUSD CVA'!$AM$16)*1</f>
        <v>121.64342985575733</v>
      </c>
      <c r="AA121" s="6">
        <f>('TE BE'!$AB$8+'TE BF'!$AB$8+'TE CVA'!$AB$8)*1</f>
        <v>114.76529888966962</v>
      </c>
      <c r="AB121" s="6">
        <f>$K$121*$V$121</f>
        <v>0</v>
      </c>
      <c r="AC121" s="6">
        <f>$M$121*$W$121</f>
        <v>1101.18715</v>
      </c>
      <c r="AD121" s="6">
        <f>$O$121*$X$121</f>
        <v>1627.06565</v>
      </c>
      <c r="AE121" s="6">
        <f>$K$121*$Y$121</f>
        <v>0</v>
      </c>
      <c r="AF121" s="6">
        <f ca="1">$M$121*$Z$121</f>
        <v>1477.3594555981726</v>
      </c>
      <c r="AG121" s="6">
        <f>$O$121*$AA$121</f>
        <v>1393.8245550150375</v>
      </c>
    </row>
    <row r="122" spans="1:33" ht="11.25" customHeight="1" x14ac:dyDescent="0.25">
      <c r="A122" s="4" t="s">
        <v>21</v>
      </c>
      <c r="B122" s="4" t="s">
        <v>39</v>
      </c>
      <c r="C122" s="4" t="s">
        <v>40</v>
      </c>
      <c r="D122" s="4" t="s">
        <v>50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44440</v>
      </c>
      <c r="J122" s="6">
        <v>95</v>
      </c>
      <c r="K122" s="6">
        <v>95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4" t="s">
        <v>26</v>
      </c>
      <c r="R122" s="4">
        <v>0</v>
      </c>
      <c r="S122" s="6">
        <v>28</v>
      </c>
      <c r="T122" s="6">
        <v>0</v>
      </c>
      <c r="U122" s="6">
        <v>0</v>
      </c>
      <c r="V122" s="6">
        <f>IF(ISERROR(VLOOKUP($S$122,'TAR FIN'!$A$1:$O$91,15,0)),0,VLOOKUP($S$122,'TAR FIN'!$A$1:$O$91,15,0))</f>
        <v>14.45</v>
      </c>
      <c r="W122" s="6">
        <f>IF(ISERROR(VLOOKUP($T$122,'TAR FIN'!$A$1:$O$91,15,0)),0,VLOOKUP($T$122,'TAR FIN'!$A$1:$O$91,15,0))</f>
        <v>0</v>
      </c>
      <c r="X122" s="6">
        <f>IF(ISERROR(VLOOKUP($U$122,'TAR FIN'!$A$1:$O$91,15,0)),0,VLOOKUP($U$122,'TAR FIN'!$A$1:$O$91,15,0))</f>
        <v>0</v>
      </c>
      <c r="Y122" s="6">
        <f ca="1">('TUSD BE'!$AM$14+'TUSD BF'!$AM$14+'TUSD CVA'!$AM$14)*1</f>
        <v>18.372313529244348</v>
      </c>
      <c r="Z122" s="6"/>
      <c r="AA122" s="6"/>
      <c r="AB122" s="6">
        <f>$K$122*$V$122</f>
        <v>1372.75</v>
      </c>
      <c r="AC122" s="6">
        <f>$M$122*$W$122</f>
        <v>0</v>
      </c>
      <c r="AD122" s="6">
        <f>$O$122*$X$122</f>
        <v>0</v>
      </c>
      <c r="AE122" s="6">
        <f ca="1">$K$122*$Y$122</f>
        <v>1745.3697852782132</v>
      </c>
      <c r="AF122" s="6">
        <f>$M$122*$Z$122</f>
        <v>0</v>
      </c>
      <c r="AG122" s="6">
        <f>$O$122*$AA$122</f>
        <v>0</v>
      </c>
    </row>
    <row r="123" spans="1:33" ht="11.25" customHeight="1" x14ac:dyDescent="0.25">
      <c r="A123" s="4" t="s">
        <v>21</v>
      </c>
      <c r="B123" s="4" t="s">
        <v>39</v>
      </c>
      <c r="C123" s="4" t="s">
        <v>40</v>
      </c>
      <c r="D123" s="4" t="s">
        <v>50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44470</v>
      </c>
      <c r="J123" s="6">
        <v>95</v>
      </c>
      <c r="K123" s="6">
        <v>95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4" t="s">
        <v>26</v>
      </c>
      <c r="R123" s="4">
        <v>0</v>
      </c>
      <c r="S123" s="6">
        <v>28</v>
      </c>
      <c r="T123" s="6">
        <v>0</v>
      </c>
      <c r="U123" s="6">
        <v>0</v>
      </c>
      <c r="V123" s="6">
        <f>IF(ISERROR(VLOOKUP($S$123,'TAR FIN'!$A$1:$O$91,15,0)),0,VLOOKUP($S$123,'TAR FIN'!$A$1:$O$91,15,0))</f>
        <v>14.45</v>
      </c>
      <c r="W123" s="6">
        <f>IF(ISERROR(VLOOKUP($T$123,'TAR FIN'!$A$1:$O$91,15,0)),0,VLOOKUP($T$123,'TAR FIN'!$A$1:$O$91,15,0))</f>
        <v>0</v>
      </c>
      <c r="X123" s="6">
        <f>IF(ISERROR(VLOOKUP($U$123,'TAR FIN'!$A$1:$O$91,15,0)),0,VLOOKUP($U$123,'TAR FIN'!$A$1:$O$91,15,0))</f>
        <v>0</v>
      </c>
      <c r="Y123" s="6">
        <f ca="1">('TUSD BE'!$AM$14+'TUSD BF'!$AM$14+'TUSD CVA'!$AM$14)*1</f>
        <v>18.372313529244348</v>
      </c>
      <c r="Z123" s="6"/>
      <c r="AA123" s="6"/>
      <c r="AB123" s="6">
        <f>$K$123*$V$123</f>
        <v>1372.75</v>
      </c>
      <c r="AC123" s="6">
        <f>$M$123*$W$123</f>
        <v>0</v>
      </c>
      <c r="AD123" s="6">
        <f>$O$123*$X$123</f>
        <v>0</v>
      </c>
      <c r="AE123" s="6">
        <f ca="1">$K$123*$Y$123</f>
        <v>1745.3697852782132</v>
      </c>
      <c r="AF123" s="6">
        <f>$M$123*$Z$123</f>
        <v>0</v>
      </c>
      <c r="AG123" s="6">
        <f>$O$123*$AA$123</f>
        <v>0</v>
      </c>
    </row>
    <row r="124" spans="1:33" ht="11.25" customHeight="1" x14ac:dyDescent="0.25">
      <c r="A124" s="4" t="s">
        <v>21</v>
      </c>
      <c r="B124" s="4" t="s">
        <v>39</v>
      </c>
      <c r="C124" s="4" t="s">
        <v>40</v>
      </c>
      <c r="D124" s="4" t="s">
        <v>50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44501</v>
      </c>
      <c r="J124" s="6">
        <v>95</v>
      </c>
      <c r="K124" s="6">
        <v>95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4" t="s">
        <v>26</v>
      </c>
      <c r="R124" s="4">
        <v>0</v>
      </c>
      <c r="S124" s="6">
        <v>28</v>
      </c>
      <c r="T124" s="6">
        <v>0</v>
      </c>
      <c r="U124" s="6">
        <v>0</v>
      </c>
      <c r="V124" s="6">
        <f>IF(ISERROR(VLOOKUP($S$124,'TAR FIN'!$A$1:$O$91,15,0)),0,VLOOKUP($S$124,'TAR FIN'!$A$1:$O$91,15,0))</f>
        <v>14.45</v>
      </c>
      <c r="W124" s="6">
        <f>IF(ISERROR(VLOOKUP($T$124,'TAR FIN'!$A$1:$O$91,15,0)),0,VLOOKUP($T$124,'TAR FIN'!$A$1:$O$91,15,0))</f>
        <v>0</v>
      </c>
      <c r="X124" s="6">
        <f>IF(ISERROR(VLOOKUP($U$124,'TAR FIN'!$A$1:$O$91,15,0)),0,VLOOKUP($U$124,'TAR FIN'!$A$1:$O$91,15,0))</f>
        <v>0</v>
      </c>
      <c r="Y124" s="6">
        <f ca="1">('TUSD BE'!$AM$14+'TUSD BF'!$AM$14+'TUSD CVA'!$AM$14)*1</f>
        <v>18.372313529244348</v>
      </c>
      <c r="Z124" s="6"/>
      <c r="AA124" s="6"/>
      <c r="AB124" s="6">
        <f>$K$124*$V$124</f>
        <v>1372.75</v>
      </c>
      <c r="AC124" s="6">
        <f>$M$124*$W$124</f>
        <v>0</v>
      </c>
      <c r="AD124" s="6">
        <f>$O$124*$X$124</f>
        <v>0</v>
      </c>
      <c r="AE124" s="6">
        <f ca="1">$K$124*$Y$124</f>
        <v>1745.3697852782132</v>
      </c>
      <c r="AF124" s="6">
        <f>$M$124*$Z$124</f>
        <v>0</v>
      </c>
      <c r="AG124" s="6">
        <f>$O$124*$AA$124</f>
        <v>0</v>
      </c>
    </row>
    <row r="125" spans="1:33" ht="11.25" customHeight="1" x14ac:dyDescent="0.25">
      <c r="A125" s="4" t="s">
        <v>21</v>
      </c>
      <c r="B125" s="4" t="s">
        <v>39</v>
      </c>
      <c r="C125" s="4" t="s">
        <v>40</v>
      </c>
      <c r="D125" s="4" t="s">
        <v>50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44531</v>
      </c>
      <c r="J125" s="6">
        <v>95</v>
      </c>
      <c r="K125" s="6">
        <v>95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4" t="s">
        <v>26</v>
      </c>
      <c r="R125" s="4">
        <v>0</v>
      </c>
      <c r="S125" s="6">
        <v>28</v>
      </c>
      <c r="T125" s="6">
        <v>0</v>
      </c>
      <c r="U125" s="6">
        <v>0</v>
      </c>
      <c r="V125" s="6">
        <f>IF(ISERROR(VLOOKUP($S$125,'TAR FIN'!$A$1:$O$91,15,0)),0,VLOOKUP($S$125,'TAR FIN'!$A$1:$O$91,15,0))</f>
        <v>14.45</v>
      </c>
      <c r="W125" s="6">
        <f>IF(ISERROR(VLOOKUP($T$125,'TAR FIN'!$A$1:$O$91,15,0)),0,VLOOKUP($T$125,'TAR FIN'!$A$1:$O$91,15,0))</f>
        <v>0</v>
      </c>
      <c r="X125" s="6">
        <f>IF(ISERROR(VLOOKUP($U$125,'TAR FIN'!$A$1:$O$91,15,0)),0,VLOOKUP($U$125,'TAR FIN'!$A$1:$O$91,15,0))</f>
        <v>0</v>
      </c>
      <c r="Y125" s="6">
        <f ca="1">('TUSD BE'!$AM$14+'TUSD BF'!$AM$14+'TUSD CVA'!$AM$14)*1</f>
        <v>18.372313529244348</v>
      </c>
      <c r="Z125" s="6"/>
      <c r="AA125" s="6"/>
      <c r="AB125" s="6">
        <f>$K$125*$V$125</f>
        <v>1372.75</v>
      </c>
      <c r="AC125" s="6">
        <f>$M$125*$W$125</f>
        <v>0</v>
      </c>
      <c r="AD125" s="6">
        <f>$O$125*$X$125</f>
        <v>0</v>
      </c>
      <c r="AE125" s="6">
        <f ca="1">$K$125*$Y$125</f>
        <v>1745.3697852782132</v>
      </c>
      <c r="AF125" s="6">
        <f>$M$125*$Z$125</f>
        <v>0</v>
      </c>
      <c r="AG125" s="6">
        <f>$O$125*$AA$125</f>
        <v>0</v>
      </c>
    </row>
    <row r="126" spans="1:33" ht="11.25" customHeight="1" x14ac:dyDescent="0.25">
      <c r="A126" s="4" t="s">
        <v>21</v>
      </c>
      <c r="B126" s="4" t="s">
        <v>39</v>
      </c>
      <c r="C126" s="4" t="s">
        <v>40</v>
      </c>
      <c r="D126" s="4" t="s">
        <v>50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44562</v>
      </c>
      <c r="J126" s="6">
        <v>95</v>
      </c>
      <c r="K126" s="6">
        <v>95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4" t="s">
        <v>26</v>
      </c>
      <c r="R126" s="4">
        <v>0</v>
      </c>
      <c r="S126" s="6">
        <v>28</v>
      </c>
      <c r="T126" s="6">
        <v>0</v>
      </c>
      <c r="U126" s="6">
        <v>0</v>
      </c>
      <c r="V126" s="6">
        <f>IF(ISERROR(VLOOKUP($S$126,'TAR FIN'!$A$1:$O$91,15,0)),0,VLOOKUP($S$126,'TAR FIN'!$A$1:$O$91,15,0))</f>
        <v>14.45</v>
      </c>
      <c r="W126" s="6">
        <f>IF(ISERROR(VLOOKUP($T$126,'TAR FIN'!$A$1:$O$91,15,0)),0,VLOOKUP($T$126,'TAR FIN'!$A$1:$O$91,15,0))</f>
        <v>0</v>
      </c>
      <c r="X126" s="6">
        <f>IF(ISERROR(VLOOKUP($U$126,'TAR FIN'!$A$1:$O$91,15,0)),0,VLOOKUP($U$126,'TAR FIN'!$A$1:$O$91,15,0))</f>
        <v>0</v>
      </c>
      <c r="Y126" s="6">
        <f ca="1">('TUSD BE'!$AM$14+'TUSD BF'!$AM$14+'TUSD CVA'!$AM$14)*1</f>
        <v>18.372313529244348</v>
      </c>
      <c r="Z126" s="6"/>
      <c r="AA126" s="6"/>
      <c r="AB126" s="6">
        <f>$K$126*$V$126</f>
        <v>1372.75</v>
      </c>
      <c r="AC126" s="6">
        <f>$M$126*$W$126</f>
        <v>0</v>
      </c>
      <c r="AD126" s="6">
        <f>$O$126*$X$126</f>
        <v>0</v>
      </c>
      <c r="AE126" s="6">
        <f ca="1">$K$126*$Y$126</f>
        <v>1745.3697852782132</v>
      </c>
      <c r="AF126" s="6">
        <f>$M$126*$Z$126</f>
        <v>0</v>
      </c>
      <c r="AG126" s="6">
        <f>$O$126*$AA$126</f>
        <v>0</v>
      </c>
    </row>
    <row r="127" spans="1:33" ht="11.25" customHeight="1" x14ac:dyDescent="0.25">
      <c r="A127" s="4" t="s">
        <v>21</v>
      </c>
      <c r="B127" s="4" t="s">
        <v>39</v>
      </c>
      <c r="C127" s="4" t="s">
        <v>40</v>
      </c>
      <c r="D127" s="4" t="s">
        <v>50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44593</v>
      </c>
      <c r="J127" s="6">
        <v>97</v>
      </c>
      <c r="K127" s="6">
        <v>97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4" t="s">
        <v>26</v>
      </c>
      <c r="R127" s="4">
        <v>0</v>
      </c>
      <c r="S127" s="6">
        <v>28</v>
      </c>
      <c r="T127" s="6">
        <v>0</v>
      </c>
      <c r="U127" s="6">
        <v>0</v>
      </c>
      <c r="V127" s="6">
        <f>IF(ISERROR(VLOOKUP($S$127,'TAR FIN'!$A$1:$O$91,15,0)),0,VLOOKUP($S$127,'TAR FIN'!$A$1:$O$91,15,0))</f>
        <v>14.45</v>
      </c>
      <c r="W127" s="6">
        <f>IF(ISERROR(VLOOKUP($T$127,'TAR FIN'!$A$1:$O$91,15,0)),0,VLOOKUP($T$127,'TAR FIN'!$A$1:$O$91,15,0))</f>
        <v>0</v>
      </c>
      <c r="X127" s="6">
        <f>IF(ISERROR(VLOOKUP($U$127,'TAR FIN'!$A$1:$O$91,15,0)),0,VLOOKUP($U$127,'TAR FIN'!$A$1:$O$91,15,0))</f>
        <v>0</v>
      </c>
      <c r="Y127" s="6">
        <f ca="1">('TUSD BE'!$AM$14+'TUSD BF'!$AM$14+'TUSD CVA'!$AM$14)*1</f>
        <v>18.372313529244348</v>
      </c>
      <c r="Z127" s="6"/>
      <c r="AA127" s="6"/>
      <c r="AB127" s="6">
        <f>$K$127*$V$127</f>
        <v>1401.6499999999999</v>
      </c>
      <c r="AC127" s="6">
        <f>$M$127*$W$127</f>
        <v>0</v>
      </c>
      <c r="AD127" s="6">
        <f>$O$127*$X$127</f>
        <v>0</v>
      </c>
      <c r="AE127" s="6">
        <f ca="1">$K$127*$Y$127</f>
        <v>1782.1144123367017</v>
      </c>
      <c r="AF127" s="6">
        <f>$M$127*$Z$127</f>
        <v>0</v>
      </c>
      <c r="AG127" s="6">
        <f>$O$127*$AA$127</f>
        <v>0</v>
      </c>
    </row>
    <row r="128" spans="1:33" ht="11.25" customHeight="1" x14ac:dyDescent="0.25">
      <c r="A128" s="4" t="s">
        <v>21</v>
      </c>
      <c r="B128" s="4" t="s">
        <v>39</v>
      </c>
      <c r="C128" s="4" t="s">
        <v>40</v>
      </c>
      <c r="D128" s="4" t="s">
        <v>50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96</v>
      </c>
      <c r="K128" s="6">
        <v>96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4" t="s">
        <v>26</v>
      </c>
      <c r="R128" s="4">
        <v>0</v>
      </c>
      <c r="S128" s="6">
        <v>28</v>
      </c>
      <c r="T128" s="6">
        <v>0</v>
      </c>
      <c r="U128" s="6">
        <v>0</v>
      </c>
      <c r="V128" s="6">
        <f>IF(ISERROR(VLOOKUP($S$128,'TAR FIN'!$A$1:$O$91,15,0)),0,VLOOKUP($S$128,'TAR FIN'!$A$1:$O$91,15,0))</f>
        <v>14.45</v>
      </c>
      <c r="W128" s="6">
        <f>IF(ISERROR(VLOOKUP($T$128,'TAR FIN'!$A$1:$O$91,15,0)),0,VLOOKUP($T$128,'TAR FIN'!$A$1:$O$91,15,0))</f>
        <v>0</v>
      </c>
      <c r="X128" s="6">
        <f>IF(ISERROR(VLOOKUP($U$128,'TAR FIN'!$A$1:$O$91,15,0)),0,VLOOKUP($U$128,'TAR FIN'!$A$1:$O$91,15,0))</f>
        <v>0</v>
      </c>
      <c r="Y128" s="6">
        <f ca="1">('TUSD BE'!$AM$14+'TUSD BF'!$AM$14+'TUSD CVA'!$AM$14)*1</f>
        <v>18.372313529244348</v>
      </c>
      <c r="Z128" s="6"/>
      <c r="AA128" s="6"/>
      <c r="AB128" s="6">
        <f>$K$128*$V$128</f>
        <v>1387.1999999999998</v>
      </c>
      <c r="AC128" s="6">
        <f>$M$128*$W$128</f>
        <v>0</v>
      </c>
      <c r="AD128" s="6">
        <f>$O$128*$X$128</f>
        <v>0</v>
      </c>
      <c r="AE128" s="6">
        <f ca="1">$K$128*$Y$128</f>
        <v>1763.7420988074573</v>
      </c>
      <c r="AF128" s="6">
        <f>$M$128*$Z$128</f>
        <v>0</v>
      </c>
      <c r="AG128" s="6">
        <f>$O$128*$AA$128</f>
        <v>0</v>
      </c>
    </row>
    <row r="129" spans="1:33" ht="11.25" customHeight="1" x14ac:dyDescent="0.25">
      <c r="A129" s="4" t="s">
        <v>21</v>
      </c>
      <c r="B129" s="4" t="s">
        <v>39</v>
      </c>
      <c r="C129" s="4" t="s">
        <v>40</v>
      </c>
      <c r="D129" s="4" t="s">
        <v>50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95</v>
      </c>
      <c r="K129" s="6">
        <v>95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4" t="s">
        <v>26</v>
      </c>
      <c r="R129" s="4">
        <v>0</v>
      </c>
      <c r="S129" s="6">
        <v>28</v>
      </c>
      <c r="T129" s="6">
        <v>0</v>
      </c>
      <c r="U129" s="6">
        <v>0</v>
      </c>
      <c r="V129" s="6">
        <f>IF(ISERROR(VLOOKUP($S$129,'TAR FIN'!$A$1:$O$91,15,0)),0,VLOOKUP($S$129,'TAR FIN'!$A$1:$O$91,15,0))</f>
        <v>14.45</v>
      </c>
      <c r="W129" s="6">
        <f>IF(ISERROR(VLOOKUP($T$129,'TAR FIN'!$A$1:$O$91,15,0)),0,VLOOKUP($T$129,'TAR FIN'!$A$1:$O$91,15,0))</f>
        <v>0</v>
      </c>
      <c r="X129" s="6">
        <f>IF(ISERROR(VLOOKUP($U$129,'TAR FIN'!$A$1:$O$91,15,0)),0,VLOOKUP($U$129,'TAR FIN'!$A$1:$O$91,15,0))</f>
        <v>0</v>
      </c>
      <c r="Y129" s="6">
        <f ca="1">('TUSD BE'!$AM$14+'TUSD BF'!$AM$14+'TUSD CVA'!$AM$14)*1</f>
        <v>18.372313529244348</v>
      </c>
      <c r="Z129" s="6"/>
      <c r="AA129" s="6"/>
      <c r="AB129" s="6">
        <f>$K$129*$V$129</f>
        <v>1372.75</v>
      </c>
      <c r="AC129" s="6">
        <f>$M$129*$W$129</f>
        <v>0</v>
      </c>
      <c r="AD129" s="6">
        <f>$O$129*$X$129</f>
        <v>0</v>
      </c>
      <c r="AE129" s="6">
        <f ca="1">$K$129*$Y$129</f>
        <v>1745.3697852782132</v>
      </c>
      <c r="AF129" s="6">
        <f>$M$129*$Z$129</f>
        <v>0</v>
      </c>
      <c r="AG129" s="6">
        <f>$O$129*$AA$129</f>
        <v>0</v>
      </c>
    </row>
    <row r="130" spans="1:33" ht="11.25" customHeight="1" x14ac:dyDescent="0.25">
      <c r="A130" s="4" t="s">
        <v>21</v>
      </c>
      <c r="B130" s="4" t="s">
        <v>39</v>
      </c>
      <c r="C130" s="4" t="s">
        <v>40</v>
      </c>
      <c r="D130" s="4" t="s">
        <v>50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44682</v>
      </c>
      <c r="J130" s="6">
        <v>95</v>
      </c>
      <c r="K130" s="6">
        <v>95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6">
        <v>28</v>
      </c>
      <c r="T130" s="6">
        <v>0</v>
      </c>
      <c r="U130" s="6">
        <v>0</v>
      </c>
      <c r="V130" s="6">
        <f>IF(ISERROR(VLOOKUP($S$130,'TAR FIN'!$A$1:$O$91,15,0)),0,VLOOKUP($S$130,'TAR FIN'!$A$1:$O$91,15,0))</f>
        <v>14.45</v>
      </c>
      <c r="W130" s="6">
        <f>IF(ISERROR(VLOOKUP($T$130,'TAR FIN'!$A$1:$O$91,15,0)),0,VLOOKUP($T$130,'TAR FIN'!$A$1:$O$91,15,0))</f>
        <v>0</v>
      </c>
      <c r="X130" s="6">
        <f>IF(ISERROR(VLOOKUP($U$130,'TAR FIN'!$A$1:$O$91,15,0)),0,VLOOKUP($U$130,'TAR FIN'!$A$1:$O$91,15,0))</f>
        <v>0</v>
      </c>
      <c r="Y130" s="6">
        <f ca="1">('TUSD BE'!$AM$14+'TUSD BF'!$AM$14+'TUSD CVA'!$AM$14)*1</f>
        <v>18.372313529244348</v>
      </c>
      <c r="Z130" s="6"/>
      <c r="AA130" s="6"/>
      <c r="AB130" s="6">
        <f>$K$130*$V$130</f>
        <v>1372.75</v>
      </c>
      <c r="AC130" s="6">
        <f>$M$130*$W$130</f>
        <v>0</v>
      </c>
      <c r="AD130" s="6">
        <f>$O$130*$X$130</f>
        <v>0</v>
      </c>
      <c r="AE130" s="6">
        <f ca="1">$K$130*$Y$130</f>
        <v>1745.3697852782132</v>
      </c>
      <c r="AF130" s="6">
        <f>$M$130*$Z$130</f>
        <v>0</v>
      </c>
      <c r="AG130" s="6">
        <f>$O$130*$AA$130</f>
        <v>0</v>
      </c>
    </row>
    <row r="131" spans="1:33" ht="11.25" customHeight="1" x14ac:dyDescent="0.25">
      <c r="A131" s="4" t="s">
        <v>21</v>
      </c>
      <c r="B131" s="4" t="s">
        <v>39</v>
      </c>
      <c r="C131" s="4" t="s">
        <v>40</v>
      </c>
      <c r="D131" s="4" t="s">
        <v>50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95</v>
      </c>
      <c r="K131" s="6">
        <v>95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4" t="s">
        <v>26</v>
      </c>
      <c r="R131" s="4">
        <v>0</v>
      </c>
      <c r="S131" s="6">
        <v>28</v>
      </c>
      <c r="T131" s="6">
        <v>0</v>
      </c>
      <c r="U131" s="6">
        <v>0</v>
      </c>
      <c r="V131" s="6">
        <f>IF(ISERROR(VLOOKUP($S$131,'TAR FIN'!$A$1:$O$91,15,0)),0,VLOOKUP($S$131,'TAR FIN'!$A$1:$O$91,15,0))</f>
        <v>14.45</v>
      </c>
      <c r="W131" s="6">
        <f>IF(ISERROR(VLOOKUP($T$131,'TAR FIN'!$A$1:$O$91,15,0)),0,VLOOKUP($T$131,'TAR FIN'!$A$1:$O$91,15,0))</f>
        <v>0</v>
      </c>
      <c r="X131" s="6">
        <f>IF(ISERROR(VLOOKUP($U$131,'TAR FIN'!$A$1:$O$91,15,0)),0,VLOOKUP($U$131,'TAR FIN'!$A$1:$O$91,15,0))</f>
        <v>0</v>
      </c>
      <c r="Y131" s="6">
        <f ca="1">('TUSD BE'!$AM$14+'TUSD BF'!$AM$14+'TUSD CVA'!$AM$14)*1</f>
        <v>18.372313529244348</v>
      </c>
      <c r="Z131" s="6"/>
      <c r="AA131" s="6"/>
      <c r="AB131" s="6">
        <f>$K$131*$V$131</f>
        <v>1372.75</v>
      </c>
      <c r="AC131" s="6">
        <f>$M$131*$W$131</f>
        <v>0</v>
      </c>
      <c r="AD131" s="6">
        <f>$O$131*$X$131</f>
        <v>0</v>
      </c>
      <c r="AE131" s="6">
        <f ca="1">$K$131*$Y$131</f>
        <v>1745.3697852782132</v>
      </c>
      <c r="AF131" s="6">
        <f>$M$131*$Z$131</f>
        <v>0</v>
      </c>
      <c r="AG131" s="6">
        <f>$O$131*$AA$131</f>
        <v>0</v>
      </c>
    </row>
    <row r="132" spans="1:33" ht="11.25" customHeight="1" x14ac:dyDescent="0.25">
      <c r="A132" s="4" t="s">
        <v>21</v>
      </c>
      <c r="B132" s="4" t="s">
        <v>39</v>
      </c>
      <c r="C132" s="4" t="s">
        <v>40</v>
      </c>
      <c r="D132" s="4" t="s">
        <v>50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95</v>
      </c>
      <c r="K132" s="6">
        <v>95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6">
        <v>28</v>
      </c>
      <c r="T132" s="6">
        <v>0</v>
      </c>
      <c r="U132" s="6">
        <v>0</v>
      </c>
      <c r="V132" s="6">
        <f>IF(ISERROR(VLOOKUP($S$132,'TAR FIN'!$A$1:$O$91,15,0)),0,VLOOKUP($S$132,'TAR FIN'!$A$1:$O$91,15,0))</f>
        <v>14.45</v>
      </c>
      <c r="W132" s="6">
        <f>IF(ISERROR(VLOOKUP($T$132,'TAR FIN'!$A$1:$O$91,15,0)),0,VLOOKUP($T$132,'TAR FIN'!$A$1:$O$91,15,0))</f>
        <v>0</v>
      </c>
      <c r="X132" s="6">
        <f>IF(ISERROR(VLOOKUP($U$132,'TAR FIN'!$A$1:$O$91,15,0)),0,VLOOKUP($U$132,'TAR FIN'!$A$1:$O$91,15,0))</f>
        <v>0</v>
      </c>
      <c r="Y132" s="6">
        <f ca="1">('TUSD BE'!$AM$14+'TUSD BF'!$AM$14+'TUSD CVA'!$AM$14)*1</f>
        <v>18.372313529244348</v>
      </c>
      <c r="Z132" s="6"/>
      <c r="AA132" s="6"/>
      <c r="AB132" s="6">
        <f>$K$132*$V$132</f>
        <v>1372.75</v>
      </c>
      <c r="AC132" s="6">
        <f>$M$132*$W$132</f>
        <v>0</v>
      </c>
      <c r="AD132" s="6">
        <f>$O$132*$X$132</f>
        <v>0</v>
      </c>
      <c r="AE132" s="6">
        <f ca="1">$K$132*$Y$132</f>
        <v>1745.3697852782132</v>
      </c>
      <c r="AF132" s="6">
        <f>$M$132*$Z$132</f>
        <v>0</v>
      </c>
      <c r="AG132" s="6">
        <f>$O$132*$AA$132</f>
        <v>0</v>
      </c>
    </row>
    <row r="133" spans="1:33" ht="11.25" customHeight="1" x14ac:dyDescent="0.25">
      <c r="A133" s="4" t="s">
        <v>57</v>
      </c>
      <c r="B133" s="4" t="s">
        <v>39</v>
      </c>
      <c r="C133" s="4" t="s">
        <v>40</v>
      </c>
      <c r="D133" s="4" t="s">
        <v>50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44774</v>
      </c>
      <c r="J133" s="6">
        <v>95</v>
      </c>
      <c r="K133" s="6">
        <v>95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6">
        <v>28</v>
      </c>
      <c r="T133" s="6">
        <v>0</v>
      </c>
      <c r="U133" s="6">
        <v>0</v>
      </c>
      <c r="V133" s="6">
        <f>IF(ISERROR(VLOOKUP($S$133,'TAR FIN'!$A$1:$O$91,15,0)),0,VLOOKUP($S$133,'TAR FIN'!$A$1:$O$91,15,0))</f>
        <v>14.45</v>
      </c>
      <c r="W133" s="6">
        <f>IF(ISERROR(VLOOKUP($T$133,'TAR FIN'!$A$1:$O$91,15,0)),0,VLOOKUP($T$133,'TAR FIN'!$A$1:$O$91,15,0))</f>
        <v>0</v>
      </c>
      <c r="X133" s="6">
        <f>IF(ISERROR(VLOOKUP($U$133,'TAR FIN'!$A$1:$O$91,15,0)),0,VLOOKUP($U$133,'TAR FIN'!$A$1:$O$91,15,0))</f>
        <v>0</v>
      </c>
      <c r="Y133" s="6">
        <f ca="1">('TUSD BE'!$AM$14+'TUSD BF'!$AM$14+'TUSD CVA'!$AM$14)*1</f>
        <v>18.372313529244348</v>
      </c>
      <c r="Z133" s="6"/>
      <c r="AA133" s="6"/>
      <c r="AB133" s="6">
        <f>$K$133*$V$133</f>
        <v>1372.75</v>
      </c>
      <c r="AC133" s="6">
        <f>$M$133*$W$133</f>
        <v>0</v>
      </c>
      <c r="AD133" s="6">
        <f>$O$133*$X$133</f>
        <v>0</v>
      </c>
      <c r="AE133" s="6">
        <f ca="1">$K$133*$Y$133</f>
        <v>1745.3697852782132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21</v>
      </c>
      <c r="B134" s="4" t="s">
        <v>39</v>
      </c>
      <c r="C134" s="4" t="s">
        <v>40</v>
      </c>
      <c r="D134" s="4" t="s">
        <v>50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44440</v>
      </c>
      <c r="J134" s="6">
        <v>0</v>
      </c>
      <c r="K134" s="6">
        <v>0</v>
      </c>
      <c r="L134" s="6">
        <v>1.103</v>
      </c>
      <c r="M134" s="6">
        <v>1.103</v>
      </c>
      <c r="N134" s="6">
        <v>1.103</v>
      </c>
      <c r="O134" s="6">
        <v>1.103</v>
      </c>
      <c r="P134" s="6">
        <v>0</v>
      </c>
      <c r="Q134" s="4" t="s">
        <v>26</v>
      </c>
      <c r="R134" s="4">
        <v>0</v>
      </c>
      <c r="S134" s="6">
        <v>0</v>
      </c>
      <c r="T134" s="6">
        <v>18</v>
      </c>
      <c r="U134" s="6">
        <v>64</v>
      </c>
      <c r="V134" s="6">
        <f>IF(ISERROR(VLOOKUP($S$134,'TAR FIN'!$A$1:$O$91,15,0)),0,VLOOKUP($S$134,'TAR FIN'!$A$1:$O$91,15,0))</f>
        <v>0</v>
      </c>
      <c r="W134" s="6">
        <f>IF(ISERROR(VLOOKUP($T$134,'TAR FIN'!$A$1:$O$91,15,0)),0,VLOOKUP($T$134,'TAR FIN'!$A$1:$O$91,15,0))</f>
        <v>1007.94</v>
      </c>
      <c r="X134" s="6">
        <f>IF(ISERROR(VLOOKUP($U$134,'TAR FIN'!$A$1:$O$91,15,0)),0,VLOOKUP($U$134,'TAR FIN'!$A$1:$O$91,15,0))</f>
        <v>133.97</v>
      </c>
      <c r="Y134" s="6"/>
      <c r="Z134" s="6">
        <f ca="1">('TUSD BE'!$AM$15+'TUSD BF'!$AM$15+'TUSD CVA'!$AM$15)*1</f>
        <v>1254.594131793204</v>
      </c>
      <c r="AA134" s="6">
        <f>('TE BE'!$AB$7+'TE BF'!$AB$7+'TE CVA'!$AB$7)*1</f>
        <v>114.76529888966962</v>
      </c>
      <c r="AB134" s="6">
        <f>$K$134*$V$134</f>
        <v>0</v>
      </c>
      <c r="AC134" s="6">
        <f>$M$134*$W$134</f>
        <v>1111.75782</v>
      </c>
      <c r="AD134" s="6">
        <f>$O$134*$X$134</f>
        <v>147.76891000000001</v>
      </c>
      <c r="AE134" s="6">
        <f>$K$134*$Y$134</f>
        <v>0</v>
      </c>
      <c r="AF134" s="6">
        <f ca="1">$M$134*$Z$134</f>
        <v>1383.817327367904</v>
      </c>
      <c r="AG134" s="6">
        <f>$O$134*$AA$134</f>
        <v>126.5861246753056</v>
      </c>
    </row>
    <row r="135" spans="1:33" ht="11.25" customHeight="1" x14ac:dyDescent="0.25">
      <c r="A135" s="4" t="s">
        <v>21</v>
      </c>
      <c r="B135" s="4" t="s">
        <v>39</v>
      </c>
      <c r="C135" s="4" t="s">
        <v>40</v>
      </c>
      <c r="D135" s="4" t="s">
        <v>50</v>
      </c>
      <c r="E135" s="4" t="s">
        <v>25</v>
      </c>
      <c r="F135" s="4" t="s">
        <v>25</v>
      </c>
      <c r="G135" s="4" t="s">
        <v>25</v>
      </c>
      <c r="H135" s="4" t="s">
        <v>37</v>
      </c>
      <c r="I135" s="5">
        <v>44470</v>
      </c>
      <c r="J135" s="6">
        <v>0</v>
      </c>
      <c r="K135" s="6">
        <v>0</v>
      </c>
      <c r="L135" s="6">
        <v>1.0249999999999999</v>
      </c>
      <c r="M135" s="6">
        <v>1.0249999999999999</v>
      </c>
      <c r="N135" s="6">
        <v>1.0249999999999999</v>
      </c>
      <c r="O135" s="6">
        <v>1.0249999999999999</v>
      </c>
      <c r="P135" s="6">
        <v>0</v>
      </c>
      <c r="Q135" s="4" t="s">
        <v>26</v>
      </c>
      <c r="R135" s="4">
        <v>0</v>
      </c>
      <c r="S135" s="6">
        <v>0</v>
      </c>
      <c r="T135" s="6">
        <v>18</v>
      </c>
      <c r="U135" s="6">
        <v>64</v>
      </c>
      <c r="V135" s="6">
        <f>IF(ISERROR(VLOOKUP($S$135,'TAR FIN'!$A$1:$O$91,15,0)),0,VLOOKUP($S$135,'TAR FIN'!$A$1:$O$91,15,0))</f>
        <v>0</v>
      </c>
      <c r="W135" s="6">
        <f>IF(ISERROR(VLOOKUP($T$135,'TAR FIN'!$A$1:$O$91,15,0)),0,VLOOKUP($T$135,'TAR FIN'!$A$1:$O$91,15,0))</f>
        <v>1007.94</v>
      </c>
      <c r="X135" s="6">
        <f>IF(ISERROR(VLOOKUP($U$135,'TAR FIN'!$A$1:$O$91,15,0)),0,VLOOKUP($U$135,'TAR FIN'!$A$1:$O$91,15,0))</f>
        <v>133.97</v>
      </c>
      <c r="Y135" s="6"/>
      <c r="Z135" s="6">
        <f ca="1">('TUSD BE'!$AM$15+'TUSD BF'!$AM$15+'TUSD CVA'!$AM$15)*1</f>
        <v>1254.594131793204</v>
      </c>
      <c r="AA135" s="6">
        <f>('TE BE'!$AB$7+'TE BF'!$AB$7+'TE CVA'!$AB$7)*1</f>
        <v>114.76529888966962</v>
      </c>
      <c r="AB135" s="6">
        <f>$K$135*$V$135</f>
        <v>0</v>
      </c>
      <c r="AC135" s="6">
        <f>$M$135*$W$135</f>
        <v>1033.1385</v>
      </c>
      <c r="AD135" s="6">
        <f>$O$135*$X$135</f>
        <v>137.31924999999998</v>
      </c>
      <c r="AE135" s="6">
        <f>$K$135*$Y$135</f>
        <v>0</v>
      </c>
      <c r="AF135" s="6">
        <f ca="1">$M$135*$Z$135</f>
        <v>1285.9589850880341</v>
      </c>
      <c r="AG135" s="6">
        <f>$O$135*$AA$135</f>
        <v>117.63443136191135</v>
      </c>
    </row>
    <row r="136" spans="1:33" ht="11.25" customHeight="1" x14ac:dyDescent="0.25">
      <c r="A136" s="4" t="s">
        <v>21</v>
      </c>
      <c r="B136" s="4" t="s">
        <v>39</v>
      </c>
      <c r="C136" s="4" t="s">
        <v>40</v>
      </c>
      <c r="D136" s="4" t="s">
        <v>50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44501</v>
      </c>
      <c r="J136" s="6">
        <v>0</v>
      </c>
      <c r="K136" s="6">
        <v>0</v>
      </c>
      <c r="L136" s="6">
        <v>1.085</v>
      </c>
      <c r="M136" s="6">
        <v>1.085</v>
      </c>
      <c r="N136" s="6">
        <v>1.085</v>
      </c>
      <c r="O136" s="6">
        <v>1.085</v>
      </c>
      <c r="P136" s="6">
        <v>0</v>
      </c>
      <c r="Q136" s="4" t="s">
        <v>26</v>
      </c>
      <c r="R136" s="4">
        <v>0</v>
      </c>
      <c r="S136" s="6">
        <v>0</v>
      </c>
      <c r="T136" s="6">
        <v>18</v>
      </c>
      <c r="U136" s="6">
        <v>64</v>
      </c>
      <c r="V136" s="6">
        <f>IF(ISERROR(VLOOKUP($S$136,'TAR FIN'!$A$1:$O$91,15,0)),0,VLOOKUP($S$136,'TAR FIN'!$A$1:$O$91,15,0))</f>
        <v>0</v>
      </c>
      <c r="W136" s="6">
        <f>IF(ISERROR(VLOOKUP($T$136,'TAR FIN'!$A$1:$O$91,15,0)),0,VLOOKUP($T$136,'TAR FIN'!$A$1:$O$91,15,0))</f>
        <v>1007.94</v>
      </c>
      <c r="X136" s="6">
        <f>IF(ISERROR(VLOOKUP($U$136,'TAR FIN'!$A$1:$O$91,15,0)),0,VLOOKUP($U$136,'TAR FIN'!$A$1:$O$91,15,0))</f>
        <v>133.97</v>
      </c>
      <c r="Y136" s="6"/>
      <c r="Z136" s="6">
        <f ca="1">('TUSD BE'!$AM$15+'TUSD BF'!$AM$15+'TUSD CVA'!$AM$15)*1</f>
        <v>1254.594131793204</v>
      </c>
      <c r="AA136" s="6">
        <f>('TE BE'!$AB$7+'TE BF'!$AB$7+'TE CVA'!$AB$7)*1</f>
        <v>114.76529888966962</v>
      </c>
      <c r="AB136" s="6">
        <f>$K$136*$V$136</f>
        <v>0</v>
      </c>
      <c r="AC136" s="6">
        <f>$M$136*$W$136</f>
        <v>1093.6149</v>
      </c>
      <c r="AD136" s="6">
        <f>$O$136*$X$136</f>
        <v>145.35745</v>
      </c>
      <c r="AE136" s="6">
        <f>$K$136*$Y$136</f>
        <v>0</v>
      </c>
      <c r="AF136" s="6">
        <f ca="1">$M$136*$Z$136</f>
        <v>1361.2346329956263</v>
      </c>
      <c r="AG136" s="6">
        <f>$O$136*$AA$136</f>
        <v>124.52034929529154</v>
      </c>
    </row>
    <row r="137" spans="1:33" ht="11.25" customHeight="1" x14ac:dyDescent="0.25">
      <c r="A137" s="4" t="s">
        <v>21</v>
      </c>
      <c r="B137" s="4" t="s">
        <v>39</v>
      </c>
      <c r="C137" s="4" t="s">
        <v>40</v>
      </c>
      <c r="D137" s="4" t="s">
        <v>50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44531</v>
      </c>
      <c r="J137" s="6">
        <v>0</v>
      </c>
      <c r="K137" s="6">
        <v>0</v>
      </c>
      <c r="L137" s="6">
        <v>1.1830000000000001</v>
      </c>
      <c r="M137" s="6">
        <v>1.1830000000000001</v>
      </c>
      <c r="N137" s="6">
        <v>1.1830000000000001</v>
      </c>
      <c r="O137" s="6">
        <v>1.1830000000000001</v>
      </c>
      <c r="P137" s="6">
        <v>0</v>
      </c>
      <c r="Q137" s="4" t="s">
        <v>26</v>
      </c>
      <c r="R137" s="4">
        <v>0</v>
      </c>
      <c r="S137" s="6">
        <v>0</v>
      </c>
      <c r="T137" s="6">
        <v>18</v>
      </c>
      <c r="U137" s="6">
        <v>64</v>
      </c>
      <c r="V137" s="6">
        <f>IF(ISERROR(VLOOKUP($S$137,'TAR FIN'!$A$1:$O$91,15,0)),0,VLOOKUP($S$137,'TAR FIN'!$A$1:$O$91,15,0))</f>
        <v>0</v>
      </c>
      <c r="W137" s="6">
        <f>IF(ISERROR(VLOOKUP($T$137,'TAR FIN'!$A$1:$O$91,15,0)),0,VLOOKUP($T$137,'TAR FIN'!$A$1:$O$91,15,0))</f>
        <v>1007.94</v>
      </c>
      <c r="X137" s="6">
        <f>IF(ISERROR(VLOOKUP($U$137,'TAR FIN'!$A$1:$O$91,15,0)),0,VLOOKUP($U$137,'TAR FIN'!$A$1:$O$91,15,0))</f>
        <v>133.97</v>
      </c>
      <c r="Y137" s="6"/>
      <c r="Z137" s="6">
        <f ca="1">('TUSD BE'!$AM$15+'TUSD BF'!$AM$15+'TUSD CVA'!$AM$15)*1</f>
        <v>1254.594131793204</v>
      </c>
      <c r="AA137" s="6">
        <f>('TE BE'!$AB$7+'TE BF'!$AB$7+'TE CVA'!$AB$7)*1</f>
        <v>114.76529888966962</v>
      </c>
      <c r="AB137" s="6">
        <f>$K$137*$V$137</f>
        <v>0</v>
      </c>
      <c r="AC137" s="6">
        <f>$M$137*$W$137</f>
        <v>1192.3930200000002</v>
      </c>
      <c r="AD137" s="6">
        <f>$O$137*$X$137</f>
        <v>158.48651000000001</v>
      </c>
      <c r="AE137" s="6">
        <f>$K$137*$Y$137</f>
        <v>0</v>
      </c>
      <c r="AF137" s="6">
        <f ca="1">$M$137*$Z$137</f>
        <v>1484.1848579113605</v>
      </c>
      <c r="AG137" s="6">
        <f>$O$137*$AA$137</f>
        <v>135.76734858647916</v>
      </c>
    </row>
    <row r="138" spans="1:33" ht="11.25" customHeight="1" x14ac:dyDescent="0.25">
      <c r="A138" s="4" t="s">
        <v>21</v>
      </c>
      <c r="B138" s="4" t="s">
        <v>39</v>
      </c>
      <c r="C138" s="4" t="s">
        <v>40</v>
      </c>
      <c r="D138" s="4" t="s">
        <v>50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44562</v>
      </c>
      <c r="J138" s="6">
        <v>0</v>
      </c>
      <c r="K138" s="6">
        <v>0</v>
      </c>
      <c r="L138" s="6">
        <v>1.1850000000000001</v>
      </c>
      <c r="M138" s="6">
        <v>1.1850000000000001</v>
      </c>
      <c r="N138" s="6">
        <v>1.1850000000000001</v>
      </c>
      <c r="O138" s="6">
        <v>1.1850000000000001</v>
      </c>
      <c r="P138" s="6">
        <v>0</v>
      </c>
      <c r="Q138" s="4" t="s">
        <v>26</v>
      </c>
      <c r="R138" s="4">
        <v>0</v>
      </c>
      <c r="S138" s="6">
        <v>0</v>
      </c>
      <c r="T138" s="6">
        <v>18</v>
      </c>
      <c r="U138" s="6">
        <v>64</v>
      </c>
      <c r="V138" s="6">
        <f>IF(ISERROR(VLOOKUP($S$138,'TAR FIN'!$A$1:$O$91,15,0)),0,VLOOKUP($S$138,'TAR FIN'!$A$1:$O$91,15,0))</f>
        <v>0</v>
      </c>
      <c r="W138" s="6">
        <f>IF(ISERROR(VLOOKUP($T$138,'TAR FIN'!$A$1:$O$91,15,0)),0,VLOOKUP($T$138,'TAR FIN'!$A$1:$O$91,15,0))</f>
        <v>1007.94</v>
      </c>
      <c r="X138" s="6">
        <f>IF(ISERROR(VLOOKUP($U$138,'TAR FIN'!$A$1:$O$91,15,0)),0,VLOOKUP($U$138,'TAR FIN'!$A$1:$O$91,15,0))</f>
        <v>133.97</v>
      </c>
      <c r="Y138" s="6"/>
      <c r="Z138" s="6">
        <f ca="1">('TUSD BE'!$AM$15+'TUSD BF'!$AM$15+'TUSD CVA'!$AM$15)*1</f>
        <v>1254.594131793204</v>
      </c>
      <c r="AA138" s="6">
        <f>('TE BE'!$AB$7+'TE BF'!$AB$7+'TE CVA'!$AB$7)*1</f>
        <v>114.76529888966962</v>
      </c>
      <c r="AB138" s="6">
        <f>$K$138*$V$138</f>
        <v>0</v>
      </c>
      <c r="AC138" s="6">
        <f>$M$138*$W$138</f>
        <v>1194.4089000000001</v>
      </c>
      <c r="AD138" s="6">
        <f>$O$138*$X$138</f>
        <v>158.75445000000002</v>
      </c>
      <c r="AE138" s="6">
        <f>$K$138*$Y$138</f>
        <v>0</v>
      </c>
      <c r="AF138" s="6">
        <f ca="1">$M$138*$Z$138</f>
        <v>1486.6940461749468</v>
      </c>
      <c r="AG138" s="6">
        <f>$O$138*$AA$138</f>
        <v>135.99687918425852</v>
      </c>
    </row>
    <row r="139" spans="1:33" ht="11.25" customHeight="1" x14ac:dyDescent="0.25">
      <c r="A139" s="4" t="s">
        <v>21</v>
      </c>
      <c r="B139" s="4" t="s">
        <v>39</v>
      </c>
      <c r="C139" s="4" t="s">
        <v>40</v>
      </c>
      <c r="D139" s="4" t="s">
        <v>50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44593</v>
      </c>
      <c r="J139" s="6">
        <v>0</v>
      </c>
      <c r="K139" s="6">
        <v>0</v>
      </c>
      <c r="L139" s="6">
        <v>1.1040000000000001</v>
      </c>
      <c r="M139" s="6">
        <v>1.1040000000000001</v>
      </c>
      <c r="N139" s="6">
        <v>1.1040000000000001</v>
      </c>
      <c r="O139" s="6">
        <v>1.1040000000000001</v>
      </c>
      <c r="P139" s="6">
        <v>0</v>
      </c>
      <c r="Q139" s="4" t="s">
        <v>26</v>
      </c>
      <c r="R139" s="4">
        <v>0</v>
      </c>
      <c r="S139" s="6">
        <v>0</v>
      </c>
      <c r="T139" s="6">
        <v>18</v>
      </c>
      <c r="U139" s="6">
        <v>64</v>
      </c>
      <c r="V139" s="6">
        <f>IF(ISERROR(VLOOKUP($S$139,'TAR FIN'!$A$1:$O$91,15,0)),0,VLOOKUP($S$139,'TAR FIN'!$A$1:$O$91,15,0))</f>
        <v>0</v>
      </c>
      <c r="W139" s="6">
        <f>IF(ISERROR(VLOOKUP($T$139,'TAR FIN'!$A$1:$O$91,15,0)),0,VLOOKUP($T$139,'TAR FIN'!$A$1:$O$91,15,0))</f>
        <v>1007.94</v>
      </c>
      <c r="X139" s="6">
        <f>IF(ISERROR(VLOOKUP($U$139,'TAR FIN'!$A$1:$O$91,15,0)),0,VLOOKUP($U$139,'TAR FIN'!$A$1:$O$91,15,0))</f>
        <v>133.97</v>
      </c>
      <c r="Y139" s="6"/>
      <c r="Z139" s="6">
        <f ca="1">('TUSD BE'!$AM$15+'TUSD BF'!$AM$15+'TUSD CVA'!$AM$15)*1</f>
        <v>1254.594131793204</v>
      </c>
      <c r="AA139" s="6">
        <f>('TE BE'!$AB$7+'TE BF'!$AB$7+'TE CVA'!$AB$7)*1</f>
        <v>114.76529888966962</v>
      </c>
      <c r="AB139" s="6">
        <f>$K$139*$V$139</f>
        <v>0</v>
      </c>
      <c r="AC139" s="6">
        <f>$M$139*$W$139</f>
        <v>1112.7657600000002</v>
      </c>
      <c r="AD139" s="6">
        <f>$O$139*$X$139</f>
        <v>147.90288000000001</v>
      </c>
      <c r="AE139" s="6">
        <f>$K$139*$Y$139</f>
        <v>0</v>
      </c>
      <c r="AF139" s="6">
        <f ca="1">$M$139*$Z$139</f>
        <v>1385.0719214996973</v>
      </c>
      <c r="AG139" s="6">
        <f>$O$139*$AA$139</f>
        <v>126.70088997419528</v>
      </c>
    </row>
    <row r="140" spans="1:33" ht="11.25" customHeight="1" x14ac:dyDescent="0.25">
      <c r="A140" s="4" t="s">
        <v>21</v>
      </c>
      <c r="B140" s="4" t="s">
        <v>39</v>
      </c>
      <c r="C140" s="4" t="s">
        <v>40</v>
      </c>
      <c r="D140" s="4" t="s">
        <v>50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44621</v>
      </c>
      <c r="J140" s="6">
        <v>0</v>
      </c>
      <c r="K140" s="6">
        <v>0</v>
      </c>
      <c r="L140" s="6">
        <v>1.284</v>
      </c>
      <c r="M140" s="6">
        <v>1.284</v>
      </c>
      <c r="N140" s="6">
        <v>1.284</v>
      </c>
      <c r="O140" s="6">
        <v>1.284</v>
      </c>
      <c r="P140" s="6">
        <v>0</v>
      </c>
      <c r="Q140" s="4" t="s">
        <v>26</v>
      </c>
      <c r="R140" s="4">
        <v>0</v>
      </c>
      <c r="S140" s="6">
        <v>0</v>
      </c>
      <c r="T140" s="6">
        <v>18</v>
      </c>
      <c r="U140" s="6">
        <v>64</v>
      </c>
      <c r="V140" s="6">
        <f>IF(ISERROR(VLOOKUP($S$140,'TAR FIN'!$A$1:$O$91,15,0)),0,VLOOKUP($S$140,'TAR FIN'!$A$1:$O$91,15,0))</f>
        <v>0</v>
      </c>
      <c r="W140" s="6">
        <f>IF(ISERROR(VLOOKUP($T$140,'TAR FIN'!$A$1:$O$91,15,0)),0,VLOOKUP($T$140,'TAR FIN'!$A$1:$O$91,15,0))</f>
        <v>1007.94</v>
      </c>
      <c r="X140" s="6">
        <f>IF(ISERROR(VLOOKUP($U$140,'TAR FIN'!$A$1:$O$91,15,0)),0,VLOOKUP($U$140,'TAR FIN'!$A$1:$O$91,15,0))</f>
        <v>133.97</v>
      </c>
      <c r="Y140" s="6"/>
      <c r="Z140" s="6">
        <f ca="1">('TUSD BE'!$AM$15+'TUSD BF'!$AM$15+'TUSD CVA'!$AM$15)*1</f>
        <v>1254.594131793204</v>
      </c>
      <c r="AA140" s="6">
        <f>('TE BE'!$AB$7+'TE BF'!$AB$7+'TE CVA'!$AB$7)*1</f>
        <v>114.76529888966962</v>
      </c>
      <c r="AB140" s="6">
        <f>$K$140*$V$140</f>
        <v>0</v>
      </c>
      <c r="AC140" s="6">
        <f>$M$140*$W$140</f>
        <v>1294.19496</v>
      </c>
      <c r="AD140" s="6">
        <f>$O$140*$X$140</f>
        <v>172.01748000000001</v>
      </c>
      <c r="AE140" s="6">
        <f>$K$140*$Y$140</f>
        <v>0</v>
      </c>
      <c r="AF140" s="6">
        <f ca="1">$M$140*$Z$140</f>
        <v>1610.8988652224741</v>
      </c>
      <c r="AG140" s="6">
        <f>$O$140*$AA$140</f>
        <v>147.3586437743358</v>
      </c>
    </row>
    <row r="141" spans="1:33" ht="11.25" customHeight="1" x14ac:dyDescent="0.25">
      <c r="A141" s="4" t="s">
        <v>21</v>
      </c>
      <c r="B141" s="4" t="s">
        <v>39</v>
      </c>
      <c r="C141" s="4" t="s">
        <v>40</v>
      </c>
      <c r="D141" s="4" t="s">
        <v>50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44652</v>
      </c>
      <c r="J141" s="6">
        <v>0</v>
      </c>
      <c r="K141" s="6">
        <v>0</v>
      </c>
      <c r="L141" s="6">
        <v>1.0269999999999999</v>
      </c>
      <c r="M141" s="6">
        <v>1.0269999999999999</v>
      </c>
      <c r="N141" s="6">
        <v>1.0269999999999999</v>
      </c>
      <c r="O141" s="6">
        <v>1.0269999999999999</v>
      </c>
      <c r="P141" s="6">
        <v>0</v>
      </c>
      <c r="Q141" s="4" t="s">
        <v>26</v>
      </c>
      <c r="R141" s="4">
        <v>0</v>
      </c>
      <c r="S141" s="6">
        <v>0</v>
      </c>
      <c r="T141" s="6">
        <v>18</v>
      </c>
      <c r="U141" s="6">
        <v>64</v>
      </c>
      <c r="V141" s="6">
        <f>IF(ISERROR(VLOOKUP($S$141,'TAR FIN'!$A$1:$O$91,15,0)),0,VLOOKUP($S$141,'TAR FIN'!$A$1:$O$91,15,0))</f>
        <v>0</v>
      </c>
      <c r="W141" s="6">
        <f>IF(ISERROR(VLOOKUP($T$141,'TAR FIN'!$A$1:$O$91,15,0)),0,VLOOKUP($T$141,'TAR FIN'!$A$1:$O$91,15,0))</f>
        <v>1007.94</v>
      </c>
      <c r="X141" s="6">
        <f>IF(ISERROR(VLOOKUP($U$141,'TAR FIN'!$A$1:$O$91,15,0)),0,VLOOKUP($U$141,'TAR FIN'!$A$1:$O$91,15,0))</f>
        <v>133.97</v>
      </c>
      <c r="Y141" s="6"/>
      <c r="Z141" s="6">
        <f ca="1">('TUSD BE'!$AM$15+'TUSD BF'!$AM$15+'TUSD CVA'!$AM$15)*1</f>
        <v>1254.594131793204</v>
      </c>
      <c r="AA141" s="6">
        <f>('TE BE'!$AB$7+'TE BF'!$AB$7+'TE CVA'!$AB$7)*1</f>
        <v>114.76529888966962</v>
      </c>
      <c r="AB141" s="6">
        <f>$K$141*$V$141</f>
        <v>0</v>
      </c>
      <c r="AC141" s="6">
        <f>$M$141*$W$141</f>
        <v>1035.1543799999999</v>
      </c>
      <c r="AD141" s="6">
        <f>$O$141*$X$141</f>
        <v>137.58718999999999</v>
      </c>
      <c r="AE141" s="6">
        <f>$K$141*$Y$141</f>
        <v>0</v>
      </c>
      <c r="AF141" s="6">
        <f ca="1">$M$141*$Z$141</f>
        <v>1288.4681733516204</v>
      </c>
      <c r="AG141" s="6">
        <f>$O$141*$AA$141</f>
        <v>117.8639619596907</v>
      </c>
    </row>
    <row r="142" spans="1:33" ht="11.25" customHeight="1" x14ac:dyDescent="0.25">
      <c r="A142" s="4" t="s">
        <v>21</v>
      </c>
      <c r="B142" s="4" t="s">
        <v>39</v>
      </c>
      <c r="C142" s="4" t="s">
        <v>40</v>
      </c>
      <c r="D142" s="4" t="s">
        <v>50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44682</v>
      </c>
      <c r="J142" s="6">
        <v>0</v>
      </c>
      <c r="K142" s="6">
        <v>0</v>
      </c>
      <c r="L142" s="6">
        <v>1.0860000000000001</v>
      </c>
      <c r="M142" s="6">
        <v>1.0860000000000001</v>
      </c>
      <c r="N142" s="6">
        <v>1.0860000000000001</v>
      </c>
      <c r="O142" s="6">
        <v>1.0860000000000001</v>
      </c>
      <c r="P142" s="6">
        <v>0</v>
      </c>
      <c r="Q142" s="4" t="s">
        <v>26</v>
      </c>
      <c r="R142" s="4">
        <v>0</v>
      </c>
      <c r="S142" s="6">
        <v>0</v>
      </c>
      <c r="T142" s="6">
        <v>18</v>
      </c>
      <c r="U142" s="6">
        <v>64</v>
      </c>
      <c r="V142" s="6">
        <f>IF(ISERROR(VLOOKUP($S$142,'TAR FIN'!$A$1:$O$91,15,0)),0,VLOOKUP($S$142,'TAR FIN'!$A$1:$O$91,15,0))</f>
        <v>0</v>
      </c>
      <c r="W142" s="6">
        <f>IF(ISERROR(VLOOKUP($T$142,'TAR FIN'!$A$1:$O$91,15,0)),0,VLOOKUP($T$142,'TAR FIN'!$A$1:$O$91,15,0))</f>
        <v>1007.94</v>
      </c>
      <c r="X142" s="6">
        <f>IF(ISERROR(VLOOKUP($U$142,'TAR FIN'!$A$1:$O$91,15,0)),0,VLOOKUP($U$142,'TAR FIN'!$A$1:$O$91,15,0))</f>
        <v>133.97</v>
      </c>
      <c r="Y142" s="6"/>
      <c r="Z142" s="6">
        <f ca="1">('TUSD BE'!$AM$15+'TUSD BF'!$AM$15+'TUSD CVA'!$AM$15)*1</f>
        <v>1254.594131793204</v>
      </c>
      <c r="AA142" s="6">
        <f>('TE BE'!$AB$7+'TE BF'!$AB$7+'TE CVA'!$AB$7)*1</f>
        <v>114.76529888966962</v>
      </c>
      <c r="AB142" s="6">
        <f>$K$142*$V$142</f>
        <v>0</v>
      </c>
      <c r="AC142" s="6">
        <f>$M$142*$W$142</f>
        <v>1094.6228400000002</v>
      </c>
      <c r="AD142" s="6">
        <f>$O$142*$X$142</f>
        <v>145.49142000000001</v>
      </c>
      <c r="AE142" s="6">
        <f>$K$142*$Y$142</f>
        <v>0</v>
      </c>
      <c r="AF142" s="6">
        <f ca="1">$M$142*$Z$142</f>
        <v>1362.4892271274198</v>
      </c>
      <c r="AG142" s="6">
        <f>$O$142*$AA$142</f>
        <v>124.63511459418122</v>
      </c>
    </row>
    <row r="143" spans="1:33" ht="11.25" customHeight="1" x14ac:dyDescent="0.25">
      <c r="A143" s="4" t="s">
        <v>21</v>
      </c>
      <c r="B143" s="4" t="s">
        <v>39</v>
      </c>
      <c r="C143" s="4" t="s">
        <v>40</v>
      </c>
      <c r="D143" s="4" t="s">
        <v>50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44713</v>
      </c>
      <c r="J143" s="6">
        <v>0</v>
      </c>
      <c r="K143" s="6">
        <v>0</v>
      </c>
      <c r="L143" s="6">
        <v>1.014</v>
      </c>
      <c r="M143" s="6">
        <v>1.014</v>
      </c>
      <c r="N143" s="6">
        <v>1.014</v>
      </c>
      <c r="O143" s="6">
        <v>1.014</v>
      </c>
      <c r="P143" s="6">
        <v>0</v>
      </c>
      <c r="Q143" s="4" t="s">
        <v>26</v>
      </c>
      <c r="R143" s="4">
        <v>0</v>
      </c>
      <c r="S143" s="6">
        <v>0</v>
      </c>
      <c r="T143" s="6">
        <v>18</v>
      </c>
      <c r="U143" s="6">
        <v>64</v>
      </c>
      <c r="V143" s="6">
        <f>IF(ISERROR(VLOOKUP($S$143,'TAR FIN'!$A$1:$O$91,15,0)),0,VLOOKUP($S$143,'TAR FIN'!$A$1:$O$91,15,0))</f>
        <v>0</v>
      </c>
      <c r="W143" s="6">
        <f>IF(ISERROR(VLOOKUP($T$143,'TAR FIN'!$A$1:$O$91,15,0)),0,VLOOKUP($T$143,'TAR FIN'!$A$1:$O$91,15,0))</f>
        <v>1007.94</v>
      </c>
      <c r="X143" s="6">
        <f>IF(ISERROR(VLOOKUP($U$143,'TAR FIN'!$A$1:$O$91,15,0)),0,VLOOKUP($U$143,'TAR FIN'!$A$1:$O$91,15,0))</f>
        <v>133.97</v>
      </c>
      <c r="Y143" s="6"/>
      <c r="Z143" s="6">
        <f ca="1">('TUSD BE'!$AM$15+'TUSD BF'!$AM$15+'TUSD CVA'!$AM$15)*1</f>
        <v>1254.594131793204</v>
      </c>
      <c r="AA143" s="6">
        <f>('TE BE'!$AB$7+'TE BF'!$AB$7+'TE CVA'!$AB$7)*1</f>
        <v>114.76529888966962</v>
      </c>
      <c r="AB143" s="6">
        <f>$K$143*$V$143</f>
        <v>0</v>
      </c>
      <c r="AC143" s="6">
        <f>$M$143*$W$143</f>
        <v>1022.0511600000001</v>
      </c>
      <c r="AD143" s="6">
        <f>$O$143*$X$143</f>
        <v>135.84558000000001</v>
      </c>
      <c r="AE143" s="6">
        <f>$K$143*$Y$143</f>
        <v>0</v>
      </c>
      <c r="AF143" s="6">
        <f ca="1">$M$143*$Z$143</f>
        <v>1272.1584496383089</v>
      </c>
      <c r="AG143" s="6">
        <f>$O$143*$AA$143</f>
        <v>116.37201307412499</v>
      </c>
    </row>
    <row r="144" spans="1:33" ht="11.25" customHeight="1" x14ac:dyDescent="0.25">
      <c r="A144" s="4" t="s">
        <v>21</v>
      </c>
      <c r="B144" s="4" t="s">
        <v>39</v>
      </c>
      <c r="C144" s="4" t="s">
        <v>40</v>
      </c>
      <c r="D144" s="4" t="s">
        <v>50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44743</v>
      </c>
      <c r="J144" s="6">
        <v>0</v>
      </c>
      <c r="K144" s="6">
        <v>0</v>
      </c>
      <c r="L144" s="6">
        <v>1.0349999999999999</v>
      </c>
      <c r="M144" s="6">
        <v>1.0349999999999999</v>
      </c>
      <c r="N144" s="6">
        <v>1.0349999999999999</v>
      </c>
      <c r="O144" s="6">
        <v>1.0349999999999999</v>
      </c>
      <c r="P144" s="6">
        <v>0</v>
      </c>
      <c r="Q144" s="4" t="s">
        <v>26</v>
      </c>
      <c r="R144" s="4">
        <v>0</v>
      </c>
      <c r="S144" s="6">
        <v>0</v>
      </c>
      <c r="T144" s="6">
        <v>18</v>
      </c>
      <c r="U144" s="6">
        <v>64</v>
      </c>
      <c r="V144" s="6">
        <f>IF(ISERROR(VLOOKUP($S$144,'TAR FIN'!$A$1:$O$91,15,0)),0,VLOOKUP($S$144,'TAR FIN'!$A$1:$O$91,15,0))</f>
        <v>0</v>
      </c>
      <c r="W144" s="6">
        <f>IF(ISERROR(VLOOKUP($T$144,'TAR FIN'!$A$1:$O$91,15,0)),0,VLOOKUP($T$144,'TAR FIN'!$A$1:$O$91,15,0))</f>
        <v>1007.94</v>
      </c>
      <c r="X144" s="6">
        <f>IF(ISERROR(VLOOKUP($U$144,'TAR FIN'!$A$1:$O$91,15,0)),0,VLOOKUP($U$144,'TAR FIN'!$A$1:$O$91,15,0))</f>
        <v>133.97</v>
      </c>
      <c r="Y144" s="6"/>
      <c r="Z144" s="6">
        <f ca="1">('TUSD BE'!$AM$15+'TUSD BF'!$AM$15+'TUSD CVA'!$AM$15)*1</f>
        <v>1254.594131793204</v>
      </c>
      <c r="AA144" s="6">
        <f>('TE BE'!$AB$7+'TE BF'!$AB$7+'TE CVA'!$AB$7)*1</f>
        <v>114.76529888966962</v>
      </c>
      <c r="AB144" s="6">
        <f>$K$144*$V$144</f>
        <v>0</v>
      </c>
      <c r="AC144" s="6">
        <f>$M$144*$W$144</f>
        <v>1043.2178999999999</v>
      </c>
      <c r="AD144" s="6">
        <f>$O$144*$X$144</f>
        <v>138.65894999999998</v>
      </c>
      <c r="AE144" s="6">
        <f>$K$144*$Y$144</f>
        <v>0</v>
      </c>
      <c r="AF144" s="6">
        <f ca="1">$M$144*$Z$144</f>
        <v>1298.504926405966</v>
      </c>
      <c r="AG144" s="6">
        <f>$O$144*$AA$144</f>
        <v>118.78208435080805</v>
      </c>
    </row>
    <row r="145" spans="1:33" ht="11.25" customHeight="1" x14ac:dyDescent="0.25">
      <c r="A145" s="4" t="s">
        <v>57</v>
      </c>
      <c r="B145" s="4" t="s">
        <v>39</v>
      </c>
      <c r="C145" s="4" t="s">
        <v>40</v>
      </c>
      <c r="D145" s="4" t="s">
        <v>50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44774</v>
      </c>
      <c r="J145" s="6">
        <v>0</v>
      </c>
      <c r="K145" s="6">
        <v>0</v>
      </c>
      <c r="L145" s="6">
        <v>1.0349999999999999</v>
      </c>
      <c r="M145" s="6">
        <v>1.0349999999999999</v>
      </c>
      <c r="N145" s="6">
        <v>1.0349999999999999</v>
      </c>
      <c r="O145" s="6">
        <v>1.0349999999999999</v>
      </c>
      <c r="P145" s="6">
        <v>0</v>
      </c>
      <c r="Q145" s="4" t="s">
        <v>26</v>
      </c>
      <c r="R145" s="4">
        <v>0</v>
      </c>
      <c r="S145" s="6">
        <v>0</v>
      </c>
      <c r="T145" s="6">
        <v>18</v>
      </c>
      <c r="U145" s="6">
        <v>64</v>
      </c>
      <c r="V145" s="6">
        <f>IF(ISERROR(VLOOKUP($S$145,'TAR FIN'!$A$1:$O$91,15,0)),0,VLOOKUP($S$145,'TAR FIN'!$A$1:$O$91,15,0))</f>
        <v>0</v>
      </c>
      <c r="W145" s="6">
        <f>IF(ISERROR(VLOOKUP($T$145,'TAR FIN'!$A$1:$O$91,15,0)),0,VLOOKUP($T$145,'TAR FIN'!$A$1:$O$91,15,0))</f>
        <v>1007.94</v>
      </c>
      <c r="X145" s="6">
        <f>IF(ISERROR(VLOOKUP($U$145,'TAR FIN'!$A$1:$O$91,15,0)),0,VLOOKUP($U$145,'TAR FIN'!$A$1:$O$91,15,0))</f>
        <v>133.97</v>
      </c>
      <c r="Y145" s="6"/>
      <c r="Z145" s="6">
        <f ca="1">('TUSD BE'!$AM$15+'TUSD BF'!$AM$15+'TUSD CVA'!$AM$15)*1</f>
        <v>1254.594131793204</v>
      </c>
      <c r="AA145" s="6">
        <f>('TE BE'!$AB$7+'TE BF'!$AB$7+'TE CVA'!$AB$7)*1</f>
        <v>114.76529888966962</v>
      </c>
      <c r="AB145" s="6">
        <f>$K$145*$V$145</f>
        <v>0</v>
      </c>
      <c r="AC145" s="6">
        <f>$M$145*$W$145</f>
        <v>1043.2178999999999</v>
      </c>
      <c r="AD145" s="6">
        <f>$O$145*$X$145</f>
        <v>138.65894999999998</v>
      </c>
      <c r="AE145" s="6">
        <f>$K$145*$Y$145</f>
        <v>0</v>
      </c>
      <c r="AF145" s="6">
        <f ca="1">$M$145*$Z$145</f>
        <v>1298.504926405966</v>
      </c>
      <c r="AG145" s="6">
        <f>$O$145*$AA$145</f>
        <v>118.78208435080805</v>
      </c>
    </row>
    <row r="146" spans="1:33" ht="11.25" customHeight="1" x14ac:dyDescent="0.25">
      <c r="A146" s="4" t="s">
        <v>21</v>
      </c>
      <c r="B146" s="4" t="s">
        <v>39</v>
      </c>
      <c r="C146" s="4" t="s">
        <v>40</v>
      </c>
      <c r="D146" s="4" t="s">
        <v>34</v>
      </c>
      <c r="E146" s="4" t="s">
        <v>25</v>
      </c>
      <c r="F146" s="4" t="s">
        <v>25</v>
      </c>
      <c r="G146" s="4" t="s">
        <v>25</v>
      </c>
      <c r="H146" s="4" t="s">
        <v>38</v>
      </c>
      <c r="I146" s="5">
        <v>44440</v>
      </c>
      <c r="J146" s="6">
        <v>0</v>
      </c>
      <c r="K146" s="6">
        <v>0</v>
      </c>
      <c r="L146" s="6">
        <v>12866.733</v>
      </c>
      <c r="M146" s="6">
        <v>12866.733</v>
      </c>
      <c r="N146" s="6">
        <v>12866.733</v>
      </c>
      <c r="O146" s="6">
        <v>12866.733</v>
      </c>
      <c r="P146" s="6">
        <v>0</v>
      </c>
      <c r="Q146" s="4" t="s">
        <v>26</v>
      </c>
      <c r="R146" s="4">
        <v>0</v>
      </c>
      <c r="S146" s="6">
        <v>0</v>
      </c>
      <c r="T146" s="6">
        <v>3</v>
      </c>
      <c r="U146" s="6">
        <v>85</v>
      </c>
      <c r="V146" s="6">
        <f>IF(ISERROR(VLOOKUP($S$146,'TAR FIN'!$A$1:$O$91,15,0)),0,VLOOKUP($S$146,'TAR FIN'!$A$1:$O$91,15,0))</f>
        <v>0</v>
      </c>
      <c r="W146" s="6">
        <f>IF(ISERROR(VLOOKUP($T$146,'TAR FIN'!$A$1:$O$91,15,0)),0,VLOOKUP($T$146,'TAR FIN'!$A$1:$O$91,15,0))</f>
        <v>90.67</v>
      </c>
      <c r="X146" s="6">
        <f>IF(ISERROR(VLOOKUP($U$146,'TAR FIN'!$A$1:$O$91,15,0)),0,VLOOKUP($U$146,'TAR FIN'!$A$1:$O$91,15,0))</f>
        <v>133.97</v>
      </c>
      <c r="Y146" s="6"/>
      <c r="Z146" s="6">
        <f ca="1">('TUSD BE'!$AM$16+'TUSD BF'!$AM$16+'TUSD CVA'!$AM$16)*1</f>
        <v>121.64342985575733</v>
      </c>
      <c r="AA146" s="6">
        <f>('TE BE'!$AB$8+'TE BF'!$AB$8+'TE CVA'!$AB$8)*1</f>
        <v>114.76529888966962</v>
      </c>
      <c r="AB146" s="6">
        <f>$K$146*$V$146</f>
        <v>0</v>
      </c>
      <c r="AC146" s="6">
        <f>$M$146*$W$146</f>
        <v>1166626.68111</v>
      </c>
      <c r="AD146" s="6">
        <f>$O$146*$X$146</f>
        <v>1723756.22001</v>
      </c>
      <c r="AE146" s="6">
        <f>$K$146*$Y$146</f>
        <v>0</v>
      </c>
      <c r="AF146" s="6">
        <f ca="1">$M$146*$Z$146</f>
        <v>1565153.5331582581</v>
      </c>
      <c r="AG146" s="6">
        <f>$O$146*$AA$146</f>
        <v>1476654.4584785756</v>
      </c>
    </row>
    <row r="147" spans="1:33" ht="11.25" customHeight="1" x14ac:dyDescent="0.25">
      <c r="A147" s="4" t="s">
        <v>21</v>
      </c>
      <c r="B147" s="4" t="s">
        <v>39</v>
      </c>
      <c r="C147" s="4" t="s">
        <v>40</v>
      </c>
      <c r="D147" s="4" t="s">
        <v>34</v>
      </c>
      <c r="E147" s="4" t="s">
        <v>25</v>
      </c>
      <c r="F147" s="4" t="s">
        <v>25</v>
      </c>
      <c r="G147" s="4" t="s">
        <v>25</v>
      </c>
      <c r="H147" s="4" t="s">
        <v>38</v>
      </c>
      <c r="I147" s="5">
        <v>44470</v>
      </c>
      <c r="J147" s="6">
        <v>0</v>
      </c>
      <c r="K147" s="6">
        <v>0</v>
      </c>
      <c r="L147" s="6">
        <v>13220.275</v>
      </c>
      <c r="M147" s="6">
        <v>13220.275</v>
      </c>
      <c r="N147" s="6">
        <v>13220.275</v>
      </c>
      <c r="O147" s="6">
        <v>13220.275</v>
      </c>
      <c r="P147" s="6">
        <v>0</v>
      </c>
      <c r="Q147" s="4" t="s">
        <v>26</v>
      </c>
      <c r="R147" s="4">
        <v>0</v>
      </c>
      <c r="S147" s="6">
        <v>0</v>
      </c>
      <c r="T147" s="6">
        <v>3</v>
      </c>
      <c r="U147" s="6">
        <v>85</v>
      </c>
      <c r="V147" s="6">
        <f>IF(ISERROR(VLOOKUP($S$147,'TAR FIN'!$A$1:$O$91,15,0)),0,VLOOKUP($S$147,'TAR FIN'!$A$1:$O$91,15,0))</f>
        <v>0</v>
      </c>
      <c r="W147" s="6">
        <f>IF(ISERROR(VLOOKUP($T$147,'TAR FIN'!$A$1:$O$91,15,0)),0,VLOOKUP($T$147,'TAR FIN'!$A$1:$O$91,15,0))</f>
        <v>90.67</v>
      </c>
      <c r="X147" s="6">
        <f>IF(ISERROR(VLOOKUP($U$147,'TAR FIN'!$A$1:$O$91,15,0)),0,VLOOKUP($U$147,'TAR FIN'!$A$1:$O$91,15,0))</f>
        <v>133.97</v>
      </c>
      <c r="Y147" s="6"/>
      <c r="Z147" s="6">
        <f ca="1">('TUSD BE'!$AM$16+'TUSD BF'!$AM$16+'TUSD CVA'!$AM$16)*1</f>
        <v>121.64342985575733</v>
      </c>
      <c r="AA147" s="6">
        <f>('TE BE'!$AB$8+'TE BF'!$AB$8+'TE CVA'!$AB$8)*1</f>
        <v>114.76529888966962</v>
      </c>
      <c r="AB147" s="6">
        <f>$K$147*$V$147</f>
        <v>0</v>
      </c>
      <c r="AC147" s="6">
        <f>$M$147*$W$147</f>
        <v>1198682.3342500001</v>
      </c>
      <c r="AD147" s="6">
        <f>$O$147*$X$147</f>
        <v>1771120.24175</v>
      </c>
      <c r="AE147" s="6">
        <f>$K$147*$Y$147</f>
        <v>0</v>
      </c>
      <c r="AF147" s="6">
        <f ca="1">$M$147*$Z$147</f>
        <v>1608159.5946363222</v>
      </c>
      <c r="AG147" s="6">
        <f>$O$147*$AA$147</f>
        <v>1517228.8117786271</v>
      </c>
    </row>
    <row r="148" spans="1:33" ht="11.25" customHeight="1" x14ac:dyDescent="0.25">
      <c r="A148" s="4" t="s">
        <v>21</v>
      </c>
      <c r="B148" s="4" t="s">
        <v>39</v>
      </c>
      <c r="C148" s="4" t="s">
        <v>40</v>
      </c>
      <c r="D148" s="4" t="s">
        <v>34</v>
      </c>
      <c r="E148" s="4" t="s">
        <v>25</v>
      </c>
      <c r="F148" s="4" t="s">
        <v>25</v>
      </c>
      <c r="G148" s="4" t="s">
        <v>25</v>
      </c>
      <c r="H148" s="4" t="s">
        <v>38</v>
      </c>
      <c r="I148" s="5">
        <v>44501</v>
      </c>
      <c r="J148" s="6">
        <v>0</v>
      </c>
      <c r="K148" s="6">
        <v>0</v>
      </c>
      <c r="L148" s="6">
        <v>13251.582</v>
      </c>
      <c r="M148" s="6">
        <v>13251.582</v>
      </c>
      <c r="N148" s="6">
        <v>13251.582</v>
      </c>
      <c r="O148" s="6">
        <v>13251.582</v>
      </c>
      <c r="P148" s="6">
        <v>0</v>
      </c>
      <c r="Q148" s="4" t="s">
        <v>26</v>
      </c>
      <c r="R148" s="4">
        <v>0</v>
      </c>
      <c r="S148" s="6">
        <v>0</v>
      </c>
      <c r="T148" s="6">
        <v>3</v>
      </c>
      <c r="U148" s="6">
        <v>85</v>
      </c>
      <c r="V148" s="6">
        <f>IF(ISERROR(VLOOKUP($S$148,'TAR FIN'!$A$1:$O$91,15,0)),0,VLOOKUP($S$148,'TAR FIN'!$A$1:$O$91,15,0))</f>
        <v>0</v>
      </c>
      <c r="W148" s="6">
        <f>IF(ISERROR(VLOOKUP($T$148,'TAR FIN'!$A$1:$O$91,15,0)),0,VLOOKUP($T$148,'TAR FIN'!$A$1:$O$91,15,0))</f>
        <v>90.67</v>
      </c>
      <c r="X148" s="6">
        <f>IF(ISERROR(VLOOKUP($U$148,'TAR FIN'!$A$1:$O$91,15,0)),0,VLOOKUP($U$148,'TAR FIN'!$A$1:$O$91,15,0))</f>
        <v>133.97</v>
      </c>
      <c r="Y148" s="6"/>
      <c r="Z148" s="6">
        <f ca="1">('TUSD BE'!$AM$16+'TUSD BF'!$AM$16+'TUSD CVA'!$AM$16)*1</f>
        <v>121.64342985575733</v>
      </c>
      <c r="AA148" s="6">
        <f>('TE BE'!$AB$8+'TE BF'!$AB$8+'TE CVA'!$AB$8)*1</f>
        <v>114.76529888966962</v>
      </c>
      <c r="AB148" s="6">
        <f>$K$148*$V$148</f>
        <v>0</v>
      </c>
      <c r="AC148" s="6">
        <f>$M$148*$W$148</f>
        <v>1201520.93994</v>
      </c>
      <c r="AD148" s="6">
        <f>$O$148*$X$148</f>
        <v>1775314.4405400001</v>
      </c>
      <c r="AE148" s="6">
        <f>$K$148*$Y$148</f>
        <v>0</v>
      </c>
      <c r="AF148" s="6">
        <f ca="1">$M$148*$Z$148</f>
        <v>1611967.8854948166</v>
      </c>
      <c r="AG148" s="6">
        <f>$O$148*$AA$148</f>
        <v>1520821.768990966</v>
      </c>
    </row>
    <row r="149" spans="1:33" ht="11.25" customHeight="1" x14ac:dyDescent="0.25">
      <c r="A149" s="4" t="s">
        <v>21</v>
      </c>
      <c r="B149" s="4" t="s">
        <v>39</v>
      </c>
      <c r="C149" s="4" t="s">
        <v>40</v>
      </c>
      <c r="D149" s="4" t="s">
        <v>34</v>
      </c>
      <c r="E149" s="4" t="s">
        <v>25</v>
      </c>
      <c r="F149" s="4" t="s">
        <v>25</v>
      </c>
      <c r="G149" s="4" t="s">
        <v>25</v>
      </c>
      <c r="H149" s="4" t="s">
        <v>38</v>
      </c>
      <c r="I149" s="5">
        <v>44531</v>
      </c>
      <c r="J149" s="6">
        <v>0</v>
      </c>
      <c r="K149" s="6">
        <v>0</v>
      </c>
      <c r="L149" s="6">
        <v>12253.656000000001</v>
      </c>
      <c r="M149" s="6">
        <v>12253.656000000001</v>
      </c>
      <c r="N149" s="6">
        <v>12253.656000000001</v>
      </c>
      <c r="O149" s="6">
        <v>12253.656000000001</v>
      </c>
      <c r="P149" s="6">
        <v>0</v>
      </c>
      <c r="Q149" s="4" t="s">
        <v>26</v>
      </c>
      <c r="R149" s="4">
        <v>0</v>
      </c>
      <c r="S149" s="6">
        <v>0</v>
      </c>
      <c r="T149" s="6">
        <v>3</v>
      </c>
      <c r="U149" s="6">
        <v>85</v>
      </c>
      <c r="V149" s="6">
        <f>IF(ISERROR(VLOOKUP($S$149,'TAR FIN'!$A$1:$O$91,15,0)),0,VLOOKUP($S$149,'TAR FIN'!$A$1:$O$91,15,0))</f>
        <v>0</v>
      </c>
      <c r="W149" s="6">
        <f>IF(ISERROR(VLOOKUP($T$149,'TAR FIN'!$A$1:$O$91,15,0)),0,VLOOKUP($T$149,'TAR FIN'!$A$1:$O$91,15,0))</f>
        <v>90.67</v>
      </c>
      <c r="X149" s="6">
        <f>IF(ISERROR(VLOOKUP($U$149,'TAR FIN'!$A$1:$O$91,15,0)),0,VLOOKUP($U$149,'TAR FIN'!$A$1:$O$91,15,0))</f>
        <v>133.97</v>
      </c>
      <c r="Y149" s="6"/>
      <c r="Z149" s="6">
        <f ca="1">('TUSD BE'!$AM$16+'TUSD BF'!$AM$16+'TUSD CVA'!$AM$16)*1</f>
        <v>121.64342985575733</v>
      </c>
      <c r="AA149" s="6">
        <f>('TE BE'!$AB$8+'TE BF'!$AB$8+'TE CVA'!$AB$8)*1</f>
        <v>114.76529888966962</v>
      </c>
      <c r="AB149" s="6">
        <f>$K$149*$V$149</f>
        <v>0</v>
      </c>
      <c r="AC149" s="6">
        <f>$M$149*$W$149</f>
        <v>1111038.9895200001</v>
      </c>
      <c r="AD149" s="6">
        <f>$O$149*$X$149</f>
        <v>1641622.2943200001</v>
      </c>
      <c r="AE149" s="6">
        <f>$K$149*$Y$149</f>
        <v>0</v>
      </c>
      <c r="AF149" s="6">
        <f ca="1">$M$149*$Z$149</f>
        <v>1490576.7441125801</v>
      </c>
      <c r="AG149" s="6">
        <f>$O$149*$AA$149</f>
        <v>1406294.4933311937</v>
      </c>
    </row>
    <row r="150" spans="1:33" ht="11.25" customHeight="1" x14ac:dyDescent="0.25">
      <c r="A150" s="4" t="s">
        <v>21</v>
      </c>
      <c r="B150" s="4" t="s">
        <v>39</v>
      </c>
      <c r="C150" s="4" t="s">
        <v>40</v>
      </c>
      <c r="D150" s="4" t="s">
        <v>34</v>
      </c>
      <c r="E150" s="4" t="s">
        <v>25</v>
      </c>
      <c r="F150" s="4" t="s">
        <v>25</v>
      </c>
      <c r="G150" s="4" t="s">
        <v>25</v>
      </c>
      <c r="H150" s="4" t="s">
        <v>38</v>
      </c>
      <c r="I150" s="5">
        <v>44562</v>
      </c>
      <c r="J150" s="6">
        <v>0</v>
      </c>
      <c r="K150" s="6">
        <v>0</v>
      </c>
      <c r="L150" s="6">
        <v>12307.626</v>
      </c>
      <c r="M150" s="6">
        <v>12307.626</v>
      </c>
      <c r="N150" s="6">
        <v>12307.626</v>
      </c>
      <c r="O150" s="6">
        <v>12307.626</v>
      </c>
      <c r="P150" s="6">
        <v>0</v>
      </c>
      <c r="Q150" s="4" t="s">
        <v>26</v>
      </c>
      <c r="R150" s="4">
        <v>0</v>
      </c>
      <c r="S150" s="6">
        <v>0</v>
      </c>
      <c r="T150" s="6">
        <v>3</v>
      </c>
      <c r="U150" s="6">
        <v>85</v>
      </c>
      <c r="V150" s="6">
        <f>IF(ISERROR(VLOOKUP($S$150,'TAR FIN'!$A$1:$O$91,15,0)),0,VLOOKUP($S$150,'TAR FIN'!$A$1:$O$91,15,0))</f>
        <v>0</v>
      </c>
      <c r="W150" s="6">
        <f>IF(ISERROR(VLOOKUP($T$150,'TAR FIN'!$A$1:$O$91,15,0)),0,VLOOKUP($T$150,'TAR FIN'!$A$1:$O$91,15,0))</f>
        <v>90.67</v>
      </c>
      <c r="X150" s="6">
        <f>IF(ISERROR(VLOOKUP($U$150,'TAR FIN'!$A$1:$O$91,15,0)),0,VLOOKUP($U$150,'TAR FIN'!$A$1:$O$91,15,0))</f>
        <v>133.97</v>
      </c>
      <c r="Y150" s="6"/>
      <c r="Z150" s="6">
        <f ca="1">('TUSD BE'!$AM$16+'TUSD BF'!$AM$16+'TUSD CVA'!$AM$16)*1</f>
        <v>121.64342985575733</v>
      </c>
      <c r="AA150" s="6">
        <f>('TE BE'!$AB$8+'TE BF'!$AB$8+'TE CVA'!$AB$8)*1</f>
        <v>114.76529888966962</v>
      </c>
      <c r="AB150" s="6">
        <f>$K$150*$V$150</f>
        <v>0</v>
      </c>
      <c r="AC150" s="6">
        <f>$M$150*$W$150</f>
        <v>1115932.44942</v>
      </c>
      <c r="AD150" s="6">
        <f>$O$150*$X$150</f>
        <v>1648852.6552200001</v>
      </c>
      <c r="AE150" s="6">
        <f>$K$150*$Y$150</f>
        <v>0</v>
      </c>
      <c r="AF150" s="6">
        <f ca="1">$M$150*$Z$150</f>
        <v>1497141.8400218952</v>
      </c>
      <c r="AG150" s="6">
        <f>$O$150*$AA$150</f>
        <v>1412488.376512269</v>
      </c>
    </row>
    <row r="151" spans="1:33" ht="11.25" customHeight="1" x14ac:dyDescent="0.25">
      <c r="A151" s="4" t="s">
        <v>21</v>
      </c>
      <c r="B151" s="4" t="s">
        <v>39</v>
      </c>
      <c r="C151" s="4" t="s">
        <v>40</v>
      </c>
      <c r="D151" s="4" t="s">
        <v>34</v>
      </c>
      <c r="E151" s="4" t="s">
        <v>25</v>
      </c>
      <c r="F151" s="4" t="s">
        <v>25</v>
      </c>
      <c r="G151" s="4" t="s">
        <v>25</v>
      </c>
      <c r="H151" s="4" t="s">
        <v>38</v>
      </c>
      <c r="I151" s="5">
        <v>44593</v>
      </c>
      <c r="J151" s="6">
        <v>0</v>
      </c>
      <c r="K151" s="6">
        <v>0</v>
      </c>
      <c r="L151" s="6">
        <v>12617.851000000001</v>
      </c>
      <c r="M151" s="6">
        <v>12617.851000000001</v>
      </c>
      <c r="N151" s="6">
        <v>12617.851000000001</v>
      </c>
      <c r="O151" s="6">
        <v>12617.851000000001</v>
      </c>
      <c r="P151" s="6">
        <v>0</v>
      </c>
      <c r="Q151" s="4" t="s">
        <v>26</v>
      </c>
      <c r="R151" s="4">
        <v>0</v>
      </c>
      <c r="S151" s="6">
        <v>0</v>
      </c>
      <c r="T151" s="6">
        <v>3</v>
      </c>
      <c r="U151" s="6">
        <v>85</v>
      </c>
      <c r="V151" s="6">
        <f>IF(ISERROR(VLOOKUP($S$151,'TAR FIN'!$A$1:$O$91,15,0)),0,VLOOKUP($S$151,'TAR FIN'!$A$1:$O$91,15,0))</f>
        <v>0</v>
      </c>
      <c r="W151" s="6">
        <f>IF(ISERROR(VLOOKUP($T$151,'TAR FIN'!$A$1:$O$91,15,0)),0,VLOOKUP($T$151,'TAR FIN'!$A$1:$O$91,15,0))</f>
        <v>90.67</v>
      </c>
      <c r="X151" s="6">
        <f>IF(ISERROR(VLOOKUP($U$151,'TAR FIN'!$A$1:$O$91,15,0)),0,VLOOKUP($U$151,'TAR FIN'!$A$1:$O$91,15,0))</f>
        <v>133.97</v>
      </c>
      <c r="Y151" s="6"/>
      <c r="Z151" s="6">
        <f ca="1">('TUSD BE'!$AM$16+'TUSD BF'!$AM$16+'TUSD CVA'!$AM$16)*1</f>
        <v>121.64342985575733</v>
      </c>
      <c r="AA151" s="6">
        <f>('TE BE'!$AB$8+'TE BF'!$AB$8+'TE CVA'!$AB$8)*1</f>
        <v>114.76529888966962</v>
      </c>
      <c r="AB151" s="6">
        <f>$K$151*$V$151</f>
        <v>0</v>
      </c>
      <c r="AC151" s="6">
        <f>$M$151*$W$151</f>
        <v>1144060.5501700002</v>
      </c>
      <c r="AD151" s="6">
        <f>$O$151*$X$151</f>
        <v>1690413.49847</v>
      </c>
      <c r="AE151" s="6">
        <f>$K$151*$Y$151</f>
        <v>0</v>
      </c>
      <c r="AF151" s="6">
        <f ca="1">$M$151*$Z$151</f>
        <v>1534878.6730488976</v>
      </c>
      <c r="AG151" s="6">
        <f>$O$151*$AA$151</f>
        <v>1448091.4413603167</v>
      </c>
    </row>
    <row r="152" spans="1:33" ht="11.25" customHeight="1" x14ac:dyDescent="0.25">
      <c r="A152" s="4" t="s">
        <v>21</v>
      </c>
      <c r="B152" s="4" t="s">
        <v>39</v>
      </c>
      <c r="C152" s="4" t="s">
        <v>40</v>
      </c>
      <c r="D152" s="4" t="s">
        <v>34</v>
      </c>
      <c r="E152" s="4" t="s">
        <v>25</v>
      </c>
      <c r="F152" s="4" t="s">
        <v>25</v>
      </c>
      <c r="G152" s="4" t="s">
        <v>25</v>
      </c>
      <c r="H152" s="4" t="s">
        <v>38</v>
      </c>
      <c r="I152" s="5">
        <v>44621</v>
      </c>
      <c r="J152" s="6">
        <v>0</v>
      </c>
      <c r="K152" s="6">
        <v>0</v>
      </c>
      <c r="L152" s="6">
        <v>14615.763000000001</v>
      </c>
      <c r="M152" s="6">
        <v>14615.763000000001</v>
      </c>
      <c r="N152" s="6">
        <v>14615.763000000001</v>
      </c>
      <c r="O152" s="6">
        <v>14615.763000000001</v>
      </c>
      <c r="P152" s="6">
        <v>0</v>
      </c>
      <c r="Q152" s="4" t="s">
        <v>26</v>
      </c>
      <c r="R152" s="4">
        <v>0</v>
      </c>
      <c r="S152" s="6">
        <v>0</v>
      </c>
      <c r="T152" s="6">
        <v>3</v>
      </c>
      <c r="U152" s="6">
        <v>85</v>
      </c>
      <c r="V152" s="6">
        <f>IF(ISERROR(VLOOKUP($S$152,'TAR FIN'!$A$1:$O$91,15,0)),0,VLOOKUP($S$152,'TAR FIN'!$A$1:$O$91,15,0))</f>
        <v>0</v>
      </c>
      <c r="W152" s="6">
        <f>IF(ISERROR(VLOOKUP($T$152,'TAR FIN'!$A$1:$O$91,15,0)),0,VLOOKUP($T$152,'TAR FIN'!$A$1:$O$91,15,0))</f>
        <v>90.67</v>
      </c>
      <c r="X152" s="6">
        <f>IF(ISERROR(VLOOKUP($U$152,'TAR FIN'!$A$1:$O$91,15,0)),0,VLOOKUP($U$152,'TAR FIN'!$A$1:$O$91,15,0))</f>
        <v>133.97</v>
      </c>
      <c r="Y152" s="6"/>
      <c r="Z152" s="6">
        <f ca="1">('TUSD BE'!$AM$16+'TUSD BF'!$AM$16+'TUSD CVA'!$AM$16)*1</f>
        <v>121.64342985575733</v>
      </c>
      <c r="AA152" s="6">
        <f>('TE BE'!$AB$8+'TE BF'!$AB$8+'TE CVA'!$AB$8)*1</f>
        <v>114.76529888966962</v>
      </c>
      <c r="AB152" s="6">
        <f>$K$152*$V$152</f>
        <v>0</v>
      </c>
      <c r="AC152" s="6">
        <f>$M$152*$W$152</f>
        <v>1325211.2312100001</v>
      </c>
      <c r="AD152" s="6">
        <f>$O$152*$X$152</f>
        <v>1958073.76911</v>
      </c>
      <c r="AE152" s="6">
        <f>$K$152*$Y$152</f>
        <v>0</v>
      </c>
      <c r="AF152" s="6">
        <f ca="1">$M$152*$Z$152</f>
        <v>1777911.5412788736</v>
      </c>
      <c r="AG152" s="6">
        <f>$O$152*$AA$152</f>
        <v>1677382.4091955745</v>
      </c>
    </row>
    <row r="153" spans="1:33" ht="11.25" customHeight="1" x14ac:dyDescent="0.25">
      <c r="A153" s="4" t="s">
        <v>21</v>
      </c>
      <c r="B153" s="4" t="s">
        <v>39</v>
      </c>
      <c r="C153" s="4" t="s">
        <v>40</v>
      </c>
      <c r="D153" s="4" t="s">
        <v>34</v>
      </c>
      <c r="E153" s="4" t="s">
        <v>25</v>
      </c>
      <c r="F153" s="4" t="s">
        <v>25</v>
      </c>
      <c r="G153" s="4" t="s">
        <v>25</v>
      </c>
      <c r="H153" s="4" t="s">
        <v>38</v>
      </c>
      <c r="I153" s="5">
        <v>44652</v>
      </c>
      <c r="J153" s="6">
        <v>0</v>
      </c>
      <c r="K153" s="6">
        <v>0</v>
      </c>
      <c r="L153" s="6">
        <v>13316.296</v>
      </c>
      <c r="M153" s="6">
        <v>13316.296</v>
      </c>
      <c r="N153" s="6">
        <v>13316.296</v>
      </c>
      <c r="O153" s="6">
        <v>13316.296</v>
      </c>
      <c r="P153" s="6">
        <v>0</v>
      </c>
      <c r="Q153" s="4" t="s">
        <v>26</v>
      </c>
      <c r="R153" s="4">
        <v>0</v>
      </c>
      <c r="S153" s="6">
        <v>0</v>
      </c>
      <c r="T153" s="6">
        <v>3</v>
      </c>
      <c r="U153" s="6">
        <v>85</v>
      </c>
      <c r="V153" s="6">
        <f>IF(ISERROR(VLOOKUP($S$153,'TAR FIN'!$A$1:$O$91,15,0)),0,VLOOKUP($S$153,'TAR FIN'!$A$1:$O$91,15,0))</f>
        <v>0</v>
      </c>
      <c r="W153" s="6">
        <f>IF(ISERROR(VLOOKUP($T$153,'TAR FIN'!$A$1:$O$91,15,0)),0,VLOOKUP($T$153,'TAR FIN'!$A$1:$O$91,15,0))</f>
        <v>90.67</v>
      </c>
      <c r="X153" s="6">
        <f>IF(ISERROR(VLOOKUP($U$153,'TAR FIN'!$A$1:$O$91,15,0)),0,VLOOKUP($U$153,'TAR FIN'!$A$1:$O$91,15,0))</f>
        <v>133.97</v>
      </c>
      <c r="Y153" s="6"/>
      <c r="Z153" s="6">
        <f ca="1">('TUSD BE'!$AM$16+'TUSD BF'!$AM$16+'TUSD CVA'!$AM$16)*1</f>
        <v>121.64342985575733</v>
      </c>
      <c r="AA153" s="6">
        <f>('TE BE'!$AB$8+'TE BF'!$AB$8+'TE CVA'!$AB$8)*1</f>
        <v>114.76529888966962</v>
      </c>
      <c r="AB153" s="6">
        <f>$K$153*$V$153</f>
        <v>0</v>
      </c>
      <c r="AC153" s="6">
        <f>$M$153*$W$153</f>
        <v>1207388.5583200001</v>
      </c>
      <c r="AD153" s="6">
        <f>$O$153*$X$153</f>
        <v>1783984.17512</v>
      </c>
      <c r="AE153" s="6">
        <f>$K$153*$Y$153</f>
        <v>0</v>
      </c>
      <c r="AF153" s="6">
        <f ca="1">$M$153*$Z$153</f>
        <v>1619839.9184145019</v>
      </c>
      <c r="AG153" s="6">
        <f>$O$153*$AA$153</f>
        <v>1528248.6905433121</v>
      </c>
    </row>
    <row r="154" spans="1:33" ht="11.25" customHeight="1" x14ac:dyDescent="0.25">
      <c r="A154" s="4" t="s">
        <v>21</v>
      </c>
      <c r="B154" s="4" t="s">
        <v>39</v>
      </c>
      <c r="C154" s="4" t="s">
        <v>40</v>
      </c>
      <c r="D154" s="4" t="s">
        <v>34</v>
      </c>
      <c r="E154" s="4" t="s">
        <v>25</v>
      </c>
      <c r="F154" s="4" t="s">
        <v>25</v>
      </c>
      <c r="G154" s="4" t="s">
        <v>25</v>
      </c>
      <c r="H154" s="4" t="s">
        <v>38</v>
      </c>
      <c r="I154" s="5">
        <v>44682</v>
      </c>
      <c r="J154" s="6">
        <v>0</v>
      </c>
      <c r="K154" s="6">
        <v>0</v>
      </c>
      <c r="L154" s="6">
        <v>13825.42</v>
      </c>
      <c r="M154" s="6">
        <v>13825.42</v>
      </c>
      <c r="N154" s="6">
        <v>13825.42</v>
      </c>
      <c r="O154" s="6">
        <v>13825.42</v>
      </c>
      <c r="P154" s="6">
        <v>0</v>
      </c>
      <c r="Q154" s="4" t="s">
        <v>26</v>
      </c>
      <c r="R154" s="4">
        <v>0</v>
      </c>
      <c r="S154" s="6">
        <v>0</v>
      </c>
      <c r="T154" s="6">
        <v>3</v>
      </c>
      <c r="U154" s="6">
        <v>85</v>
      </c>
      <c r="V154" s="6">
        <f>IF(ISERROR(VLOOKUP($S$154,'TAR FIN'!$A$1:$O$91,15,0)),0,VLOOKUP($S$154,'TAR FIN'!$A$1:$O$91,15,0))</f>
        <v>0</v>
      </c>
      <c r="W154" s="6">
        <f>IF(ISERROR(VLOOKUP($T$154,'TAR FIN'!$A$1:$O$91,15,0)),0,VLOOKUP($T$154,'TAR FIN'!$A$1:$O$91,15,0))</f>
        <v>90.67</v>
      </c>
      <c r="X154" s="6">
        <f>IF(ISERROR(VLOOKUP($U$154,'TAR FIN'!$A$1:$O$91,15,0)),0,VLOOKUP($U$154,'TAR FIN'!$A$1:$O$91,15,0))</f>
        <v>133.97</v>
      </c>
      <c r="Y154" s="6"/>
      <c r="Z154" s="6">
        <f ca="1">('TUSD BE'!$AM$16+'TUSD BF'!$AM$16+'TUSD CVA'!$AM$16)*1</f>
        <v>121.64342985575733</v>
      </c>
      <c r="AA154" s="6">
        <f>('TE BE'!$AB$8+'TE BF'!$AB$8+'TE CVA'!$AB$8)*1</f>
        <v>114.76529888966962</v>
      </c>
      <c r="AB154" s="6">
        <f>$K$154*$V$154</f>
        <v>0</v>
      </c>
      <c r="AC154" s="6">
        <f>$M$154*$W$154</f>
        <v>1253550.8314</v>
      </c>
      <c r="AD154" s="6">
        <f>$O$154*$X$154</f>
        <v>1852191.5174</v>
      </c>
      <c r="AE154" s="6">
        <f>$K$154*$Y$154</f>
        <v>0</v>
      </c>
      <c r="AF154" s="6">
        <f ca="1">$M$154*$Z$154</f>
        <v>1681771.5079963845</v>
      </c>
      <c r="AG154" s="6">
        <f>$O$154*$AA$154</f>
        <v>1586678.4585752161</v>
      </c>
    </row>
    <row r="155" spans="1:33" ht="11.25" customHeight="1" x14ac:dyDescent="0.25">
      <c r="A155" s="4" t="s">
        <v>21</v>
      </c>
      <c r="B155" s="4" t="s">
        <v>39</v>
      </c>
      <c r="C155" s="4" t="s">
        <v>40</v>
      </c>
      <c r="D155" s="4" t="s">
        <v>34</v>
      </c>
      <c r="E155" s="4" t="s">
        <v>25</v>
      </c>
      <c r="F155" s="4" t="s">
        <v>25</v>
      </c>
      <c r="G155" s="4" t="s">
        <v>25</v>
      </c>
      <c r="H155" s="4" t="s">
        <v>38</v>
      </c>
      <c r="I155" s="5">
        <v>44713</v>
      </c>
      <c r="J155" s="6">
        <v>0</v>
      </c>
      <c r="K155" s="6">
        <v>0</v>
      </c>
      <c r="L155" s="6">
        <v>12988.965</v>
      </c>
      <c r="M155" s="6">
        <v>12988.965</v>
      </c>
      <c r="N155" s="6">
        <v>12988.965</v>
      </c>
      <c r="O155" s="6">
        <v>12988.965</v>
      </c>
      <c r="P155" s="6">
        <v>0</v>
      </c>
      <c r="Q155" s="4" t="s">
        <v>26</v>
      </c>
      <c r="R155" s="4">
        <v>0</v>
      </c>
      <c r="S155" s="6">
        <v>0</v>
      </c>
      <c r="T155" s="6">
        <v>3</v>
      </c>
      <c r="U155" s="6">
        <v>85</v>
      </c>
      <c r="V155" s="6">
        <f>IF(ISERROR(VLOOKUP($S$155,'TAR FIN'!$A$1:$O$91,15,0)),0,VLOOKUP($S$155,'TAR FIN'!$A$1:$O$91,15,0))</f>
        <v>0</v>
      </c>
      <c r="W155" s="6">
        <f>IF(ISERROR(VLOOKUP($T$155,'TAR FIN'!$A$1:$O$91,15,0)),0,VLOOKUP($T$155,'TAR FIN'!$A$1:$O$91,15,0))</f>
        <v>90.67</v>
      </c>
      <c r="X155" s="6">
        <f>IF(ISERROR(VLOOKUP($U$155,'TAR FIN'!$A$1:$O$91,15,0)),0,VLOOKUP($U$155,'TAR FIN'!$A$1:$O$91,15,0))</f>
        <v>133.97</v>
      </c>
      <c r="Y155" s="6"/>
      <c r="Z155" s="6">
        <f ca="1">('TUSD BE'!$AM$16+'TUSD BF'!$AM$16+'TUSD CVA'!$AM$16)*1</f>
        <v>121.64342985575733</v>
      </c>
      <c r="AA155" s="6">
        <f>('TE BE'!$AB$8+'TE BF'!$AB$8+'TE CVA'!$AB$8)*1</f>
        <v>114.76529888966962</v>
      </c>
      <c r="AB155" s="6">
        <f>$K$155*$V$155</f>
        <v>0</v>
      </c>
      <c r="AC155" s="6">
        <f>$M$155*$W$155</f>
        <v>1177709.45655</v>
      </c>
      <c r="AD155" s="6">
        <f>$O$155*$X$155</f>
        <v>1740131.64105</v>
      </c>
      <c r="AE155" s="6">
        <f>$K$155*$Y$155</f>
        <v>0</v>
      </c>
      <c r="AF155" s="6">
        <f ca="1">$M$155*$Z$155</f>
        <v>1580022.252876387</v>
      </c>
      <c r="AG155" s="6">
        <f>$O$155*$AA$155</f>
        <v>1490682.4504924577</v>
      </c>
    </row>
    <row r="156" spans="1:33" ht="11.25" customHeight="1" x14ac:dyDescent="0.25">
      <c r="A156" s="4" t="s">
        <v>21</v>
      </c>
      <c r="B156" s="4" t="s">
        <v>39</v>
      </c>
      <c r="C156" s="4" t="s">
        <v>40</v>
      </c>
      <c r="D156" s="4" t="s">
        <v>34</v>
      </c>
      <c r="E156" s="4" t="s">
        <v>25</v>
      </c>
      <c r="F156" s="4" t="s">
        <v>25</v>
      </c>
      <c r="G156" s="4" t="s">
        <v>25</v>
      </c>
      <c r="H156" s="4" t="s">
        <v>38</v>
      </c>
      <c r="I156" s="5">
        <v>44743</v>
      </c>
      <c r="J156" s="6">
        <v>0</v>
      </c>
      <c r="K156" s="6">
        <v>0</v>
      </c>
      <c r="L156" s="6">
        <v>12817.423000000001</v>
      </c>
      <c r="M156" s="6">
        <v>12817.423000000001</v>
      </c>
      <c r="N156" s="6">
        <v>12817.423000000001</v>
      </c>
      <c r="O156" s="6">
        <v>12817.423000000001</v>
      </c>
      <c r="P156" s="6">
        <v>0</v>
      </c>
      <c r="Q156" s="4" t="s">
        <v>26</v>
      </c>
      <c r="R156" s="4">
        <v>0</v>
      </c>
      <c r="S156" s="6">
        <v>0</v>
      </c>
      <c r="T156" s="6">
        <v>3</v>
      </c>
      <c r="U156" s="6">
        <v>85</v>
      </c>
      <c r="V156" s="6">
        <f>IF(ISERROR(VLOOKUP($S$156,'TAR FIN'!$A$1:$O$91,15,0)),0,VLOOKUP($S$156,'TAR FIN'!$A$1:$O$91,15,0))</f>
        <v>0</v>
      </c>
      <c r="W156" s="6">
        <f>IF(ISERROR(VLOOKUP($T$156,'TAR FIN'!$A$1:$O$91,15,0)),0,VLOOKUP($T$156,'TAR FIN'!$A$1:$O$91,15,0))</f>
        <v>90.67</v>
      </c>
      <c r="X156" s="6">
        <f>IF(ISERROR(VLOOKUP($U$156,'TAR FIN'!$A$1:$O$91,15,0)),0,VLOOKUP($U$156,'TAR FIN'!$A$1:$O$91,15,0))</f>
        <v>133.97</v>
      </c>
      <c r="Y156" s="6"/>
      <c r="Z156" s="6">
        <f ca="1">('TUSD BE'!$AM$16+'TUSD BF'!$AM$16+'TUSD CVA'!$AM$16)*1</f>
        <v>121.64342985575733</v>
      </c>
      <c r="AA156" s="6">
        <f>('TE BE'!$AB$8+'TE BF'!$AB$8+'TE CVA'!$AB$8)*1</f>
        <v>114.76529888966962</v>
      </c>
      <c r="AB156" s="6">
        <f>$K$156*$V$156</f>
        <v>0</v>
      </c>
      <c r="AC156" s="6">
        <f>$M$156*$W$156</f>
        <v>1162155.7434100001</v>
      </c>
      <c r="AD156" s="6">
        <f>$O$156*$X$156</f>
        <v>1717150.15931</v>
      </c>
      <c r="AE156" s="6">
        <f>$K$156*$Y$156</f>
        <v>0</v>
      </c>
      <c r="AF156" s="6">
        <f ca="1">$M$156*$Z$156</f>
        <v>1559155.2956320709</v>
      </c>
      <c r="AG156" s="6">
        <f>$O$156*$AA$156</f>
        <v>1470995.3815903259</v>
      </c>
    </row>
    <row r="157" spans="1:33" ht="11.25" customHeight="1" x14ac:dyDescent="0.25">
      <c r="A157" s="4" t="s">
        <v>57</v>
      </c>
      <c r="B157" s="4" t="s">
        <v>39</v>
      </c>
      <c r="C157" s="4" t="s">
        <v>40</v>
      </c>
      <c r="D157" s="4" t="s">
        <v>34</v>
      </c>
      <c r="E157" s="4" t="s">
        <v>25</v>
      </c>
      <c r="F157" s="4" t="s">
        <v>25</v>
      </c>
      <c r="G157" s="4" t="s">
        <v>25</v>
      </c>
      <c r="H157" s="4" t="s">
        <v>38</v>
      </c>
      <c r="I157" s="5">
        <v>44774</v>
      </c>
      <c r="J157" s="6">
        <v>0</v>
      </c>
      <c r="K157" s="6">
        <v>0</v>
      </c>
      <c r="L157" s="6">
        <v>12817.423000000001</v>
      </c>
      <c r="M157" s="6">
        <v>12817.423000000001</v>
      </c>
      <c r="N157" s="6">
        <v>12817.423000000001</v>
      </c>
      <c r="O157" s="6">
        <v>12817.423000000001</v>
      </c>
      <c r="P157" s="6">
        <v>0</v>
      </c>
      <c r="Q157" s="4" t="s">
        <v>26</v>
      </c>
      <c r="R157" s="4">
        <v>0</v>
      </c>
      <c r="S157" s="6">
        <v>0</v>
      </c>
      <c r="T157" s="6">
        <v>3</v>
      </c>
      <c r="U157" s="6">
        <v>85</v>
      </c>
      <c r="V157" s="6">
        <f>IF(ISERROR(VLOOKUP($S$157,'TAR FIN'!$A$1:$O$91,15,0)),0,VLOOKUP($S$157,'TAR FIN'!$A$1:$O$91,15,0))</f>
        <v>0</v>
      </c>
      <c r="W157" s="6">
        <f>IF(ISERROR(VLOOKUP($T$157,'TAR FIN'!$A$1:$O$91,15,0)),0,VLOOKUP($T$157,'TAR FIN'!$A$1:$O$91,15,0))</f>
        <v>90.67</v>
      </c>
      <c r="X157" s="6">
        <f>IF(ISERROR(VLOOKUP($U$157,'TAR FIN'!$A$1:$O$91,15,0)),0,VLOOKUP($U$157,'TAR FIN'!$A$1:$O$91,15,0))</f>
        <v>133.97</v>
      </c>
      <c r="Y157" s="6"/>
      <c r="Z157" s="6">
        <f ca="1">('TUSD BE'!$AM$16+'TUSD BF'!$AM$16+'TUSD CVA'!$AM$16)*1</f>
        <v>121.64342985575733</v>
      </c>
      <c r="AA157" s="6">
        <f>('TE BE'!$AB$8+'TE BF'!$AB$8+'TE CVA'!$AB$8)*1</f>
        <v>114.76529888966962</v>
      </c>
      <c r="AB157" s="6">
        <f>$K$157*$V$157</f>
        <v>0</v>
      </c>
      <c r="AC157" s="6">
        <f>$M$157*$W$157</f>
        <v>1162155.7434100001</v>
      </c>
      <c r="AD157" s="6">
        <f>$O$157*$X$157</f>
        <v>1717150.15931</v>
      </c>
      <c r="AE157" s="6">
        <f>$K$157*$Y$157</f>
        <v>0</v>
      </c>
      <c r="AF157" s="6">
        <f ca="1">$M$157*$Z$157</f>
        <v>1559155.2956320709</v>
      </c>
      <c r="AG157" s="6">
        <f>$O$157*$AA$157</f>
        <v>1470995.3815903259</v>
      </c>
    </row>
    <row r="158" spans="1:33" ht="11.25" customHeight="1" x14ac:dyDescent="0.25">
      <c r="A158" s="4" t="s">
        <v>21</v>
      </c>
      <c r="B158" s="4" t="s">
        <v>39</v>
      </c>
      <c r="C158" s="4" t="s">
        <v>40</v>
      </c>
      <c r="D158" s="4" t="s">
        <v>34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44440</v>
      </c>
      <c r="J158" s="6">
        <v>49987</v>
      </c>
      <c r="K158" s="6">
        <v>49987</v>
      </c>
      <c r="L158" s="6">
        <v>0</v>
      </c>
      <c r="M158" s="6">
        <v>0</v>
      </c>
      <c r="N158" s="6">
        <v>0</v>
      </c>
      <c r="O158" s="6">
        <v>0</v>
      </c>
      <c r="P158" s="6">
        <v>97</v>
      </c>
      <c r="Q158" s="4" t="s">
        <v>26</v>
      </c>
      <c r="R158" s="4">
        <v>0</v>
      </c>
      <c r="S158" s="6">
        <v>28</v>
      </c>
      <c r="T158" s="6">
        <v>0</v>
      </c>
      <c r="U158" s="6">
        <v>0</v>
      </c>
      <c r="V158" s="6">
        <f>IF(ISERROR(VLOOKUP($S$158,'TAR FIN'!$A$1:$O$91,15,0)),0,VLOOKUP($S$158,'TAR FIN'!$A$1:$O$91,15,0))</f>
        <v>14.45</v>
      </c>
      <c r="W158" s="6">
        <f>IF(ISERROR(VLOOKUP($T$158,'TAR FIN'!$A$1:$O$91,15,0)),0,VLOOKUP($T$158,'TAR FIN'!$A$1:$O$91,15,0))</f>
        <v>0</v>
      </c>
      <c r="X158" s="6">
        <f>IF(ISERROR(VLOOKUP($U$158,'TAR FIN'!$A$1:$O$91,15,0)),0,VLOOKUP($U$158,'TAR FIN'!$A$1:$O$91,15,0))</f>
        <v>0</v>
      </c>
      <c r="Y158" s="6">
        <f ca="1">('TUSD BE'!$AM$14+'TUSD BF'!$AM$14+'TUSD CVA'!$AM$14)*1</f>
        <v>18.372313529244348</v>
      </c>
      <c r="Z158" s="6"/>
      <c r="AA158" s="6"/>
      <c r="AB158" s="6">
        <f>$K$158*$V$158</f>
        <v>722312.14999999991</v>
      </c>
      <c r="AC158" s="6">
        <f>$M$158*$W$158</f>
        <v>0</v>
      </c>
      <c r="AD158" s="6">
        <f>$O$158*$X$158</f>
        <v>0</v>
      </c>
      <c r="AE158" s="6">
        <f ca="1">$K$158*$Y$158</f>
        <v>918376.83638633718</v>
      </c>
      <c r="AF158" s="6">
        <f>$M$158*$Z$158</f>
        <v>0</v>
      </c>
      <c r="AG158" s="6">
        <f>$O$158*$AA$158</f>
        <v>0</v>
      </c>
    </row>
    <row r="159" spans="1:33" ht="11.25" customHeight="1" x14ac:dyDescent="0.25">
      <c r="A159" s="4" t="s">
        <v>21</v>
      </c>
      <c r="B159" s="4" t="s">
        <v>39</v>
      </c>
      <c r="C159" s="4" t="s">
        <v>40</v>
      </c>
      <c r="D159" s="4" t="s">
        <v>34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44470</v>
      </c>
      <c r="J159" s="6">
        <v>50387</v>
      </c>
      <c r="K159" s="6">
        <v>50387</v>
      </c>
      <c r="L159" s="6">
        <v>0</v>
      </c>
      <c r="M159" s="6">
        <v>0</v>
      </c>
      <c r="N159" s="6">
        <v>0</v>
      </c>
      <c r="O159" s="6">
        <v>0</v>
      </c>
      <c r="P159" s="6">
        <v>98</v>
      </c>
      <c r="Q159" s="4" t="s">
        <v>26</v>
      </c>
      <c r="R159" s="4">
        <v>0</v>
      </c>
      <c r="S159" s="6">
        <v>28</v>
      </c>
      <c r="T159" s="6">
        <v>0</v>
      </c>
      <c r="U159" s="6">
        <v>0</v>
      </c>
      <c r="V159" s="6">
        <f>IF(ISERROR(VLOOKUP($S$159,'TAR FIN'!$A$1:$O$91,15,0)),0,VLOOKUP($S$159,'TAR FIN'!$A$1:$O$91,15,0))</f>
        <v>14.45</v>
      </c>
      <c r="W159" s="6">
        <f>IF(ISERROR(VLOOKUP($T$159,'TAR FIN'!$A$1:$O$91,15,0)),0,VLOOKUP($T$159,'TAR FIN'!$A$1:$O$91,15,0))</f>
        <v>0</v>
      </c>
      <c r="X159" s="6">
        <f>IF(ISERROR(VLOOKUP($U$159,'TAR FIN'!$A$1:$O$91,15,0)),0,VLOOKUP($U$159,'TAR FIN'!$A$1:$O$91,15,0))</f>
        <v>0</v>
      </c>
      <c r="Y159" s="6">
        <f ca="1">('TUSD BE'!$AM$14+'TUSD BF'!$AM$14+'TUSD CVA'!$AM$14)*1</f>
        <v>18.372313529244348</v>
      </c>
      <c r="Z159" s="6"/>
      <c r="AA159" s="6"/>
      <c r="AB159" s="6">
        <f>$K$159*$V$159</f>
        <v>728092.14999999991</v>
      </c>
      <c r="AC159" s="6">
        <f>$M$159*$W$159</f>
        <v>0</v>
      </c>
      <c r="AD159" s="6">
        <f>$O$159*$X$159</f>
        <v>0</v>
      </c>
      <c r="AE159" s="6">
        <f ca="1">$K$159*$Y$159</f>
        <v>925725.761798035</v>
      </c>
      <c r="AF159" s="6">
        <f>$M$159*$Z$159</f>
        <v>0</v>
      </c>
      <c r="AG159" s="6">
        <f>$O$159*$AA$159</f>
        <v>0</v>
      </c>
    </row>
    <row r="160" spans="1:33" ht="11.25" customHeight="1" x14ac:dyDescent="0.25">
      <c r="A160" s="4" t="s">
        <v>21</v>
      </c>
      <c r="B160" s="4" t="s">
        <v>39</v>
      </c>
      <c r="C160" s="4" t="s">
        <v>40</v>
      </c>
      <c r="D160" s="4" t="s">
        <v>34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44501</v>
      </c>
      <c r="J160" s="6">
        <v>49779</v>
      </c>
      <c r="K160" s="6">
        <v>49779</v>
      </c>
      <c r="L160" s="6">
        <v>0</v>
      </c>
      <c r="M160" s="6">
        <v>0</v>
      </c>
      <c r="N160" s="6">
        <v>0</v>
      </c>
      <c r="O160" s="6">
        <v>0</v>
      </c>
      <c r="P160" s="6">
        <v>98</v>
      </c>
      <c r="Q160" s="4" t="s">
        <v>26</v>
      </c>
      <c r="R160" s="4">
        <v>0</v>
      </c>
      <c r="S160" s="6">
        <v>28</v>
      </c>
      <c r="T160" s="6">
        <v>0</v>
      </c>
      <c r="U160" s="6">
        <v>0</v>
      </c>
      <c r="V160" s="6">
        <f>IF(ISERROR(VLOOKUP($S$160,'TAR FIN'!$A$1:$O$91,15,0)),0,VLOOKUP($S$160,'TAR FIN'!$A$1:$O$91,15,0))</f>
        <v>14.45</v>
      </c>
      <c r="W160" s="6">
        <f>IF(ISERROR(VLOOKUP($T$160,'TAR FIN'!$A$1:$O$91,15,0)),0,VLOOKUP($T$160,'TAR FIN'!$A$1:$O$91,15,0))</f>
        <v>0</v>
      </c>
      <c r="X160" s="6">
        <f>IF(ISERROR(VLOOKUP($U$160,'TAR FIN'!$A$1:$O$91,15,0)),0,VLOOKUP($U$160,'TAR FIN'!$A$1:$O$91,15,0))</f>
        <v>0</v>
      </c>
      <c r="Y160" s="6">
        <f ca="1">('TUSD BE'!$AM$14+'TUSD BF'!$AM$14+'TUSD CVA'!$AM$14)*1</f>
        <v>18.372313529244348</v>
      </c>
      <c r="Z160" s="6"/>
      <c r="AA160" s="6"/>
      <c r="AB160" s="6">
        <f>$K$160*$V$160</f>
        <v>719306.54999999993</v>
      </c>
      <c r="AC160" s="6">
        <f>$M$160*$W$160</f>
        <v>0</v>
      </c>
      <c r="AD160" s="6">
        <f>$O$160*$X$160</f>
        <v>0</v>
      </c>
      <c r="AE160" s="6">
        <f ca="1">$K$160*$Y$160</f>
        <v>914555.39517225442</v>
      </c>
      <c r="AF160" s="6">
        <f>$M$160*$Z$160</f>
        <v>0</v>
      </c>
      <c r="AG160" s="6">
        <f>$O$160*$AA$160</f>
        <v>0</v>
      </c>
    </row>
    <row r="161" spans="1:33" ht="11.25" customHeight="1" x14ac:dyDescent="0.25">
      <c r="A161" s="4" t="s">
        <v>21</v>
      </c>
      <c r="B161" s="4" t="s">
        <v>39</v>
      </c>
      <c r="C161" s="4" t="s">
        <v>40</v>
      </c>
      <c r="D161" s="4" t="s">
        <v>34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44531</v>
      </c>
      <c r="J161" s="6">
        <v>49875</v>
      </c>
      <c r="K161" s="6">
        <v>49875</v>
      </c>
      <c r="L161" s="6">
        <v>0</v>
      </c>
      <c r="M161" s="6">
        <v>0</v>
      </c>
      <c r="N161" s="6">
        <v>0</v>
      </c>
      <c r="O161" s="6">
        <v>0</v>
      </c>
      <c r="P161" s="6">
        <v>99</v>
      </c>
      <c r="Q161" s="4" t="s">
        <v>26</v>
      </c>
      <c r="R161" s="4">
        <v>0</v>
      </c>
      <c r="S161" s="6">
        <v>28</v>
      </c>
      <c r="T161" s="6">
        <v>0</v>
      </c>
      <c r="U161" s="6">
        <v>0</v>
      </c>
      <c r="V161" s="6">
        <f>IF(ISERROR(VLOOKUP($S$161,'TAR FIN'!$A$1:$O$91,15,0)),0,VLOOKUP($S$161,'TAR FIN'!$A$1:$O$91,15,0))</f>
        <v>14.45</v>
      </c>
      <c r="W161" s="6">
        <f>IF(ISERROR(VLOOKUP($T$161,'TAR FIN'!$A$1:$O$91,15,0)),0,VLOOKUP($T$161,'TAR FIN'!$A$1:$O$91,15,0))</f>
        <v>0</v>
      </c>
      <c r="X161" s="6">
        <f>IF(ISERROR(VLOOKUP($U$161,'TAR FIN'!$A$1:$O$91,15,0)),0,VLOOKUP($U$161,'TAR FIN'!$A$1:$O$91,15,0))</f>
        <v>0</v>
      </c>
      <c r="Y161" s="6">
        <f ca="1">('TUSD BE'!$AM$14+'TUSD BF'!$AM$14+'TUSD CVA'!$AM$14)*1</f>
        <v>18.372313529244348</v>
      </c>
      <c r="Z161" s="6"/>
      <c r="AA161" s="6"/>
      <c r="AB161" s="6">
        <f>$K$161*$V$161</f>
        <v>720693.75</v>
      </c>
      <c r="AC161" s="6">
        <f>$M$161*$W$161</f>
        <v>0</v>
      </c>
      <c r="AD161" s="6">
        <f>$O$161*$X$161</f>
        <v>0</v>
      </c>
      <c r="AE161" s="6">
        <f ca="1">$K$161*$Y$161</f>
        <v>916319.13727106189</v>
      </c>
      <c r="AF161" s="6">
        <f>$M$161*$Z$161</f>
        <v>0</v>
      </c>
      <c r="AG161" s="6">
        <f>$O$161*$AA$161</f>
        <v>0</v>
      </c>
    </row>
    <row r="162" spans="1:33" ht="11.25" customHeight="1" x14ac:dyDescent="0.25">
      <c r="A162" s="4" t="s">
        <v>21</v>
      </c>
      <c r="B162" s="4" t="s">
        <v>39</v>
      </c>
      <c r="C162" s="4" t="s">
        <v>40</v>
      </c>
      <c r="D162" s="4" t="s">
        <v>34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44562</v>
      </c>
      <c r="J162" s="6">
        <v>49908</v>
      </c>
      <c r="K162" s="6">
        <v>49908</v>
      </c>
      <c r="L162" s="6">
        <v>0</v>
      </c>
      <c r="M162" s="6">
        <v>0</v>
      </c>
      <c r="N162" s="6">
        <v>0</v>
      </c>
      <c r="O162" s="6">
        <v>0</v>
      </c>
      <c r="P162" s="6">
        <v>98</v>
      </c>
      <c r="Q162" s="4" t="s">
        <v>26</v>
      </c>
      <c r="R162" s="4">
        <v>0</v>
      </c>
      <c r="S162" s="6">
        <v>28</v>
      </c>
      <c r="T162" s="6">
        <v>0</v>
      </c>
      <c r="U162" s="6">
        <v>0</v>
      </c>
      <c r="V162" s="6">
        <f>IF(ISERROR(VLOOKUP($S$162,'TAR FIN'!$A$1:$O$91,15,0)),0,VLOOKUP($S$162,'TAR FIN'!$A$1:$O$91,15,0))</f>
        <v>14.45</v>
      </c>
      <c r="W162" s="6">
        <f>IF(ISERROR(VLOOKUP($T$162,'TAR FIN'!$A$1:$O$91,15,0)),0,VLOOKUP($T$162,'TAR FIN'!$A$1:$O$91,15,0))</f>
        <v>0</v>
      </c>
      <c r="X162" s="6">
        <f>IF(ISERROR(VLOOKUP($U$162,'TAR FIN'!$A$1:$O$91,15,0)),0,VLOOKUP($U$162,'TAR FIN'!$A$1:$O$91,15,0))</f>
        <v>0</v>
      </c>
      <c r="Y162" s="6">
        <f ca="1">('TUSD BE'!$AM$14+'TUSD BF'!$AM$14+'TUSD CVA'!$AM$14)*1</f>
        <v>18.372313529244348</v>
      </c>
      <c r="Z162" s="6"/>
      <c r="AA162" s="6"/>
      <c r="AB162" s="6">
        <f>$K$162*$V$162</f>
        <v>721170.6</v>
      </c>
      <c r="AC162" s="6">
        <f>$M$162*$W$162</f>
        <v>0</v>
      </c>
      <c r="AD162" s="6">
        <f>$O$162*$X$162</f>
        <v>0</v>
      </c>
      <c r="AE162" s="6">
        <f ca="1">$K$162*$Y$162</f>
        <v>916925.42361752689</v>
      </c>
      <c r="AF162" s="6">
        <f>$M$162*$Z$162</f>
        <v>0</v>
      </c>
      <c r="AG162" s="6">
        <f>$O$162*$AA$162</f>
        <v>0</v>
      </c>
    </row>
    <row r="163" spans="1:33" ht="11.25" customHeight="1" x14ac:dyDescent="0.25">
      <c r="A163" s="4" t="s">
        <v>21</v>
      </c>
      <c r="B163" s="4" t="s">
        <v>39</v>
      </c>
      <c r="C163" s="4" t="s">
        <v>40</v>
      </c>
      <c r="D163" s="4" t="s">
        <v>34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44593</v>
      </c>
      <c r="J163" s="6">
        <v>50952</v>
      </c>
      <c r="K163" s="6">
        <v>50952</v>
      </c>
      <c r="L163" s="6">
        <v>0</v>
      </c>
      <c r="M163" s="6">
        <v>0</v>
      </c>
      <c r="N163" s="6">
        <v>0</v>
      </c>
      <c r="O163" s="6">
        <v>0</v>
      </c>
      <c r="P163" s="6">
        <v>98</v>
      </c>
      <c r="Q163" s="4" t="s">
        <v>26</v>
      </c>
      <c r="R163" s="4">
        <v>0</v>
      </c>
      <c r="S163" s="6">
        <v>28</v>
      </c>
      <c r="T163" s="6">
        <v>0</v>
      </c>
      <c r="U163" s="6">
        <v>0</v>
      </c>
      <c r="V163" s="6">
        <f>IF(ISERROR(VLOOKUP($S$163,'TAR FIN'!$A$1:$O$91,15,0)),0,VLOOKUP($S$163,'TAR FIN'!$A$1:$O$91,15,0))</f>
        <v>14.45</v>
      </c>
      <c r="W163" s="6">
        <f>IF(ISERROR(VLOOKUP($T$163,'TAR FIN'!$A$1:$O$91,15,0)),0,VLOOKUP($T$163,'TAR FIN'!$A$1:$O$91,15,0))</f>
        <v>0</v>
      </c>
      <c r="X163" s="6">
        <f>IF(ISERROR(VLOOKUP($U$163,'TAR FIN'!$A$1:$O$91,15,0)),0,VLOOKUP($U$163,'TAR FIN'!$A$1:$O$91,15,0))</f>
        <v>0</v>
      </c>
      <c r="Y163" s="6">
        <f ca="1">('TUSD BE'!$AM$14+'TUSD BF'!$AM$14+'TUSD CVA'!$AM$14)*1</f>
        <v>18.372313529244348</v>
      </c>
      <c r="Z163" s="6"/>
      <c r="AA163" s="6"/>
      <c r="AB163" s="6">
        <f>$K$163*$V$163</f>
        <v>736256.39999999991</v>
      </c>
      <c r="AC163" s="6">
        <f>$M$163*$W$163</f>
        <v>0</v>
      </c>
      <c r="AD163" s="6">
        <f>$O$163*$X$163</f>
        <v>0</v>
      </c>
      <c r="AE163" s="6">
        <f ca="1">$K$163*$Y$163</f>
        <v>936106.11894205806</v>
      </c>
      <c r="AF163" s="6">
        <f>$M$163*$Z$163</f>
        <v>0</v>
      </c>
      <c r="AG163" s="6">
        <f>$O$163*$AA$163</f>
        <v>0</v>
      </c>
    </row>
    <row r="164" spans="1:33" ht="11.25" customHeight="1" x14ac:dyDescent="0.25">
      <c r="A164" s="4" t="s">
        <v>21</v>
      </c>
      <c r="B164" s="4" t="s">
        <v>39</v>
      </c>
      <c r="C164" s="4" t="s">
        <v>40</v>
      </c>
      <c r="D164" s="4" t="s">
        <v>34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44621</v>
      </c>
      <c r="J164" s="6">
        <v>51344</v>
      </c>
      <c r="K164" s="6">
        <v>51344</v>
      </c>
      <c r="L164" s="6">
        <v>0</v>
      </c>
      <c r="M164" s="6">
        <v>0</v>
      </c>
      <c r="N164" s="6">
        <v>0</v>
      </c>
      <c r="O164" s="6">
        <v>0</v>
      </c>
      <c r="P164" s="6">
        <v>98</v>
      </c>
      <c r="Q164" s="4" t="s">
        <v>26</v>
      </c>
      <c r="R164" s="4">
        <v>0</v>
      </c>
      <c r="S164" s="6">
        <v>28</v>
      </c>
      <c r="T164" s="6">
        <v>0</v>
      </c>
      <c r="U164" s="6">
        <v>0</v>
      </c>
      <c r="V164" s="6">
        <f>IF(ISERROR(VLOOKUP($S$164,'TAR FIN'!$A$1:$O$91,15,0)),0,VLOOKUP($S$164,'TAR FIN'!$A$1:$O$91,15,0))</f>
        <v>14.45</v>
      </c>
      <c r="W164" s="6">
        <f>IF(ISERROR(VLOOKUP($T$164,'TAR FIN'!$A$1:$O$91,15,0)),0,VLOOKUP($T$164,'TAR FIN'!$A$1:$O$91,15,0))</f>
        <v>0</v>
      </c>
      <c r="X164" s="6">
        <f>IF(ISERROR(VLOOKUP($U$164,'TAR FIN'!$A$1:$O$91,15,0)),0,VLOOKUP($U$164,'TAR FIN'!$A$1:$O$91,15,0))</f>
        <v>0</v>
      </c>
      <c r="Y164" s="6">
        <f ca="1">('TUSD BE'!$AM$14+'TUSD BF'!$AM$14+'TUSD CVA'!$AM$14)*1</f>
        <v>18.372313529244348</v>
      </c>
      <c r="Z164" s="6"/>
      <c r="AA164" s="6"/>
      <c r="AB164" s="6">
        <f>$K$164*$V$164</f>
        <v>741920.79999999993</v>
      </c>
      <c r="AC164" s="6">
        <f>$M$164*$W$164</f>
        <v>0</v>
      </c>
      <c r="AD164" s="6">
        <f>$O$164*$X$164</f>
        <v>0</v>
      </c>
      <c r="AE164" s="6">
        <f ca="1">$K$164*$Y$164</f>
        <v>943308.06584552175</v>
      </c>
      <c r="AF164" s="6">
        <f>$M$164*$Z$164</f>
        <v>0</v>
      </c>
      <c r="AG164" s="6">
        <f>$O$164*$AA$164</f>
        <v>0</v>
      </c>
    </row>
    <row r="165" spans="1:33" ht="11.25" customHeight="1" x14ac:dyDescent="0.25">
      <c r="A165" s="4" t="s">
        <v>21</v>
      </c>
      <c r="B165" s="4" t="s">
        <v>39</v>
      </c>
      <c r="C165" s="4" t="s">
        <v>40</v>
      </c>
      <c r="D165" s="4" t="s">
        <v>34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44652</v>
      </c>
      <c r="J165" s="6">
        <v>51137</v>
      </c>
      <c r="K165" s="6">
        <v>51137</v>
      </c>
      <c r="L165" s="6">
        <v>0</v>
      </c>
      <c r="M165" s="6">
        <v>0</v>
      </c>
      <c r="N165" s="6">
        <v>0</v>
      </c>
      <c r="O165" s="6">
        <v>0</v>
      </c>
      <c r="P165" s="6">
        <v>98</v>
      </c>
      <c r="Q165" s="4" t="s">
        <v>26</v>
      </c>
      <c r="R165" s="4">
        <v>0</v>
      </c>
      <c r="S165" s="6">
        <v>28</v>
      </c>
      <c r="T165" s="6">
        <v>0</v>
      </c>
      <c r="U165" s="6">
        <v>0</v>
      </c>
      <c r="V165" s="6">
        <f>IF(ISERROR(VLOOKUP($S$165,'TAR FIN'!$A$1:$O$91,15,0)),0,VLOOKUP($S$165,'TAR FIN'!$A$1:$O$91,15,0))</f>
        <v>14.45</v>
      </c>
      <c r="W165" s="6">
        <f>IF(ISERROR(VLOOKUP($T$165,'TAR FIN'!$A$1:$O$91,15,0)),0,VLOOKUP($T$165,'TAR FIN'!$A$1:$O$91,15,0))</f>
        <v>0</v>
      </c>
      <c r="X165" s="6">
        <f>IF(ISERROR(VLOOKUP($U$165,'TAR FIN'!$A$1:$O$91,15,0)),0,VLOOKUP($U$165,'TAR FIN'!$A$1:$O$91,15,0))</f>
        <v>0</v>
      </c>
      <c r="Y165" s="6">
        <f ca="1">('TUSD BE'!$AM$14+'TUSD BF'!$AM$14+'TUSD CVA'!$AM$14)*1</f>
        <v>18.372313529244348</v>
      </c>
      <c r="Z165" s="6"/>
      <c r="AA165" s="6"/>
      <c r="AB165" s="6">
        <f>$K$165*$V$165</f>
        <v>738929.64999999991</v>
      </c>
      <c r="AC165" s="6">
        <f>$M$165*$W$165</f>
        <v>0</v>
      </c>
      <c r="AD165" s="6">
        <f>$O$165*$X$165</f>
        <v>0</v>
      </c>
      <c r="AE165" s="6">
        <f ca="1">$K$165*$Y$165</f>
        <v>939504.99694496824</v>
      </c>
      <c r="AF165" s="6">
        <f>$M$165*$Z$165</f>
        <v>0</v>
      </c>
      <c r="AG165" s="6">
        <f>$O$165*$AA$165</f>
        <v>0</v>
      </c>
    </row>
    <row r="166" spans="1:33" ht="11.25" customHeight="1" x14ac:dyDescent="0.25">
      <c r="A166" s="4" t="s">
        <v>21</v>
      </c>
      <c r="B166" s="4" t="s">
        <v>39</v>
      </c>
      <c r="C166" s="4" t="s">
        <v>40</v>
      </c>
      <c r="D166" s="4" t="s">
        <v>34</v>
      </c>
      <c r="E166" s="4" t="s">
        <v>25</v>
      </c>
      <c r="F166" s="4" t="s">
        <v>25</v>
      </c>
      <c r="G166" s="4" t="s">
        <v>25</v>
      </c>
      <c r="H166" s="4" t="s">
        <v>25</v>
      </c>
      <c r="I166" s="5">
        <v>44682</v>
      </c>
      <c r="J166" s="6">
        <v>50938</v>
      </c>
      <c r="K166" s="6">
        <v>50938</v>
      </c>
      <c r="L166" s="6">
        <v>0</v>
      </c>
      <c r="M166" s="6">
        <v>0</v>
      </c>
      <c r="N166" s="6">
        <v>0</v>
      </c>
      <c r="O166" s="6">
        <v>0</v>
      </c>
      <c r="P166" s="6">
        <v>96</v>
      </c>
      <c r="Q166" s="4" t="s">
        <v>26</v>
      </c>
      <c r="R166" s="4">
        <v>0</v>
      </c>
      <c r="S166" s="6">
        <v>28</v>
      </c>
      <c r="T166" s="6">
        <v>0</v>
      </c>
      <c r="U166" s="6">
        <v>0</v>
      </c>
      <c r="V166" s="6">
        <f>IF(ISERROR(VLOOKUP($S$166,'TAR FIN'!$A$1:$O$91,15,0)),0,VLOOKUP($S$166,'TAR FIN'!$A$1:$O$91,15,0))</f>
        <v>14.45</v>
      </c>
      <c r="W166" s="6">
        <f>IF(ISERROR(VLOOKUP($T$166,'TAR FIN'!$A$1:$O$91,15,0)),0,VLOOKUP($T$166,'TAR FIN'!$A$1:$O$91,15,0))</f>
        <v>0</v>
      </c>
      <c r="X166" s="6">
        <f>IF(ISERROR(VLOOKUP($U$166,'TAR FIN'!$A$1:$O$91,15,0)),0,VLOOKUP($U$166,'TAR FIN'!$A$1:$O$91,15,0))</f>
        <v>0</v>
      </c>
      <c r="Y166" s="6">
        <f ca="1">('TUSD BE'!$AM$14+'TUSD BF'!$AM$14+'TUSD CVA'!$AM$14)*1</f>
        <v>18.372313529244348</v>
      </c>
      <c r="Z166" s="6"/>
      <c r="AA166" s="6"/>
      <c r="AB166" s="6">
        <f>$K$166*$V$166</f>
        <v>736054.1</v>
      </c>
      <c r="AC166" s="6">
        <f>$M$166*$W$166</f>
        <v>0</v>
      </c>
      <c r="AD166" s="6">
        <f>$O$166*$X$166</f>
        <v>0</v>
      </c>
      <c r="AE166" s="6">
        <f ca="1">$K$166*$Y$166</f>
        <v>935848.90655264864</v>
      </c>
      <c r="AF166" s="6">
        <f>$M$166*$Z$166</f>
        <v>0</v>
      </c>
      <c r="AG166" s="6">
        <f>$O$166*$AA$166</f>
        <v>0</v>
      </c>
    </row>
    <row r="167" spans="1:33" ht="11.25" customHeight="1" x14ac:dyDescent="0.25">
      <c r="A167" s="4" t="s">
        <v>21</v>
      </c>
      <c r="B167" s="4" t="s">
        <v>39</v>
      </c>
      <c r="C167" s="4" t="s">
        <v>40</v>
      </c>
      <c r="D167" s="4" t="s">
        <v>34</v>
      </c>
      <c r="E167" s="4" t="s">
        <v>25</v>
      </c>
      <c r="F167" s="4" t="s">
        <v>25</v>
      </c>
      <c r="G167" s="4" t="s">
        <v>25</v>
      </c>
      <c r="H167" s="4" t="s">
        <v>25</v>
      </c>
      <c r="I167" s="5">
        <v>44713</v>
      </c>
      <c r="J167" s="6">
        <v>50300</v>
      </c>
      <c r="K167" s="6">
        <v>50300</v>
      </c>
      <c r="L167" s="6">
        <v>0</v>
      </c>
      <c r="M167" s="6">
        <v>0</v>
      </c>
      <c r="N167" s="6">
        <v>0</v>
      </c>
      <c r="O167" s="6">
        <v>0</v>
      </c>
      <c r="P167" s="6">
        <v>97</v>
      </c>
      <c r="Q167" s="4" t="s">
        <v>26</v>
      </c>
      <c r="R167" s="4">
        <v>0</v>
      </c>
      <c r="S167" s="6">
        <v>28</v>
      </c>
      <c r="T167" s="6">
        <v>0</v>
      </c>
      <c r="U167" s="6">
        <v>0</v>
      </c>
      <c r="V167" s="6">
        <f>IF(ISERROR(VLOOKUP($S$167,'TAR FIN'!$A$1:$O$91,15,0)),0,VLOOKUP($S$167,'TAR FIN'!$A$1:$O$91,15,0))</f>
        <v>14.45</v>
      </c>
      <c r="W167" s="6">
        <f>IF(ISERROR(VLOOKUP($T$167,'TAR FIN'!$A$1:$O$91,15,0)),0,VLOOKUP($T$167,'TAR FIN'!$A$1:$O$91,15,0))</f>
        <v>0</v>
      </c>
      <c r="X167" s="6">
        <f>IF(ISERROR(VLOOKUP($U$167,'TAR FIN'!$A$1:$O$91,15,0)),0,VLOOKUP($U$167,'TAR FIN'!$A$1:$O$91,15,0))</f>
        <v>0</v>
      </c>
      <c r="Y167" s="6">
        <f ca="1">('TUSD BE'!$AM$14+'TUSD BF'!$AM$14+'TUSD CVA'!$AM$14)*1</f>
        <v>18.372313529244348</v>
      </c>
      <c r="Z167" s="6"/>
      <c r="AA167" s="6"/>
      <c r="AB167" s="6">
        <f>$K$167*$V$167</f>
        <v>726835</v>
      </c>
      <c r="AC167" s="6">
        <f>$M$167*$W$167</f>
        <v>0</v>
      </c>
      <c r="AD167" s="6">
        <f>$O$167*$X$167</f>
        <v>0</v>
      </c>
      <c r="AE167" s="6">
        <f ca="1">$K$167*$Y$167</f>
        <v>924127.37052099069</v>
      </c>
      <c r="AF167" s="6">
        <f>$M$167*$Z$167</f>
        <v>0</v>
      </c>
      <c r="AG167" s="6">
        <f>$O$167*$AA$167</f>
        <v>0</v>
      </c>
    </row>
    <row r="168" spans="1:33" ht="11.25" customHeight="1" x14ac:dyDescent="0.25">
      <c r="A168" s="4" t="s">
        <v>21</v>
      </c>
      <c r="B168" s="4" t="s">
        <v>39</v>
      </c>
      <c r="C168" s="4" t="s">
        <v>40</v>
      </c>
      <c r="D168" s="4" t="s">
        <v>34</v>
      </c>
      <c r="E168" s="4" t="s">
        <v>25</v>
      </c>
      <c r="F168" s="4" t="s">
        <v>25</v>
      </c>
      <c r="G168" s="4" t="s">
        <v>25</v>
      </c>
      <c r="H168" s="4" t="s">
        <v>25</v>
      </c>
      <c r="I168" s="5">
        <v>44743</v>
      </c>
      <c r="J168" s="6">
        <v>50687</v>
      </c>
      <c r="K168" s="6">
        <v>50687</v>
      </c>
      <c r="L168" s="6">
        <v>0</v>
      </c>
      <c r="M168" s="6">
        <v>0</v>
      </c>
      <c r="N168" s="6">
        <v>0</v>
      </c>
      <c r="O168" s="6">
        <v>0</v>
      </c>
      <c r="P168" s="6">
        <v>97</v>
      </c>
      <c r="Q168" s="4" t="s">
        <v>26</v>
      </c>
      <c r="R168" s="4">
        <v>0</v>
      </c>
      <c r="S168" s="6">
        <v>28</v>
      </c>
      <c r="T168" s="6">
        <v>0</v>
      </c>
      <c r="U168" s="6">
        <v>0</v>
      </c>
      <c r="V168" s="6">
        <f>IF(ISERROR(VLOOKUP($S$168,'TAR FIN'!$A$1:$O$91,15,0)),0,VLOOKUP($S$168,'TAR FIN'!$A$1:$O$91,15,0))</f>
        <v>14.45</v>
      </c>
      <c r="W168" s="6">
        <f>IF(ISERROR(VLOOKUP($T$168,'TAR FIN'!$A$1:$O$91,15,0)),0,VLOOKUP($T$168,'TAR FIN'!$A$1:$O$91,15,0))</f>
        <v>0</v>
      </c>
      <c r="X168" s="6">
        <f>IF(ISERROR(VLOOKUP($U$168,'TAR FIN'!$A$1:$O$91,15,0)),0,VLOOKUP($U$168,'TAR FIN'!$A$1:$O$91,15,0))</f>
        <v>0</v>
      </c>
      <c r="Y168" s="6">
        <f ca="1">('TUSD BE'!$AM$14+'TUSD BF'!$AM$14+'TUSD CVA'!$AM$14)*1</f>
        <v>18.372313529244348</v>
      </c>
      <c r="Z168" s="6"/>
      <c r="AA168" s="6"/>
      <c r="AB168" s="6">
        <f>$K$168*$V$168</f>
        <v>732427.14999999991</v>
      </c>
      <c r="AC168" s="6">
        <f>$M$168*$W$168</f>
        <v>0</v>
      </c>
      <c r="AD168" s="6">
        <f>$O$168*$X$168</f>
        <v>0</v>
      </c>
      <c r="AE168" s="6">
        <f ca="1">$K$168*$Y$168</f>
        <v>931237.45585680823</v>
      </c>
      <c r="AF168" s="6">
        <f>$M$168*$Z$168</f>
        <v>0</v>
      </c>
      <c r="AG168" s="6">
        <f>$O$168*$AA$168</f>
        <v>0</v>
      </c>
    </row>
    <row r="169" spans="1:33" ht="11.25" customHeight="1" x14ac:dyDescent="0.25">
      <c r="A169" s="4" t="s">
        <v>57</v>
      </c>
      <c r="B169" s="4" t="s">
        <v>39</v>
      </c>
      <c r="C169" s="4" t="s">
        <v>40</v>
      </c>
      <c r="D169" s="4" t="s">
        <v>34</v>
      </c>
      <c r="E169" s="4" t="s">
        <v>25</v>
      </c>
      <c r="F169" s="4" t="s">
        <v>25</v>
      </c>
      <c r="G169" s="4" t="s">
        <v>25</v>
      </c>
      <c r="H169" s="4" t="s">
        <v>25</v>
      </c>
      <c r="I169" s="5">
        <v>44774</v>
      </c>
      <c r="J169" s="6">
        <v>50687</v>
      </c>
      <c r="K169" s="6">
        <v>50687</v>
      </c>
      <c r="L169" s="6">
        <v>0</v>
      </c>
      <c r="M169" s="6">
        <v>0</v>
      </c>
      <c r="N169" s="6">
        <v>0</v>
      </c>
      <c r="O169" s="6">
        <v>0</v>
      </c>
      <c r="P169" s="6">
        <v>97</v>
      </c>
      <c r="Q169" s="4" t="s">
        <v>26</v>
      </c>
      <c r="R169" s="4">
        <v>0</v>
      </c>
      <c r="S169" s="6">
        <v>28</v>
      </c>
      <c r="T169" s="6">
        <v>0</v>
      </c>
      <c r="U169" s="6">
        <v>0</v>
      </c>
      <c r="V169" s="6">
        <f>IF(ISERROR(VLOOKUP($S$169,'TAR FIN'!$A$1:$O$91,15,0)),0,VLOOKUP($S$169,'TAR FIN'!$A$1:$O$91,15,0))</f>
        <v>14.45</v>
      </c>
      <c r="W169" s="6">
        <f>IF(ISERROR(VLOOKUP($T$169,'TAR FIN'!$A$1:$O$91,15,0)),0,VLOOKUP($T$169,'TAR FIN'!$A$1:$O$91,15,0))</f>
        <v>0</v>
      </c>
      <c r="X169" s="6">
        <f>IF(ISERROR(VLOOKUP($U$169,'TAR FIN'!$A$1:$O$91,15,0)),0,VLOOKUP($U$169,'TAR FIN'!$A$1:$O$91,15,0))</f>
        <v>0</v>
      </c>
      <c r="Y169" s="6">
        <f ca="1">('TUSD BE'!$AM$14+'TUSD BF'!$AM$14+'TUSD CVA'!$AM$14)*1</f>
        <v>18.372313529244348</v>
      </c>
      <c r="Z169" s="6"/>
      <c r="AA169" s="6"/>
      <c r="AB169" s="6">
        <f>$K$169*$V$169</f>
        <v>732427.14999999991</v>
      </c>
      <c r="AC169" s="6">
        <f>$M$169*$W$169</f>
        <v>0</v>
      </c>
      <c r="AD169" s="6">
        <f>$O$169*$X$169</f>
        <v>0</v>
      </c>
      <c r="AE169" s="6">
        <f ca="1">$K$169*$Y$169</f>
        <v>931237.45585680823</v>
      </c>
      <c r="AF169" s="6">
        <f>$M$169*$Z$169</f>
        <v>0</v>
      </c>
      <c r="AG169" s="6">
        <f>$O$169*$AA$169</f>
        <v>0</v>
      </c>
    </row>
    <row r="170" spans="1:33" ht="11.25" customHeight="1" x14ac:dyDescent="0.25">
      <c r="A170" s="4" t="s">
        <v>21</v>
      </c>
      <c r="B170" s="4" t="s">
        <v>39</v>
      </c>
      <c r="C170" s="4" t="s">
        <v>40</v>
      </c>
      <c r="D170" s="4" t="s">
        <v>34</v>
      </c>
      <c r="E170" s="4" t="s">
        <v>25</v>
      </c>
      <c r="F170" s="4" t="s">
        <v>25</v>
      </c>
      <c r="G170" s="4" t="s">
        <v>25</v>
      </c>
      <c r="H170" s="4" t="s">
        <v>37</v>
      </c>
      <c r="I170" s="5">
        <v>44440</v>
      </c>
      <c r="J170" s="6">
        <v>0</v>
      </c>
      <c r="K170" s="6">
        <v>0</v>
      </c>
      <c r="L170" s="6">
        <v>811.77</v>
      </c>
      <c r="M170" s="6">
        <v>811.77</v>
      </c>
      <c r="N170" s="6">
        <v>811.77</v>
      </c>
      <c r="O170" s="6">
        <v>811.77</v>
      </c>
      <c r="P170" s="6">
        <v>0</v>
      </c>
      <c r="Q170" s="4" t="s">
        <v>26</v>
      </c>
      <c r="R170" s="4">
        <v>0</v>
      </c>
      <c r="S170" s="6">
        <v>0</v>
      </c>
      <c r="T170" s="6">
        <v>18</v>
      </c>
      <c r="U170" s="6">
        <v>64</v>
      </c>
      <c r="V170" s="6">
        <f>IF(ISERROR(VLOOKUP($S$170,'TAR FIN'!$A$1:$O$91,15,0)),0,VLOOKUP($S$170,'TAR FIN'!$A$1:$O$91,15,0))</f>
        <v>0</v>
      </c>
      <c r="W170" s="6">
        <f>IF(ISERROR(VLOOKUP($T$170,'TAR FIN'!$A$1:$O$91,15,0)),0,VLOOKUP($T$170,'TAR FIN'!$A$1:$O$91,15,0))</f>
        <v>1007.94</v>
      </c>
      <c r="X170" s="6">
        <f>IF(ISERROR(VLOOKUP($U$170,'TAR FIN'!$A$1:$O$91,15,0)),0,VLOOKUP($U$170,'TAR FIN'!$A$1:$O$91,15,0))</f>
        <v>133.97</v>
      </c>
      <c r="Y170" s="6"/>
      <c r="Z170" s="6">
        <f ca="1">('TUSD BE'!$AM$15+'TUSD BF'!$AM$15+'TUSD CVA'!$AM$15)*1</f>
        <v>1254.594131793204</v>
      </c>
      <c r="AA170" s="6">
        <f>('TE BE'!$AB$7+'TE BF'!$AB$7+'TE CVA'!$AB$7)*1</f>
        <v>114.76529888966962</v>
      </c>
      <c r="AB170" s="6">
        <f>$K$170*$V$170</f>
        <v>0</v>
      </c>
      <c r="AC170" s="6">
        <f>$M$170*$W$170</f>
        <v>818215.45380000002</v>
      </c>
      <c r="AD170" s="6">
        <f>$O$170*$X$170</f>
        <v>108752.8269</v>
      </c>
      <c r="AE170" s="6">
        <f>$K$170*$Y$170</f>
        <v>0</v>
      </c>
      <c r="AF170" s="6">
        <f ca="1">$M$170*$Z$170</f>
        <v>1018441.8783657692</v>
      </c>
      <c r="AG170" s="6">
        <f>$O$170*$AA$170</f>
        <v>93163.026679667106</v>
      </c>
    </row>
    <row r="171" spans="1:33" ht="11.25" customHeight="1" x14ac:dyDescent="0.25">
      <c r="A171" s="4" t="s">
        <v>21</v>
      </c>
      <c r="B171" s="4" t="s">
        <v>39</v>
      </c>
      <c r="C171" s="4" t="s">
        <v>40</v>
      </c>
      <c r="D171" s="4" t="s">
        <v>34</v>
      </c>
      <c r="E171" s="4" t="s">
        <v>25</v>
      </c>
      <c r="F171" s="4" t="s">
        <v>25</v>
      </c>
      <c r="G171" s="4" t="s">
        <v>25</v>
      </c>
      <c r="H171" s="4" t="s">
        <v>37</v>
      </c>
      <c r="I171" s="5">
        <v>44470</v>
      </c>
      <c r="J171" s="6">
        <v>0</v>
      </c>
      <c r="K171" s="6">
        <v>0</v>
      </c>
      <c r="L171" s="6">
        <v>789.99699999999996</v>
      </c>
      <c r="M171" s="6">
        <v>789.99699999999996</v>
      </c>
      <c r="N171" s="6">
        <v>789.99699999999996</v>
      </c>
      <c r="O171" s="6">
        <v>789.99699999999996</v>
      </c>
      <c r="P171" s="6">
        <v>0</v>
      </c>
      <c r="Q171" s="4" t="s">
        <v>26</v>
      </c>
      <c r="R171" s="4">
        <v>0</v>
      </c>
      <c r="S171" s="6">
        <v>0</v>
      </c>
      <c r="T171" s="6">
        <v>18</v>
      </c>
      <c r="U171" s="6">
        <v>64</v>
      </c>
      <c r="V171" s="6">
        <f>IF(ISERROR(VLOOKUP($S$171,'TAR FIN'!$A$1:$O$91,15,0)),0,VLOOKUP($S$171,'TAR FIN'!$A$1:$O$91,15,0))</f>
        <v>0</v>
      </c>
      <c r="W171" s="6">
        <f>IF(ISERROR(VLOOKUP($T$171,'TAR FIN'!$A$1:$O$91,15,0)),0,VLOOKUP($T$171,'TAR FIN'!$A$1:$O$91,15,0))</f>
        <v>1007.94</v>
      </c>
      <c r="X171" s="6">
        <f>IF(ISERROR(VLOOKUP($U$171,'TAR FIN'!$A$1:$O$91,15,0)),0,VLOOKUP($U$171,'TAR FIN'!$A$1:$O$91,15,0))</f>
        <v>133.97</v>
      </c>
      <c r="Y171" s="6"/>
      <c r="Z171" s="6">
        <f ca="1">('TUSD BE'!$AM$15+'TUSD BF'!$AM$15+'TUSD CVA'!$AM$15)*1</f>
        <v>1254.594131793204</v>
      </c>
      <c r="AA171" s="6">
        <f>('TE BE'!$AB$7+'TE BF'!$AB$7+'TE CVA'!$AB$7)*1</f>
        <v>114.76529888966962</v>
      </c>
      <c r="AB171" s="6">
        <f>$K$171*$V$171</f>
        <v>0</v>
      </c>
      <c r="AC171" s="6">
        <f>$M$171*$W$171</f>
        <v>796269.57617999997</v>
      </c>
      <c r="AD171" s="6">
        <f>$O$171*$X$171</f>
        <v>105835.89808999999</v>
      </c>
      <c r="AE171" s="6">
        <f>$K$171*$Y$171</f>
        <v>0</v>
      </c>
      <c r="AF171" s="6">
        <f ca="1">$M$171*$Z$171</f>
        <v>991125.60033423582</v>
      </c>
      <c r="AG171" s="6">
        <f>$O$171*$AA$171</f>
        <v>90664.241826942321</v>
      </c>
    </row>
    <row r="172" spans="1:33" ht="11.25" customHeight="1" x14ac:dyDescent="0.25">
      <c r="A172" s="4" t="s">
        <v>21</v>
      </c>
      <c r="B172" s="4" t="s">
        <v>39</v>
      </c>
      <c r="C172" s="4" t="s">
        <v>40</v>
      </c>
      <c r="D172" s="4" t="s">
        <v>34</v>
      </c>
      <c r="E172" s="4" t="s">
        <v>25</v>
      </c>
      <c r="F172" s="4" t="s">
        <v>25</v>
      </c>
      <c r="G172" s="4" t="s">
        <v>25</v>
      </c>
      <c r="H172" s="4" t="s">
        <v>37</v>
      </c>
      <c r="I172" s="5">
        <v>44501</v>
      </c>
      <c r="J172" s="6">
        <v>0</v>
      </c>
      <c r="K172" s="6">
        <v>0</v>
      </c>
      <c r="L172" s="6">
        <v>805.73800000000006</v>
      </c>
      <c r="M172" s="6">
        <v>805.73800000000006</v>
      </c>
      <c r="N172" s="6">
        <v>805.73800000000006</v>
      </c>
      <c r="O172" s="6">
        <v>805.73800000000006</v>
      </c>
      <c r="P172" s="6">
        <v>0</v>
      </c>
      <c r="Q172" s="4" t="s">
        <v>26</v>
      </c>
      <c r="R172" s="4">
        <v>0</v>
      </c>
      <c r="S172" s="6">
        <v>0</v>
      </c>
      <c r="T172" s="6">
        <v>18</v>
      </c>
      <c r="U172" s="6">
        <v>64</v>
      </c>
      <c r="V172" s="6">
        <f>IF(ISERROR(VLOOKUP($S$172,'TAR FIN'!$A$1:$O$91,15,0)),0,VLOOKUP($S$172,'TAR FIN'!$A$1:$O$91,15,0))</f>
        <v>0</v>
      </c>
      <c r="W172" s="6">
        <f>IF(ISERROR(VLOOKUP($T$172,'TAR FIN'!$A$1:$O$91,15,0)),0,VLOOKUP($T$172,'TAR FIN'!$A$1:$O$91,15,0))</f>
        <v>1007.94</v>
      </c>
      <c r="X172" s="6">
        <f>IF(ISERROR(VLOOKUP($U$172,'TAR FIN'!$A$1:$O$91,15,0)),0,VLOOKUP($U$172,'TAR FIN'!$A$1:$O$91,15,0))</f>
        <v>133.97</v>
      </c>
      <c r="Y172" s="6"/>
      <c r="Z172" s="6">
        <f ca="1">('TUSD BE'!$AM$15+'TUSD BF'!$AM$15+'TUSD CVA'!$AM$15)*1</f>
        <v>1254.594131793204</v>
      </c>
      <c r="AA172" s="6">
        <f>('TE BE'!$AB$7+'TE BF'!$AB$7+'TE CVA'!$AB$7)*1</f>
        <v>114.76529888966962</v>
      </c>
      <c r="AB172" s="6">
        <f>$K$172*$V$172</f>
        <v>0</v>
      </c>
      <c r="AC172" s="6">
        <f>$M$172*$W$172</f>
        <v>812135.55972000014</v>
      </c>
      <c r="AD172" s="6">
        <f>$O$172*$X$172</f>
        <v>107944.71986000001</v>
      </c>
      <c r="AE172" s="6">
        <f>$K$172*$Y$172</f>
        <v>0</v>
      </c>
      <c r="AF172" s="6">
        <f ca="1">$M$172*$Z$172</f>
        <v>1010874.1665627927</v>
      </c>
      <c r="AG172" s="6">
        <f>$O$172*$AA$172</f>
        <v>92470.762396764636</v>
      </c>
    </row>
    <row r="173" spans="1:33" ht="11.25" customHeight="1" x14ac:dyDescent="0.25">
      <c r="A173" s="4" t="s">
        <v>21</v>
      </c>
      <c r="B173" s="4" t="s">
        <v>39</v>
      </c>
      <c r="C173" s="4" t="s">
        <v>40</v>
      </c>
      <c r="D173" s="4" t="s">
        <v>34</v>
      </c>
      <c r="E173" s="4" t="s">
        <v>25</v>
      </c>
      <c r="F173" s="4" t="s">
        <v>25</v>
      </c>
      <c r="G173" s="4" t="s">
        <v>25</v>
      </c>
      <c r="H173" s="4" t="s">
        <v>37</v>
      </c>
      <c r="I173" s="5">
        <v>44531</v>
      </c>
      <c r="J173" s="6">
        <v>0</v>
      </c>
      <c r="K173" s="6">
        <v>0</v>
      </c>
      <c r="L173" s="6">
        <v>823.31500000000005</v>
      </c>
      <c r="M173" s="6">
        <v>823.31500000000005</v>
      </c>
      <c r="N173" s="6">
        <v>823.31500000000005</v>
      </c>
      <c r="O173" s="6">
        <v>823.31500000000005</v>
      </c>
      <c r="P173" s="6">
        <v>0</v>
      </c>
      <c r="Q173" s="4" t="s">
        <v>26</v>
      </c>
      <c r="R173" s="4">
        <v>0</v>
      </c>
      <c r="S173" s="6">
        <v>0</v>
      </c>
      <c r="T173" s="6">
        <v>18</v>
      </c>
      <c r="U173" s="6">
        <v>64</v>
      </c>
      <c r="V173" s="6">
        <f>IF(ISERROR(VLOOKUP($S$173,'TAR FIN'!$A$1:$O$91,15,0)),0,VLOOKUP($S$173,'TAR FIN'!$A$1:$O$91,15,0))</f>
        <v>0</v>
      </c>
      <c r="W173" s="6">
        <f>IF(ISERROR(VLOOKUP($T$173,'TAR FIN'!$A$1:$O$91,15,0)),0,VLOOKUP($T$173,'TAR FIN'!$A$1:$O$91,15,0))</f>
        <v>1007.94</v>
      </c>
      <c r="X173" s="6">
        <f>IF(ISERROR(VLOOKUP($U$173,'TAR FIN'!$A$1:$O$91,15,0)),0,VLOOKUP($U$173,'TAR FIN'!$A$1:$O$91,15,0))</f>
        <v>133.97</v>
      </c>
      <c r="Y173" s="6"/>
      <c r="Z173" s="6">
        <f ca="1">('TUSD BE'!$AM$15+'TUSD BF'!$AM$15+'TUSD CVA'!$AM$15)*1</f>
        <v>1254.594131793204</v>
      </c>
      <c r="AA173" s="6">
        <f>('TE BE'!$AB$7+'TE BF'!$AB$7+'TE CVA'!$AB$7)*1</f>
        <v>114.76529888966962</v>
      </c>
      <c r="AB173" s="6">
        <f>$K$173*$V$173</f>
        <v>0</v>
      </c>
      <c r="AC173" s="6">
        <f>$M$173*$W$173</f>
        <v>829852.12110000011</v>
      </c>
      <c r="AD173" s="6">
        <f>$O$173*$X$173</f>
        <v>110299.51055000001</v>
      </c>
      <c r="AE173" s="6">
        <f>$K$173*$Y$173</f>
        <v>0</v>
      </c>
      <c r="AF173" s="6">
        <f ca="1">$M$173*$Z$173</f>
        <v>1032926.1676173218</v>
      </c>
      <c r="AG173" s="6">
        <f>$O$173*$AA$173</f>
        <v>94487.992055348353</v>
      </c>
    </row>
    <row r="174" spans="1:33" ht="11.25" customHeight="1" x14ac:dyDescent="0.25">
      <c r="A174" s="4" t="s">
        <v>21</v>
      </c>
      <c r="B174" s="4" t="s">
        <v>39</v>
      </c>
      <c r="C174" s="4" t="s">
        <v>40</v>
      </c>
      <c r="D174" s="4" t="s">
        <v>34</v>
      </c>
      <c r="E174" s="4" t="s">
        <v>25</v>
      </c>
      <c r="F174" s="4" t="s">
        <v>25</v>
      </c>
      <c r="G174" s="4" t="s">
        <v>25</v>
      </c>
      <c r="H174" s="4" t="s">
        <v>37</v>
      </c>
      <c r="I174" s="5">
        <v>44562</v>
      </c>
      <c r="J174" s="6">
        <v>0</v>
      </c>
      <c r="K174" s="6">
        <v>0</v>
      </c>
      <c r="L174" s="6">
        <v>778.56700000000001</v>
      </c>
      <c r="M174" s="6">
        <v>778.56700000000001</v>
      </c>
      <c r="N174" s="6">
        <v>778.56700000000001</v>
      </c>
      <c r="O174" s="6">
        <v>778.56700000000001</v>
      </c>
      <c r="P174" s="6">
        <v>0</v>
      </c>
      <c r="Q174" s="4" t="s">
        <v>26</v>
      </c>
      <c r="R174" s="4">
        <v>0</v>
      </c>
      <c r="S174" s="6">
        <v>0</v>
      </c>
      <c r="T174" s="6">
        <v>18</v>
      </c>
      <c r="U174" s="6">
        <v>64</v>
      </c>
      <c r="V174" s="6">
        <f>IF(ISERROR(VLOOKUP($S$174,'TAR FIN'!$A$1:$O$91,15,0)),0,VLOOKUP($S$174,'TAR FIN'!$A$1:$O$91,15,0))</f>
        <v>0</v>
      </c>
      <c r="W174" s="6">
        <f>IF(ISERROR(VLOOKUP($T$174,'TAR FIN'!$A$1:$O$91,15,0)),0,VLOOKUP($T$174,'TAR FIN'!$A$1:$O$91,15,0))</f>
        <v>1007.94</v>
      </c>
      <c r="X174" s="6">
        <f>IF(ISERROR(VLOOKUP($U$174,'TAR FIN'!$A$1:$O$91,15,0)),0,VLOOKUP($U$174,'TAR FIN'!$A$1:$O$91,15,0))</f>
        <v>133.97</v>
      </c>
      <c r="Y174" s="6"/>
      <c r="Z174" s="6">
        <f ca="1">('TUSD BE'!$AM$15+'TUSD BF'!$AM$15+'TUSD CVA'!$AM$15)*1</f>
        <v>1254.594131793204</v>
      </c>
      <c r="AA174" s="6">
        <f>('TE BE'!$AB$7+'TE BF'!$AB$7+'TE CVA'!$AB$7)*1</f>
        <v>114.76529888966962</v>
      </c>
      <c r="AB174" s="6">
        <f>$K$174*$V$174</f>
        <v>0</v>
      </c>
      <c r="AC174" s="6">
        <f>$M$174*$W$174</f>
        <v>784748.82198000001</v>
      </c>
      <c r="AD174" s="6">
        <f>$O$174*$X$174</f>
        <v>104304.62099</v>
      </c>
      <c r="AE174" s="6">
        <f>$K$174*$Y$174</f>
        <v>0</v>
      </c>
      <c r="AF174" s="6">
        <f ca="1">$M$174*$Z$174</f>
        <v>976785.58940783946</v>
      </c>
      <c r="AG174" s="6">
        <f>$O$174*$AA$174</f>
        <v>89352.474460633413</v>
      </c>
    </row>
    <row r="175" spans="1:33" ht="11.25" customHeight="1" x14ac:dyDescent="0.25">
      <c r="A175" s="4" t="s">
        <v>21</v>
      </c>
      <c r="B175" s="4" t="s">
        <v>39</v>
      </c>
      <c r="C175" s="4" t="s">
        <v>40</v>
      </c>
      <c r="D175" s="4" t="s">
        <v>34</v>
      </c>
      <c r="E175" s="4" t="s">
        <v>25</v>
      </c>
      <c r="F175" s="4" t="s">
        <v>25</v>
      </c>
      <c r="G175" s="4" t="s">
        <v>25</v>
      </c>
      <c r="H175" s="4" t="s">
        <v>37</v>
      </c>
      <c r="I175" s="5">
        <v>44593</v>
      </c>
      <c r="J175" s="6">
        <v>0</v>
      </c>
      <c r="K175" s="6">
        <v>0</v>
      </c>
      <c r="L175" s="6">
        <v>778.85</v>
      </c>
      <c r="M175" s="6">
        <v>778.85</v>
      </c>
      <c r="N175" s="6">
        <v>778.85</v>
      </c>
      <c r="O175" s="6">
        <v>778.85</v>
      </c>
      <c r="P175" s="6">
        <v>0</v>
      </c>
      <c r="Q175" s="4" t="s">
        <v>26</v>
      </c>
      <c r="R175" s="4">
        <v>0</v>
      </c>
      <c r="S175" s="6">
        <v>0</v>
      </c>
      <c r="T175" s="6">
        <v>18</v>
      </c>
      <c r="U175" s="6">
        <v>64</v>
      </c>
      <c r="V175" s="6">
        <f>IF(ISERROR(VLOOKUP($S$175,'TAR FIN'!$A$1:$O$91,15,0)),0,VLOOKUP($S$175,'TAR FIN'!$A$1:$O$91,15,0))</f>
        <v>0</v>
      </c>
      <c r="W175" s="6">
        <f>IF(ISERROR(VLOOKUP($T$175,'TAR FIN'!$A$1:$O$91,15,0)),0,VLOOKUP($T$175,'TAR FIN'!$A$1:$O$91,15,0))</f>
        <v>1007.94</v>
      </c>
      <c r="X175" s="6">
        <f>IF(ISERROR(VLOOKUP($U$175,'TAR FIN'!$A$1:$O$91,15,0)),0,VLOOKUP($U$175,'TAR FIN'!$A$1:$O$91,15,0))</f>
        <v>133.97</v>
      </c>
      <c r="Y175" s="6"/>
      <c r="Z175" s="6">
        <f ca="1">('TUSD BE'!$AM$15+'TUSD BF'!$AM$15+'TUSD CVA'!$AM$15)*1</f>
        <v>1254.594131793204</v>
      </c>
      <c r="AA175" s="6">
        <f>('TE BE'!$AB$7+'TE BF'!$AB$7+'TE CVA'!$AB$7)*1</f>
        <v>114.76529888966962</v>
      </c>
      <c r="AB175" s="6">
        <f>$K$175*$V$175</f>
        <v>0</v>
      </c>
      <c r="AC175" s="6">
        <f>$M$175*$W$175</f>
        <v>785034.06900000002</v>
      </c>
      <c r="AD175" s="6">
        <f>$O$175*$X$175</f>
        <v>104342.53450000001</v>
      </c>
      <c r="AE175" s="6">
        <f>$K$175*$Y$175</f>
        <v>0</v>
      </c>
      <c r="AF175" s="6">
        <f ca="1">$M$175*$Z$175</f>
        <v>977140.63954713696</v>
      </c>
      <c r="AG175" s="6">
        <f>$O$175*$AA$175</f>
        <v>89384.953040219189</v>
      </c>
    </row>
    <row r="176" spans="1:33" ht="11.25" customHeight="1" x14ac:dyDescent="0.25">
      <c r="A176" s="4" t="s">
        <v>21</v>
      </c>
      <c r="B176" s="4" t="s">
        <v>39</v>
      </c>
      <c r="C176" s="4" t="s">
        <v>40</v>
      </c>
      <c r="D176" s="4" t="s">
        <v>34</v>
      </c>
      <c r="E176" s="4" t="s">
        <v>25</v>
      </c>
      <c r="F176" s="4" t="s">
        <v>25</v>
      </c>
      <c r="G176" s="4" t="s">
        <v>25</v>
      </c>
      <c r="H176" s="4" t="s">
        <v>37</v>
      </c>
      <c r="I176" s="5">
        <v>44621</v>
      </c>
      <c r="J176" s="6">
        <v>0</v>
      </c>
      <c r="K176" s="6">
        <v>0</v>
      </c>
      <c r="L176" s="6">
        <v>860.54499999999996</v>
      </c>
      <c r="M176" s="6">
        <v>860.54499999999996</v>
      </c>
      <c r="N176" s="6">
        <v>860.54499999999996</v>
      </c>
      <c r="O176" s="6">
        <v>860.54499999999996</v>
      </c>
      <c r="P176" s="6">
        <v>0</v>
      </c>
      <c r="Q176" s="4" t="s">
        <v>26</v>
      </c>
      <c r="R176" s="4">
        <v>0</v>
      </c>
      <c r="S176" s="6">
        <v>0</v>
      </c>
      <c r="T176" s="6">
        <v>18</v>
      </c>
      <c r="U176" s="6">
        <v>64</v>
      </c>
      <c r="V176" s="6">
        <f>IF(ISERROR(VLOOKUP($S$176,'TAR FIN'!$A$1:$O$91,15,0)),0,VLOOKUP($S$176,'TAR FIN'!$A$1:$O$91,15,0))</f>
        <v>0</v>
      </c>
      <c r="W176" s="6">
        <f>IF(ISERROR(VLOOKUP($T$176,'TAR FIN'!$A$1:$O$91,15,0)),0,VLOOKUP($T$176,'TAR FIN'!$A$1:$O$91,15,0))</f>
        <v>1007.94</v>
      </c>
      <c r="X176" s="6">
        <f>IF(ISERROR(VLOOKUP($U$176,'TAR FIN'!$A$1:$O$91,15,0)),0,VLOOKUP($U$176,'TAR FIN'!$A$1:$O$91,15,0))</f>
        <v>133.97</v>
      </c>
      <c r="Y176" s="6"/>
      <c r="Z176" s="6">
        <f ca="1">('TUSD BE'!$AM$15+'TUSD BF'!$AM$15+'TUSD CVA'!$AM$15)*1</f>
        <v>1254.594131793204</v>
      </c>
      <c r="AA176" s="6">
        <f>('TE BE'!$AB$7+'TE BF'!$AB$7+'TE CVA'!$AB$7)*1</f>
        <v>114.76529888966962</v>
      </c>
      <c r="AB176" s="6">
        <f>$K$176*$V$176</f>
        <v>0</v>
      </c>
      <c r="AC176" s="6">
        <f>$M$176*$W$176</f>
        <v>867377.72730000003</v>
      </c>
      <c r="AD176" s="6">
        <f>$O$176*$X$176</f>
        <v>115287.21364999999</v>
      </c>
      <c r="AE176" s="6">
        <f>$K$176*$Y$176</f>
        <v>0</v>
      </c>
      <c r="AF176" s="6">
        <f ca="1">$M$176*$Z$176</f>
        <v>1079634.7071439826</v>
      </c>
      <c r="AG176" s="6">
        <f>$O$176*$AA$176</f>
        <v>98760.704133010746</v>
      </c>
    </row>
    <row r="177" spans="1:33" ht="11.25" customHeight="1" x14ac:dyDescent="0.25">
      <c r="A177" s="4" t="s">
        <v>21</v>
      </c>
      <c r="B177" s="4" t="s">
        <v>39</v>
      </c>
      <c r="C177" s="4" t="s">
        <v>40</v>
      </c>
      <c r="D177" s="4" t="s">
        <v>34</v>
      </c>
      <c r="E177" s="4" t="s">
        <v>25</v>
      </c>
      <c r="F177" s="4" t="s">
        <v>25</v>
      </c>
      <c r="G177" s="4" t="s">
        <v>25</v>
      </c>
      <c r="H177" s="4" t="s">
        <v>37</v>
      </c>
      <c r="I177" s="5">
        <v>44652</v>
      </c>
      <c r="J177" s="6">
        <v>0</v>
      </c>
      <c r="K177" s="6">
        <v>0</v>
      </c>
      <c r="L177" s="6">
        <v>770.42499999999995</v>
      </c>
      <c r="M177" s="6">
        <v>770.42499999999995</v>
      </c>
      <c r="N177" s="6">
        <v>770.42499999999995</v>
      </c>
      <c r="O177" s="6">
        <v>770.42499999999995</v>
      </c>
      <c r="P177" s="6">
        <v>0</v>
      </c>
      <c r="Q177" s="4" t="s">
        <v>26</v>
      </c>
      <c r="R177" s="4">
        <v>0</v>
      </c>
      <c r="S177" s="6">
        <v>0</v>
      </c>
      <c r="T177" s="6">
        <v>18</v>
      </c>
      <c r="U177" s="6">
        <v>64</v>
      </c>
      <c r="V177" s="6">
        <f>IF(ISERROR(VLOOKUP($S$177,'TAR FIN'!$A$1:$O$91,15,0)),0,VLOOKUP($S$177,'TAR FIN'!$A$1:$O$91,15,0))</f>
        <v>0</v>
      </c>
      <c r="W177" s="6">
        <f>IF(ISERROR(VLOOKUP($T$177,'TAR FIN'!$A$1:$O$91,15,0)),0,VLOOKUP($T$177,'TAR FIN'!$A$1:$O$91,15,0))</f>
        <v>1007.94</v>
      </c>
      <c r="X177" s="6">
        <f>IF(ISERROR(VLOOKUP($U$177,'TAR FIN'!$A$1:$O$91,15,0)),0,VLOOKUP($U$177,'TAR FIN'!$A$1:$O$91,15,0))</f>
        <v>133.97</v>
      </c>
      <c r="Y177" s="6"/>
      <c r="Z177" s="6">
        <f ca="1">('TUSD BE'!$AM$15+'TUSD BF'!$AM$15+'TUSD CVA'!$AM$15)*1</f>
        <v>1254.594131793204</v>
      </c>
      <c r="AA177" s="6">
        <f>('TE BE'!$AB$7+'TE BF'!$AB$7+'TE CVA'!$AB$7)*1</f>
        <v>114.76529888966962</v>
      </c>
      <c r="AB177" s="6">
        <f>$K$177*$V$177</f>
        <v>0</v>
      </c>
      <c r="AC177" s="6">
        <f>$M$177*$W$177</f>
        <v>776542.17449999996</v>
      </c>
      <c r="AD177" s="6">
        <f>$O$177*$X$177</f>
        <v>103213.83725</v>
      </c>
      <c r="AE177" s="6">
        <f>$K$177*$Y$177</f>
        <v>0</v>
      </c>
      <c r="AF177" s="6">
        <f ca="1">$M$177*$Z$177</f>
        <v>966570.68398677919</v>
      </c>
      <c r="AG177" s="6">
        <f>$O$177*$AA$177</f>
        <v>88418.055397073709</v>
      </c>
    </row>
    <row r="178" spans="1:33" ht="11.25" customHeight="1" x14ac:dyDescent="0.25">
      <c r="A178" s="4" t="s">
        <v>21</v>
      </c>
      <c r="B178" s="4" t="s">
        <v>39</v>
      </c>
      <c r="C178" s="4" t="s">
        <v>40</v>
      </c>
      <c r="D178" s="4" t="s">
        <v>34</v>
      </c>
      <c r="E178" s="4" t="s">
        <v>25</v>
      </c>
      <c r="F178" s="4" t="s">
        <v>25</v>
      </c>
      <c r="G178" s="4" t="s">
        <v>25</v>
      </c>
      <c r="H178" s="4" t="s">
        <v>37</v>
      </c>
      <c r="I178" s="5">
        <v>44682</v>
      </c>
      <c r="J178" s="6">
        <v>0</v>
      </c>
      <c r="K178" s="6">
        <v>0</v>
      </c>
      <c r="L178" s="6">
        <v>887.73900000000003</v>
      </c>
      <c r="M178" s="6">
        <v>887.73900000000003</v>
      </c>
      <c r="N178" s="6">
        <v>887.73900000000003</v>
      </c>
      <c r="O178" s="6">
        <v>887.73900000000003</v>
      </c>
      <c r="P178" s="6">
        <v>0</v>
      </c>
      <c r="Q178" s="4" t="s">
        <v>26</v>
      </c>
      <c r="R178" s="4">
        <v>0</v>
      </c>
      <c r="S178" s="6">
        <v>0</v>
      </c>
      <c r="T178" s="6">
        <v>18</v>
      </c>
      <c r="U178" s="6">
        <v>64</v>
      </c>
      <c r="V178" s="6">
        <f>IF(ISERROR(VLOOKUP($S$178,'TAR FIN'!$A$1:$O$91,15,0)),0,VLOOKUP($S$178,'TAR FIN'!$A$1:$O$91,15,0))</f>
        <v>0</v>
      </c>
      <c r="W178" s="6">
        <f>IF(ISERROR(VLOOKUP($T$178,'TAR FIN'!$A$1:$O$91,15,0)),0,VLOOKUP($T$178,'TAR FIN'!$A$1:$O$91,15,0))</f>
        <v>1007.94</v>
      </c>
      <c r="X178" s="6">
        <f>IF(ISERROR(VLOOKUP($U$178,'TAR FIN'!$A$1:$O$91,15,0)),0,VLOOKUP($U$178,'TAR FIN'!$A$1:$O$91,15,0))</f>
        <v>133.97</v>
      </c>
      <c r="Y178" s="6"/>
      <c r="Z178" s="6">
        <f ca="1">('TUSD BE'!$AM$15+'TUSD BF'!$AM$15+'TUSD CVA'!$AM$15)*1</f>
        <v>1254.594131793204</v>
      </c>
      <c r="AA178" s="6">
        <f>('TE BE'!$AB$7+'TE BF'!$AB$7+'TE CVA'!$AB$7)*1</f>
        <v>114.76529888966962</v>
      </c>
      <c r="AB178" s="6">
        <f>$K$178*$V$178</f>
        <v>0</v>
      </c>
      <c r="AC178" s="6">
        <f>$M$178*$W$178</f>
        <v>894787.64766000013</v>
      </c>
      <c r="AD178" s="6">
        <f>$O$178*$X$178</f>
        <v>118930.39383</v>
      </c>
      <c r="AE178" s="6">
        <f>$K$178*$Y$178</f>
        <v>0</v>
      </c>
      <c r="AF178" s="6">
        <f ca="1">$M$178*$Z$178</f>
        <v>1113752.1399639673</v>
      </c>
      <c r="AG178" s="6">
        <f>$O$178*$AA$178</f>
        <v>101881.63167101642</v>
      </c>
    </row>
    <row r="179" spans="1:33" ht="11.25" customHeight="1" x14ac:dyDescent="0.25">
      <c r="A179" s="4" t="s">
        <v>21</v>
      </c>
      <c r="B179" s="4" t="s">
        <v>39</v>
      </c>
      <c r="C179" s="4" t="s">
        <v>40</v>
      </c>
      <c r="D179" s="4" t="s">
        <v>34</v>
      </c>
      <c r="E179" s="4" t="s">
        <v>25</v>
      </c>
      <c r="F179" s="4" t="s">
        <v>25</v>
      </c>
      <c r="G179" s="4" t="s">
        <v>25</v>
      </c>
      <c r="H179" s="4" t="s">
        <v>37</v>
      </c>
      <c r="I179" s="5">
        <v>44713</v>
      </c>
      <c r="J179" s="6">
        <v>0</v>
      </c>
      <c r="K179" s="6">
        <v>0</v>
      </c>
      <c r="L179" s="6">
        <v>867.57</v>
      </c>
      <c r="M179" s="6">
        <v>867.57</v>
      </c>
      <c r="N179" s="6">
        <v>867.57</v>
      </c>
      <c r="O179" s="6">
        <v>867.57</v>
      </c>
      <c r="P179" s="6">
        <v>0</v>
      </c>
      <c r="Q179" s="4" t="s">
        <v>26</v>
      </c>
      <c r="R179" s="4">
        <v>0</v>
      </c>
      <c r="S179" s="6">
        <v>0</v>
      </c>
      <c r="T179" s="6">
        <v>18</v>
      </c>
      <c r="U179" s="6">
        <v>64</v>
      </c>
      <c r="V179" s="6">
        <f>IF(ISERROR(VLOOKUP($S$179,'TAR FIN'!$A$1:$O$91,15,0)),0,VLOOKUP($S$179,'TAR FIN'!$A$1:$O$91,15,0))</f>
        <v>0</v>
      </c>
      <c r="W179" s="6">
        <f>IF(ISERROR(VLOOKUP($T$179,'TAR FIN'!$A$1:$O$91,15,0)),0,VLOOKUP($T$179,'TAR FIN'!$A$1:$O$91,15,0))</f>
        <v>1007.94</v>
      </c>
      <c r="X179" s="6">
        <f>IF(ISERROR(VLOOKUP($U$179,'TAR FIN'!$A$1:$O$91,15,0)),0,VLOOKUP($U$179,'TAR FIN'!$A$1:$O$91,15,0))</f>
        <v>133.97</v>
      </c>
      <c r="Y179" s="6"/>
      <c r="Z179" s="6">
        <f ca="1">('TUSD BE'!$AM$15+'TUSD BF'!$AM$15+'TUSD CVA'!$AM$15)*1</f>
        <v>1254.594131793204</v>
      </c>
      <c r="AA179" s="6">
        <f>('TE BE'!$AB$7+'TE BF'!$AB$7+'TE CVA'!$AB$7)*1</f>
        <v>114.76529888966962</v>
      </c>
      <c r="AB179" s="6">
        <f>$K$179*$V$179</f>
        <v>0</v>
      </c>
      <c r="AC179" s="6">
        <f>$M$179*$W$179</f>
        <v>874458.50580000004</v>
      </c>
      <c r="AD179" s="6">
        <f>$O$179*$X$179</f>
        <v>116228.35290000001</v>
      </c>
      <c r="AE179" s="6">
        <f>$K$179*$Y$179</f>
        <v>0</v>
      </c>
      <c r="AF179" s="6">
        <f ca="1">$M$179*$Z$179</f>
        <v>1088448.23091983</v>
      </c>
      <c r="AG179" s="6">
        <f>$O$179*$AA$179</f>
        <v>99566.930357710677</v>
      </c>
    </row>
    <row r="180" spans="1:33" ht="11.25" customHeight="1" x14ac:dyDescent="0.25">
      <c r="A180" s="4" t="s">
        <v>21</v>
      </c>
      <c r="B180" s="4" t="s">
        <v>39</v>
      </c>
      <c r="C180" s="4" t="s">
        <v>40</v>
      </c>
      <c r="D180" s="4" t="s">
        <v>34</v>
      </c>
      <c r="E180" s="4" t="s">
        <v>25</v>
      </c>
      <c r="F180" s="4" t="s">
        <v>25</v>
      </c>
      <c r="G180" s="4" t="s">
        <v>25</v>
      </c>
      <c r="H180" s="4" t="s">
        <v>37</v>
      </c>
      <c r="I180" s="5">
        <v>44743</v>
      </c>
      <c r="J180" s="6">
        <v>0</v>
      </c>
      <c r="K180" s="6">
        <v>0</v>
      </c>
      <c r="L180" s="6">
        <v>893.82100000000003</v>
      </c>
      <c r="M180" s="6">
        <v>893.82100000000003</v>
      </c>
      <c r="N180" s="6">
        <v>893.82100000000003</v>
      </c>
      <c r="O180" s="6">
        <v>893.82100000000003</v>
      </c>
      <c r="P180" s="6">
        <v>0</v>
      </c>
      <c r="Q180" s="4" t="s">
        <v>26</v>
      </c>
      <c r="R180" s="4">
        <v>0</v>
      </c>
      <c r="S180" s="6">
        <v>0</v>
      </c>
      <c r="T180" s="6">
        <v>18</v>
      </c>
      <c r="U180" s="6">
        <v>64</v>
      </c>
      <c r="V180" s="6">
        <f>IF(ISERROR(VLOOKUP($S$180,'TAR FIN'!$A$1:$O$91,15,0)),0,VLOOKUP($S$180,'TAR FIN'!$A$1:$O$91,15,0))</f>
        <v>0</v>
      </c>
      <c r="W180" s="6">
        <f>IF(ISERROR(VLOOKUP($T$180,'TAR FIN'!$A$1:$O$91,15,0)),0,VLOOKUP($T$180,'TAR FIN'!$A$1:$O$91,15,0))</f>
        <v>1007.94</v>
      </c>
      <c r="X180" s="6">
        <f>IF(ISERROR(VLOOKUP($U$180,'TAR FIN'!$A$1:$O$91,15,0)),0,VLOOKUP($U$180,'TAR FIN'!$A$1:$O$91,15,0))</f>
        <v>133.97</v>
      </c>
      <c r="Y180" s="6"/>
      <c r="Z180" s="6">
        <f ca="1">('TUSD BE'!$AM$15+'TUSD BF'!$AM$15+'TUSD CVA'!$AM$15)*1</f>
        <v>1254.594131793204</v>
      </c>
      <c r="AA180" s="6">
        <f>('TE BE'!$AB$7+'TE BF'!$AB$7+'TE CVA'!$AB$7)*1</f>
        <v>114.76529888966962</v>
      </c>
      <c r="AB180" s="6">
        <f>$K$180*$V$180</f>
        <v>0</v>
      </c>
      <c r="AC180" s="6">
        <f>$M$180*$W$180</f>
        <v>900917.93874000013</v>
      </c>
      <c r="AD180" s="6">
        <f>$O$180*$X$180</f>
        <v>119745.19937</v>
      </c>
      <c r="AE180" s="6">
        <f>$K$180*$Y$180</f>
        <v>0</v>
      </c>
      <c r="AF180" s="6">
        <f ca="1">$M$180*$Z$180</f>
        <v>1121382.5814735335</v>
      </c>
      <c r="AG180" s="6">
        <f>$O$180*$AA$180</f>
        <v>102579.6342188634</v>
      </c>
    </row>
    <row r="181" spans="1:33" ht="11.25" customHeight="1" x14ac:dyDescent="0.25">
      <c r="A181" s="4" t="s">
        <v>57</v>
      </c>
      <c r="B181" s="4" t="s">
        <v>39</v>
      </c>
      <c r="C181" s="4" t="s">
        <v>40</v>
      </c>
      <c r="D181" s="4" t="s">
        <v>34</v>
      </c>
      <c r="E181" s="4" t="s">
        <v>25</v>
      </c>
      <c r="F181" s="4" t="s">
        <v>25</v>
      </c>
      <c r="G181" s="4" t="s">
        <v>25</v>
      </c>
      <c r="H181" s="4" t="s">
        <v>37</v>
      </c>
      <c r="I181" s="5">
        <v>44774</v>
      </c>
      <c r="J181" s="6">
        <v>0</v>
      </c>
      <c r="K181" s="6">
        <v>0</v>
      </c>
      <c r="L181" s="6">
        <v>893.82100000000003</v>
      </c>
      <c r="M181" s="6">
        <v>893.82100000000003</v>
      </c>
      <c r="N181" s="6">
        <v>893.82100000000003</v>
      </c>
      <c r="O181" s="6">
        <v>893.82100000000003</v>
      </c>
      <c r="P181" s="6">
        <v>0</v>
      </c>
      <c r="Q181" s="4" t="s">
        <v>26</v>
      </c>
      <c r="R181" s="4">
        <v>0</v>
      </c>
      <c r="S181" s="6">
        <v>0</v>
      </c>
      <c r="T181" s="6">
        <v>18</v>
      </c>
      <c r="U181" s="6">
        <v>64</v>
      </c>
      <c r="V181" s="6">
        <f>IF(ISERROR(VLOOKUP($S$181,'TAR FIN'!$A$1:$O$91,15,0)),0,VLOOKUP($S$181,'TAR FIN'!$A$1:$O$91,15,0))</f>
        <v>0</v>
      </c>
      <c r="W181" s="6">
        <f>IF(ISERROR(VLOOKUP($T$181,'TAR FIN'!$A$1:$O$91,15,0)),0,VLOOKUP($T$181,'TAR FIN'!$A$1:$O$91,15,0))</f>
        <v>1007.94</v>
      </c>
      <c r="X181" s="6">
        <f>IF(ISERROR(VLOOKUP($U$181,'TAR FIN'!$A$1:$O$91,15,0)),0,VLOOKUP($U$181,'TAR FIN'!$A$1:$O$91,15,0))</f>
        <v>133.97</v>
      </c>
      <c r="Y181" s="6"/>
      <c r="Z181" s="6">
        <f ca="1">('TUSD BE'!$AM$15+'TUSD BF'!$AM$15+'TUSD CVA'!$AM$15)*1</f>
        <v>1254.594131793204</v>
      </c>
      <c r="AA181" s="6">
        <f>('TE BE'!$AB$7+'TE BF'!$AB$7+'TE CVA'!$AB$7)*1</f>
        <v>114.76529888966962</v>
      </c>
      <c r="AB181" s="6">
        <f>$K$181*$V$181</f>
        <v>0</v>
      </c>
      <c r="AC181" s="6">
        <f>$M$181*$W$181</f>
        <v>900917.93874000013</v>
      </c>
      <c r="AD181" s="6">
        <f>$O$181*$X$181</f>
        <v>119745.19937</v>
      </c>
      <c r="AE181" s="6">
        <f>$K$181*$Y$181</f>
        <v>0</v>
      </c>
      <c r="AF181" s="6">
        <f ca="1">$M$181*$Z$181</f>
        <v>1121382.5814735335</v>
      </c>
      <c r="AG181" s="6">
        <f>$O$181*$AA$181</f>
        <v>102579.6342188634</v>
      </c>
    </row>
    <row r="182" spans="1:33" ht="11.25" customHeight="1" x14ac:dyDescent="0.25">
      <c r="A182" s="4" t="s">
        <v>21</v>
      </c>
      <c r="B182" s="4" t="s">
        <v>39</v>
      </c>
      <c r="C182" s="4" t="s">
        <v>40</v>
      </c>
      <c r="D182" s="4" t="s">
        <v>44</v>
      </c>
      <c r="E182" s="4" t="s">
        <v>25</v>
      </c>
      <c r="F182" s="4" t="s">
        <v>25</v>
      </c>
      <c r="G182" s="4" t="s">
        <v>25</v>
      </c>
      <c r="H182" s="4" t="s">
        <v>38</v>
      </c>
      <c r="I182" s="5">
        <v>44440</v>
      </c>
      <c r="J182" s="6">
        <v>0</v>
      </c>
      <c r="K182" s="6">
        <v>0</v>
      </c>
      <c r="L182" s="6">
        <v>20.654</v>
      </c>
      <c r="M182" s="6">
        <v>20.654</v>
      </c>
      <c r="N182" s="6">
        <v>20.654</v>
      </c>
      <c r="O182" s="6">
        <v>20.654</v>
      </c>
      <c r="P182" s="6">
        <v>0</v>
      </c>
      <c r="Q182" s="4" t="s">
        <v>26</v>
      </c>
      <c r="R182" s="4">
        <v>0</v>
      </c>
      <c r="S182" s="6">
        <v>0</v>
      </c>
      <c r="T182" s="6">
        <v>3</v>
      </c>
      <c r="U182" s="6">
        <v>85</v>
      </c>
      <c r="V182" s="6">
        <f>IF(ISERROR(VLOOKUP($S$182,'TAR FIN'!$A$1:$O$91,15,0)),0,VLOOKUP($S$182,'TAR FIN'!$A$1:$O$91,15,0))</f>
        <v>0</v>
      </c>
      <c r="W182" s="6">
        <f>IF(ISERROR(VLOOKUP($T$182,'TAR FIN'!$A$1:$O$91,15,0)),0,VLOOKUP($T$182,'TAR FIN'!$A$1:$O$91,15,0))</f>
        <v>90.67</v>
      </c>
      <c r="X182" s="6">
        <f>IF(ISERROR(VLOOKUP($U$182,'TAR FIN'!$A$1:$O$91,15,0)),0,VLOOKUP($U$182,'TAR FIN'!$A$1:$O$91,15,0))</f>
        <v>133.97</v>
      </c>
      <c r="Y182" s="6"/>
      <c r="Z182" s="6">
        <f ca="1">('TUSD BE'!$AM$16+'TUSD BF'!$AM$16+'TUSD CVA'!$AM$16)*1</f>
        <v>121.64342985575733</v>
      </c>
      <c r="AA182" s="6">
        <f>('TE BE'!$AB$8+'TE BF'!$AB$8+'TE CVA'!$AB$8)*1</f>
        <v>114.76529888966962</v>
      </c>
      <c r="AB182" s="6">
        <f>$K$182*$V$182</f>
        <v>0</v>
      </c>
      <c r="AC182" s="6">
        <f>$M$182*$W$182</f>
        <v>1872.6981800000001</v>
      </c>
      <c r="AD182" s="6">
        <f>$O$182*$X$182</f>
        <v>2767.01638</v>
      </c>
      <c r="AE182" s="6">
        <f>$K$182*$Y$182</f>
        <v>0</v>
      </c>
      <c r="AF182" s="6">
        <f ca="1">$M$182*$Z$182</f>
        <v>2512.423400240812</v>
      </c>
      <c r="AG182" s="6">
        <f>$O$182*$AA$182</f>
        <v>2370.3624832672363</v>
      </c>
    </row>
    <row r="183" spans="1:33" ht="11.25" customHeight="1" x14ac:dyDescent="0.25">
      <c r="A183" s="4" t="s">
        <v>21</v>
      </c>
      <c r="B183" s="4" t="s">
        <v>39</v>
      </c>
      <c r="C183" s="4" t="s">
        <v>40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38</v>
      </c>
      <c r="I183" s="5">
        <v>44470</v>
      </c>
      <c r="J183" s="6">
        <v>0</v>
      </c>
      <c r="K183" s="6">
        <v>0</v>
      </c>
      <c r="L183" s="6">
        <v>21.516999999999999</v>
      </c>
      <c r="M183" s="6">
        <v>21.516999999999999</v>
      </c>
      <c r="N183" s="6">
        <v>21.516999999999999</v>
      </c>
      <c r="O183" s="6">
        <v>21.516999999999999</v>
      </c>
      <c r="P183" s="6">
        <v>0</v>
      </c>
      <c r="Q183" s="4" t="s">
        <v>26</v>
      </c>
      <c r="R183" s="4">
        <v>0</v>
      </c>
      <c r="S183" s="6">
        <v>0</v>
      </c>
      <c r="T183" s="6">
        <v>3</v>
      </c>
      <c r="U183" s="6">
        <v>85</v>
      </c>
      <c r="V183" s="6">
        <f>IF(ISERROR(VLOOKUP($S$183,'TAR FIN'!$A$1:$O$91,15,0)),0,VLOOKUP($S$183,'TAR FIN'!$A$1:$O$91,15,0))</f>
        <v>0</v>
      </c>
      <c r="W183" s="6">
        <f>IF(ISERROR(VLOOKUP($T$183,'TAR FIN'!$A$1:$O$91,15,0)),0,VLOOKUP($T$183,'TAR FIN'!$A$1:$O$91,15,0))</f>
        <v>90.67</v>
      </c>
      <c r="X183" s="6">
        <f>IF(ISERROR(VLOOKUP($U$183,'TAR FIN'!$A$1:$O$91,15,0)),0,VLOOKUP($U$183,'TAR FIN'!$A$1:$O$91,15,0))</f>
        <v>133.97</v>
      </c>
      <c r="Y183" s="6"/>
      <c r="Z183" s="6">
        <f ca="1">('TUSD BE'!$AM$16+'TUSD BF'!$AM$16+'TUSD CVA'!$AM$16)*1</f>
        <v>121.64342985575733</v>
      </c>
      <c r="AA183" s="6">
        <f>('TE BE'!$AB$8+'TE BF'!$AB$8+'TE CVA'!$AB$8)*1</f>
        <v>114.76529888966962</v>
      </c>
      <c r="AB183" s="6">
        <f>$K$183*$V$183</f>
        <v>0</v>
      </c>
      <c r="AC183" s="6">
        <f>$M$183*$W$183</f>
        <v>1950.9463900000001</v>
      </c>
      <c r="AD183" s="6">
        <f>$O$183*$X$183</f>
        <v>2882.63249</v>
      </c>
      <c r="AE183" s="6">
        <f>$K$183*$Y$183</f>
        <v>0</v>
      </c>
      <c r="AF183" s="6">
        <f ca="1">$M$183*$Z$183</f>
        <v>2617.4016802063306</v>
      </c>
      <c r="AG183" s="6">
        <f>$O$183*$AA$183</f>
        <v>2469.4049362090213</v>
      </c>
    </row>
    <row r="184" spans="1:33" ht="11.25" customHeight="1" x14ac:dyDescent="0.25">
      <c r="A184" s="4" t="s">
        <v>21</v>
      </c>
      <c r="B184" s="4" t="s">
        <v>39</v>
      </c>
      <c r="C184" s="4" t="s">
        <v>40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38</v>
      </c>
      <c r="I184" s="5">
        <v>44501</v>
      </c>
      <c r="J184" s="6">
        <v>0</v>
      </c>
      <c r="K184" s="6">
        <v>0</v>
      </c>
      <c r="L184" s="6">
        <v>22.597000000000001</v>
      </c>
      <c r="M184" s="6">
        <v>22.597000000000001</v>
      </c>
      <c r="N184" s="6">
        <v>22.597000000000001</v>
      </c>
      <c r="O184" s="6">
        <v>22.597000000000001</v>
      </c>
      <c r="P184" s="6">
        <v>0</v>
      </c>
      <c r="Q184" s="4" t="s">
        <v>26</v>
      </c>
      <c r="R184" s="4">
        <v>0</v>
      </c>
      <c r="S184" s="6">
        <v>0</v>
      </c>
      <c r="T184" s="6">
        <v>3</v>
      </c>
      <c r="U184" s="6">
        <v>85</v>
      </c>
      <c r="V184" s="6">
        <f>IF(ISERROR(VLOOKUP($S$184,'TAR FIN'!$A$1:$O$91,15,0)),0,VLOOKUP($S$184,'TAR FIN'!$A$1:$O$91,15,0))</f>
        <v>0</v>
      </c>
      <c r="W184" s="6">
        <f>IF(ISERROR(VLOOKUP($T$184,'TAR FIN'!$A$1:$O$91,15,0)),0,VLOOKUP($T$184,'TAR FIN'!$A$1:$O$91,15,0))</f>
        <v>90.67</v>
      </c>
      <c r="X184" s="6">
        <f>IF(ISERROR(VLOOKUP($U$184,'TAR FIN'!$A$1:$O$91,15,0)),0,VLOOKUP($U$184,'TAR FIN'!$A$1:$O$91,15,0))</f>
        <v>133.97</v>
      </c>
      <c r="Y184" s="6"/>
      <c r="Z184" s="6">
        <f ca="1">('TUSD BE'!$AM$16+'TUSD BF'!$AM$16+'TUSD CVA'!$AM$16)*1</f>
        <v>121.64342985575733</v>
      </c>
      <c r="AA184" s="6">
        <f>('TE BE'!$AB$8+'TE BF'!$AB$8+'TE CVA'!$AB$8)*1</f>
        <v>114.76529888966962</v>
      </c>
      <c r="AB184" s="6">
        <f>$K$184*$V$184</f>
        <v>0</v>
      </c>
      <c r="AC184" s="6">
        <f>$M$184*$W$184</f>
        <v>2048.8699900000001</v>
      </c>
      <c r="AD184" s="6">
        <f>$O$184*$X$184</f>
        <v>3027.3200900000002</v>
      </c>
      <c r="AE184" s="6">
        <f>$K$184*$Y$184</f>
        <v>0</v>
      </c>
      <c r="AF184" s="6">
        <f ca="1">$M$184*$Z$184</f>
        <v>2748.7765844505484</v>
      </c>
      <c r="AG184" s="6">
        <f>$O$184*$AA$184</f>
        <v>2593.3514590098648</v>
      </c>
    </row>
    <row r="185" spans="1:33" ht="11.25" customHeight="1" x14ac:dyDescent="0.25">
      <c r="A185" s="4" t="s">
        <v>21</v>
      </c>
      <c r="B185" s="4" t="s">
        <v>39</v>
      </c>
      <c r="C185" s="4" t="s">
        <v>40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38</v>
      </c>
      <c r="I185" s="5">
        <v>44531</v>
      </c>
      <c r="J185" s="6">
        <v>0</v>
      </c>
      <c r="K185" s="6">
        <v>0</v>
      </c>
      <c r="L185" s="6">
        <v>20.936</v>
      </c>
      <c r="M185" s="6">
        <v>20.936</v>
      </c>
      <c r="N185" s="6">
        <v>20.936</v>
      </c>
      <c r="O185" s="6">
        <v>20.936</v>
      </c>
      <c r="P185" s="6">
        <v>0</v>
      </c>
      <c r="Q185" s="4" t="s">
        <v>26</v>
      </c>
      <c r="R185" s="4">
        <v>0</v>
      </c>
      <c r="S185" s="6">
        <v>0</v>
      </c>
      <c r="T185" s="6">
        <v>3</v>
      </c>
      <c r="U185" s="6">
        <v>85</v>
      </c>
      <c r="V185" s="6">
        <f>IF(ISERROR(VLOOKUP($S$185,'TAR FIN'!$A$1:$O$91,15,0)),0,VLOOKUP($S$185,'TAR FIN'!$A$1:$O$91,15,0))</f>
        <v>0</v>
      </c>
      <c r="W185" s="6">
        <f>IF(ISERROR(VLOOKUP($T$185,'TAR FIN'!$A$1:$O$91,15,0)),0,VLOOKUP($T$185,'TAR FIN'!$A$1:$O$91,15,0))</f>
        <v>90.67</v>
      </c>
      <c r="X185" s="6">
        <f>IF(ISERROR(VLOOKUP($U$185,'TAR FIN'!$A$1:$O$91,15,0)),0,VLOOKUP($U$185,'TAR FIN'!$A$1:$O$91,15,0))</f>
        <v>133.97</v>
      </c>
      <c r="Y185" s="6"/>
      <c r="Z185" s="6">
        <f ca="1">('TUSD BE'!$AM$16+'TUSD BF'!$AM$16+'TUSD CVA'!$AM$16)*1</f>
        <v>121.64342985575733</v>
      </c>
      <c r="AA185" s="6">
        <f>('TE BE'!$AB$8+'TE BF'!$AB$8+'TE CVA'!$AB$8)*1</f>
        <v>114.76529888966962</v>
      </c>
      <c r="AB185" s="6">
        <f>$K$185*$V$185</f>
        <v>0</v>
      </c>
      <c r="AC185" s="6">
        <f>$M$185*$W$185</f>
        <v>1898.26712</v>
      </c>
      <c r="AD185" s="6">
        <f>$O$185*$X$185</f>
        <v>2804.79592</v>
      </c>
      <c r="AE185" s="6">
        <f>$K$185*$Y$185</f>
        <v>0</v>
      </c>
      <c r="AF185" s="6">
        <f ca="1">$M$185*$Z$185</f>
        <v>2546.7268474601356</v>
      </c>
      <c r="AG185" s="6">
        <f>$O$185*$AA$185</f>
        <v>2402.726297554123</v>
      </c>
    </row>
    <row r="186" spans="1:33" ht="11.25" customHeight="1" x14ac:dyDescent="0.25">
      <c r="A186" s="4" t="s">
        <v>21</v>
      </c>
      <c r="B186" s="4" t="s">
        <v>39</v>
      </c>
      <c r="C186" s="4" t="s">
        <v>40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38</v>
      </c>
      <c r="I186" s="5">
        <v>44562</v>
      </c>
      <c r="J186" s="6">
        <v>0</v>
      </c>
      <c r="K186" s="6">
        <v>0</v>
      </c>
      <c r="L186" s="6">
        <v>25.707000000000001</v>
      </c>
      <c r="M186" s="6">
        <v>25.707000000000001</v>
      </c>
      <c r="N186" s="6">
        <v>25.707000000000001</v>
      </c>
      <c r="O186" s="6">
        <v>25.707000000000001</v>
      </c>
      <c r="P186" s="6">
        <v>0</v>
      </c>
      <c r="Q186" s="4" t="s">
        <v>26</v>
      </c>
      <c r="R186" s="4">
        <v>0</v>
      </c>
      <c r="S186" s="6">
        <v>0</v>
      </c>
      <c r="T186" s="6">
        <v>3</v>
      </c>
      <c r="U186" s="6">
        <v>85</v>
      </c>
      <c r="V186" s="6">
        <f>IF(ISERROR(VLOOKUP($S$186,'TAR FIN'!$A$1:$O$91,15,0)),0,VLOOKUP($S$186,'TAR FIN'!$A$1:$O$91,15,0))</f>
        <v>0</v>
      </c>
      <c r="W186" s="6">
        <f>IF(ISERROR(VLOOKUP($T$186,'TAR FIN'!$A$1:$O$91,15,0)),0,VLOOKUP($T$186,'TAR FIN'!$A$1:$O$91,15,0))</f>
        <v>90.67</v>
      </c>
      <c r="X186" s="6">
        <f>IF(ISERROR(VLOOKUP($U$186,'TAR FIN'!$A$1:$O$91,15,0)),0,VLOOKUP($U$186,'TAR FIN'!$A$1:$O$91,15,0))</f>
        <v>133.97</v>
      </c>
      <c r="Y186" s="6"/>
      <c r="Z186" s="6">
        <f ca="1">('TUSD BE'!$AM$16+'TUSD BF'!$AM$16+'TUSD CVA'!$AM$16)*1</f>
        <v>121.64342985575733</v>
      </c>
      <c r="AA186" s="6">
        <f>('TE BE'!$AB$8+'TE BF'!$AB$8+'TE CVA'!$AB$8)*1</f>
        <v>114.76529888966962</v>
      </c>
      <c r="AB186" s="6">
        <f>$K$186*$V$186</f>
        <v>0</v>
      </c>
      <c r="AC186" s="6">
        <f>$M$186*$W$186</f>
        <v>2330.8536899999999</v>
      </c>
      <c r="AD186" s="6">
        <f>$O$186*$X$186</f>
        <v>3443.9667899999999</v>
      </c>
      <c r="AE186" s="6">
        <f>$K$186*$Y$186</f>
        <v>0</v>
      </c>
      <c r="AF186" s="6">
        <f ca="1">$M$186*$Z$186</f>
        <v>3127.0876513019539</v>
      </c>
      <c r="AG186" s="6">
        <f>$O$186*$AA$186</f>
        <v>2950.2715385567371</v>
      </c>
    </row>
    <row r="187" spans="1:33" ht="11.25" customHeight="1" x14ac:dyDescent="0.25">
      <c r="A187" s="4" t="s">
        <v>21</v>
      </c>
      <c r="B187" s="4" t="s">
        <v>39</v>
      </c>
      <c r="C187" s="4" t="s">
        <v>40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38</v>
      </c>
      <c r="I187" s="5">
        <v>44593</v>
      </c>
      <c r="J187" s="6">
        <v>0</v>
      </c>
      <c r="K187" s="6">
        <v>0</v>
      </c>
      <c r="L187" s="6">
        <v>28.829000000000001</v>
      </c>
      <c r="M187" s="6">
        <v>28.829000000000001</v>
      </c>
      <c r="N187" s="6">
        <v>28.829000000000001</v>
      </c>
      <c r="O187" s="6">
        <v>28.829000000000001</v>
      </c>
      <c r="P187" s="6">
        <v>0</v>
      </c>
      <c r="Q187" s="4" t="s">
        <v>26</v>
      </c>
      <c r="R187" s="4">
        <v>0</v>
      </c>
      <c r="S187" s="6">
        <v>0</v>
      </c>
      <c r="T187" s="6">
        <v>3</v>
      </c>
      <c r="U187" s="6">
        <v>85</v>
      </c>
      <c r="V187" s="6">
        <f>IF(ISERROR(VLOOKUP($S$187,'TAR FIN'!$A$1:$O$91,15,0)),0,VLOOKUP($S$187,'TAR FIN'!$A$1:$O$91,15,0))</f>
        <v>0</v>
      </c>
      <c r="W187" s="6">
        <f>IF(ISERROR(VLOOKUP($T$187,'TAR FIN'!$A$1:$O$91,15,0)),0,VLOOKUP($T$187,'TAR FIN'!$A$1:$O$91,15,0))</f>
        <v>90.67</v>
      </c>
      <c r="X187" s="6">
        <f>IF(ISERROR(VLOOKUP($U$187,'TAR FIN'!$A$1:$O$91,15,0)),0,VLOOKUP($U$187,'TAR FIN'!$A$1:$O$91,15,0))</f>
        <v>133.97</v>
      </c>
      <c r="Y187" s="6"/>
      <c r="Z187" s="6">
        <f ca="1">('TUSD BE'!$AM$16+'TUSD BF'!$AM$16+'TUSD CVA'!$AM$16)*1</f>
        <v>121.64342985575733</v>
      </c>
      <c r="AA187" s="6">
        <f>('TE BE'!$AB$8+'TE BF'!$AB$8+'TE CVA'!$AB$8)*1</f>
        <v>114.76529888966962</v>
      </c>
      <c r="AB187" s="6">
        <f>$K$187*$V$187</f>
        <v>0</v>
      </c>
      <c r="AC187" s="6">
        <f>$M$187*$W$187</f>
        <v>2613.9254300000002</v>
      </c>
      <c r="AD187" s="6">
        <f>$O$187*$X$187</f>
        <v>3862.2211299999999</v>
      </c>
      <c r="AE187" s="6">
        <f>$K$187*$Y$187</f>
        <v>0</v>
      </c>
      <c r="AF187" s="6">
        <f ca="1">$M$187*$Z$187</f>
        <v>3506.8584393116284</v>
      </c>
      <c r="AG187" s="6">
        <f>$O$187*$AA$187</f>
        <v>3308.5688016902855</v>
      </c>
    </row>
    <row r="188" spans="1:33" ht="11.25" customHeight="1" x14ac:dyDescent="0.25">
      <c r="A188" s="4" t="s">
        <v>21</v>
      </c>
      <c r="B188" s="4" t="s">
        <v>39</v>
      </c>
      <c r="C188" s="4" t="s">
        <v>40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38</v>
      </c>
      <c r="I188" s="5">
        <v>44621</v>
      </c>
      <c r="J188" s="6">
        <v>0</v>
      </c>
      <c r="K188" s="6">
        <v>0</v>
      </c>
      <c r="L188" s="6">
        <v>28.777000000000001</v>
      </c>
      <c r="M188" s="6">
        <v>28.777000000000001</v>
      </c>
      <c r="N188" s="6">
        <v>28.777000000000001</v>
      </c>
      <c r="O188" s="6">
        <v>28.777000000000001</v>
      </c>
      <c r="P188" s="6">
        <v>0</v>
      </c>
      <c r="Q188" s="4" t="s">
        <v>26</v>
      </c>
      <c r="R188" s="4">
        <v>0</v>
      </c>
      <c r="S188" s="6">
        <v>0</v>
      </c>
      <c r="T188" s="6">
        <v>3</v>
      </c>
      <c r="U188" s="6">
        <v>85</v>
      </c>
      <c r="V188" s="6">
        <f>IF(ISERROR(VLOOKUP($S$188,'TAR FIN'!$A$1:$O$91,15,0)),0,VLOOKUP($S$188,'TAR FIN'!$A$1:$O$91,15,0))</f>
        <v>0</v>
      </c>
      <c r="W188" s="6">
        <f>IF(ISERROR(VLOOKUP($T$188,'TAR FIN'!$A$1:$O$91,15,0)),0,VLOOKUP($T$188,'TAR FIN'!$A$1:$O$91,15,0))</f>
        <v>90.67</v>
      </c>
      <c r="X188" s="6">
        <f>IF(ISERROR(VLOOKUP($U$188,'TAR FIN'!$A$1:$O$91,15,0)),0,VLOOKUP($U$188,'TAR FIN'!$A$1:$O$91,15,0))</f>
        <v>133.97</v>
      </c>
      <c r="Y188" s="6"/>
      <c r="Z188" s="6">
        <f ca="1">('TUSD BE'!$AM$16+'TUSD BF'!$AM$16+'TUSD CVA'!$AM$16)*1</f>
        <v>121.64342985575733</v>
      </c>
      <c r="AA188" s="6">
        <f>('TE BE'!$AB$8+'TE BF'!$AB$8+'TE CVA'!$AB$8)*1</f>
        <v>114.76529888966962</v>
      </c>
      <c r="AB188" s="6">
        <f>$K$188*$V$188</f>
        <v>0</v>
      </c>
      <c r="AC188" s="6">
        <f>$M$188*$W$188</f>
        <v>2609.2105900000001</v>
      </c>
      <c r="AD188" s="6">
        <f>$O$188*$X$188</f>
        <v>3855.2546900000002</v>
      </c>
      <c r="AE188" s="6">
        <f>$K$188*$Y$188</f>
        <v>0</v>
      </c>
      <c r="AF188" s="6">
        <f ca="1">$M$188*$Z$188</f>
        <v>3500.532980959129</v>
      </c>
      <c r="AG188" s="6">
        <f>$O$188*$AA$188</f>
        <v>3302.6010061480229</v>
      </c>
    </row>
    <row r="189" spans="1:33" ht="11.25" customHeight="1" x14ac:dyDescent="0.25">
      <c r="A189" s="4" t="s">
        <v>21</v>
      </c>
      <c r="B189" s="4" t="s">
        <v>39</v>
      </c>
      <c r="C189" s="4" t="s">
        <v>40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38</v>
      </c>
      <c r="I189" s="5">
        <v>44652</v>
      </c>
      <c r="J189" s="6">
        <v>0</v>
      </c>
      <c r="K189" s="6">
        <v>0</v>
      </c>
      <c r="L189" s="6">
        <v>22.367000000000001</v>
      </c>
      <c r="M189" s="6">
        <v>22.367000000000001</v>
      </c>
      <c r="N189" s="6">
        <v>22.367000000000001</v>
      </c>
      <c r="O189" s="6">
        <v>22.367000000000001</v>
      </c>
      <c r="P189" s="6">
        <v>0</v>
      </c>
      <c r="Q189" s="4" t="s">
        <v>26</v>
      </c>
      <c r="R189" s="4">
        <v>0</v>
      </c>
      <c r="S189" s="6">
        <v>0</v>
      </c>
      <c r="T189" s="6">
        <v>3</v>
      </c>
      <c r="U189" s="6">
        <v>85</v>
      </c>
      <c r="V189" s="6">
        <f>IF(ISERROR(VLOOKUP($S$189,'TAR FIN'!$A$1:$O$91,15,0)),0,VLOOKUP($S$189,'TAR FIN'!$A$1:$O$91,15,0))</f>
        <v>0</v>
      </c>
      <c r="W189" s="6">
        <f>IF(ISERROR(VLOOKUP($T$189,'TAR FIN'!$A$1:$O$91,15,0)),0,VLOOKUP($T$189,'TAR FIN'!$A$1:$O$91,15,0))</f>
        <v>90.67</v>
      </c>
      <c r="X189" s="6">
        <f>IF(ISERROR(VLOOKUP($U$189,'TAR FIN'!$A$1:$O$91,15,0)),0,VLOOKUP($U$189,'TAR FIN'!$A$1:$O$91,15,0))</f>
        <v>133.97</v>
      </c>
      <c r="Y189" s="6"/>
      <c r="Z189" s="6">
        <f ca="1">('TUSD BE'!$AM$16+'TUSD BF'!$AM$16+'TUSD CVA'!$AM$16)*1</f>
        <v>121.64342985575733</v>
      </c>
      <c r="AA189" s="6">
        <f>('TE BE'!$AB$8+'TE BF'!$AB$8+'TE CVA'!$AB$8)*1</f>
        <v>114.76529888966962</v>
      </c>
      <c r="AB189" s="6">
        <f>$K$189*$V$189</f>
        <v>0</v>
      </c>
      <c r="AC189" s="6">
        <f>$M$189*$W$189</f>
        <v>2028.0158900000001</v>
      </c>
      <c r="AD189" s="6">
        <f>$O$189*$X$189</f>
        <v>2996.5069900000003</v>
      </c>
      <c r="AE189" s="6">
        <f>$K$189*$Y$189</f>
        <v>0</v>
      </c>
      <c r="AF189" s="6">
        <f ca="1">$M$189*$Z$189</f>
        <v>2720.7985955837244</v>
      </c>
      <c r="AG189" s="6">
        <f>$O$189*$AA$189</f>
        <v>2566.9554402652407</v>
      </c>
    </row>
    <row r="190" spans="1:33" ht="11.25" customHeight="1" x14ac:dyDescent="0.25">
      <c r="A190" s="4" t="s">
        <v>21</v>
      </c>
      <c r="B190" s="4" t="s">
        <v>39</v>
      </c>
      <c r="C190" s="4" t="s">
        <v>40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38</v>
      </c>
      <c r="I190" s="5">
        <v>44682</v>
      </c>
      <c r="J190" s="6">
        <v>0</v>
      </c>
      <c r="K190" s="6">
        <v>0</v>
      </c>
      <c r="L190" s="6">
        <v>20.501999999999999</v>
      </c>
      <c r="M190" s="6">
        <v>20.501999999999999</v>
      </c>
      <c r="N190" s="6">
        <v>20.501999999999999</v>
      </c>
      <c r="O190" s="6">
        <v>20.501999999999999</v>
      </c>
      <c r="P190" s="6">
        <v>0</v>
      </c>
      <c r="Q190" s="4" t="s">
        <v>26</v>
      </c>
      <c r="R190" s="4">
        <v>0</v>
      </c>
      <c r="S190" s="6">
        <v>0</v>
      </c>
      <c r="T190" s="6">
        <v>3</v>
      </c>
      <c r="U190" s="6">
        <v>85</v>
      </c>
      <c r="V190" s="6">
        <f>IF(ISERROR(VLOOKUP($S$190,'TAR FIN'!$A$1:$O$91,15,0)),0,VLOOKUP($S$190,'TAR FIN'!$A$1:$O$91,15,0))</f>
        <v>0</v>
      </c>
      <c r="W190" s="6">
        <f>IF(ISERROR(VLOOKUP($T$190,'TAR FIN'!$A$1:$O$91,15,0)),0,VLOOKUP($T$190,'TAR FIN'!$A$1:$O$91,15,0))</f>
        <v>90.67</v>
      </c>
      <c r="X190" s="6">
        <f>IF(ISERROR(VLOOKUP($U$190,'TAR FIN'!$A$1:$O$91,15,0)),0,VLOOKUP($U$190,'TAR FIN'!$A$1:$O$91,15,0))</f>
        <v>133.97</v>
      </c>
      <c r="Y190" s="6"/>
      <c r="Z190" s="6">
        <f ca="1">('TUSD BE'!$AM$16+'TUSD BF'!$AM$16+'TUSD CVA'!$AM$16)*1</f>
        <v>121.64342985575733</v>
      </c>
      <c r="AA190" s="6">
        <f>('TE BE'!$AB$8+'TE BF'!$AB$8+'TE CVA'!$AB$8)*1</f>
        <v>114.76529888966962</v>
      </c>
      <c r="AB190" s="6">
        <f>$K$190*$V$190</f>
        <v>0</v>
      </c>
      <c r="AC190" s="6">
        <f>$M$190*$W$190</f>
        <v>1858.91634</v>
      </c>
      <c r="AD190" s="6">
        <f>$O$190*$X$190</f>
        <v>2746.6529399999999</v>
      </c>
      <c r="AE190" s="6">
        <f>$K$190*$Y$190</f>
        <v>0</v>
      </c>
      <c r="AF190" s="6">
        <f ca="1">$M$190*$Z$190</f>
        <v>2493.9335989027368</v>
      </c>
      <c r="AG190" s="6">
        <f>$O$190*$AA$190</f>
        <v>2352.9181578360067</v>
      </c>
    </row>
    <row r="191" spans="1:33" ht="11.25" customHeight="1" x14ac:dyDescent="0.25">
      <c r="A191" s="4" t="s">
        <v>21</v>
      </c>
      <c r="B191" s="4" t="s">
        <v>39</v>
      </c>
      <c r="C191" s="4" t="s">
        <v>40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38</v>
      </c>
      <c r="I191" s="5">
        <v>44713</v>
      </c>
      <c r="J191" s="6">
        <v>0</v>
      </c>
      <c r="K191" s="6">
        <v>0</v>
      </c>
      <c r="L191" s="6">
        <v>21.259</v>
      </c>
      <c r="M191" s="6">
        <v>21.259</v>
      </c>
      <c r="N191" s="6">
        <v>21.259</v>
      </c>
      <c r="O191" s="6">
        <v>21.259</v>
      </c>
      <c r="P191" s="6">
        <v>0</v>
      </c>
      <c r="Q191" s="4" t="s">
        <v>26</v>
      </c>
      <c r="R191" s="4">
        <v>0</v>
      </c>
      <c r="S191" s="6">
        <v>0</v>
      </c>
      <c r="T191" s="6">
        <v>3</v>
      </c>
      <c r="U191" s="6">
        <v>85</v>
      </c>
      <c r="V191" s="6">
        <f>IF(ISERROR(VLOOKUP($S$191,'TAR FIN'!$A$1:$O$91,15,0)),0,VLOOKUP($S$191,'TAR FIN'!$A$1:$O$91,15,0))</f>
        <v>0</v>
      </c>
      <c r="W191" s="6">
        <f>IF(ISERROR(VLOOKUP($T$191,'TAR FIN'!$A$1:$O$91,15,0)),0,VLOOKUP($T$191,'TAR FIN'!$A$1:$O$91,15,0))</f>
        <v>90.67</v>
      </c>
      <c r="X191" s="6">
        <f>IF(ISERROR(VLOOKUP($U$191,'TAR FIN'!$A$1:$O$91,15,0)),0,VLOOKUP($U$191,'TAR FIN'!$A$1:$O$91,15,0))</f>
        <v>133.97</v>
      </c>
      <c r="Y191" s="6"/>
      <c r="Z191" s="6">
        <f ca="1">('TUSD BE'!$AM$16+'TUSD BF'!$AM$16+'TUSD CVA'!$AM$16)*1</f>
        <v>121.64342985575733</v>
      </c>
      <c r="AA191" s="6">
        <f>('TE BE'!$AB$8+'TE BF'!$AB$8+'TE CVA'!$AB$8)*1</f>
        <v>114.76529888966962</v>
      </c>
      <c r="AB191" s="6">
        <f>$K$191*$V$191</f>
        <v>0</v>
      </c>
      <c r="AC191" s="6">
        <f>$M$191*$W$191</f>
        <v>1927.5535300000001</v>
      </c>
      <c r="AD191" s="6">
        <f>$O$191*$X$191</f>
        <v>2848.0682299999999</v>
      </c>
      <c r="AE191" s="6">
        <f>$K$191*$Y$191</f>
        <v>0</v>
      </c>
      <c r="AF191" s="6">
        <f ca="1">$M$191*$Z$191</f>
        <v>2586.0176753035453</v>
      </c>
      <c r="AG191" s="6">
        <f>$O$191*$AA$191</f>
        <v>2439.7954890954866</v>
      </c>
    </row>
    <row r="192" spans="1:33" ht="11.25" customHeight="1" x14ac:dyDescent="0.25">
      <c r="A192" s="4" t="s">
        <v>21</v>
      </c>
      <c r="B192" s="4" t="s">
        <v>39</v>
      </c>
      <c r="C192" s="4" t="s">
        <v>40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38</v>
      </c>
      <c r="I192" s="5">
        <v>44743</v>
      </c>
      <c r="J192" s="6">
        <v>0</v>
      </c>
      <c r="K192" s="6">
        <v>0</v>
      </c>
      <c r="L192" s="6">
        <v>20.71</v>
      </c>
      <c r="M192" s="6">
        <v>20.71</v>
      </c>
      <c r="N192" s="6">
        <v>20.71</v>
      </c>
      <c r="O192" s="6">
        <v>20.71</v>
      </c>
      <c r="P192" s="6">
        <v>0</v>
      </c>
      <c r="Q192" s="4" t="s">
        <v>26</v>
      </c>
      <c r="R192" s="4">
        <v>0</v>
      </c>
      <c r="S192" s="6">
        <v>0</v>
      </c>
      <c r="T192" s="6">
        <v>3</v>
      </c>
      <c r="U192" s="6">
        <v>85</v>
      </c>
      <c r="V192" s="6">
        <f>IF(ISERROR(VLOOKUP($S$192,'TAR FIN'!$A$1:$O$91,15,0)),0,VLOOKUP($S$192,'TAR FIN'!$A$1:$O$91,15,0))</f>
        <v>0</v>
      </c>
      <c r="W192" s="6">
        <f>IF(ISERROR(VLOOKUP($T$192,'TAR FIN'!$A$1:$O$91,15,0)),0,VLOOKUP($T$192,'TAR FIN'!$A$1:$O$91,15,0))</f>
        <v>90.67</v>
      </c>
      <c r="X192" s="6">
        <f>IF(ISERROR(VLOOKUP($U$192,'TAR FIN'!$A$1:$O$91,15,0)),0,VLOOKUP($U$192,'TAR FIN'!$A$1:$O$91,15,0))</f>
        <v>133.97</v>
      </c>
      <c r="Y192" s="6"/>
      <c r="Z192" s="6">
        <f ca="1">('TUSD BE'!$AM$16+'TUSD BF'!$AM$16+'TUSD CVA'!$AM$16)*1</f>
        <v>121.64342985575733</v>
      </c>
      <c r="AA192" s="6">
        <f>('TE BE'!$AB$8+'TE BF'!$AB$8+'TE CVA'!$AB$8)*1</f>
        <v>114.76529888966962</v>
      </c>
      <c r="AB192" s="6">
        <f>$K$192*$V$192</f>
        <v>0</v>
      </c>
      <c r="AC192" s="6">
        <f>$M$192*$W$192</f>
        <v>1877.7757000000001</v>
      </c>
      <c r="AD192" s="6">
        <f>$O$192*$X$192</f>
        <v>2774.5187000000001</v>
      </c>
      <c r="AE192" s="6">
        <f>$K$192*$Y$192</f>
        <v>0</v>
      </c>
      <c r="AF192" s="6">
        <f ca="1">$M$192*$Z$192</f>
        <v>2519.2354323127342</v>
      </c>
      <c r="AG192" s="6">
        <f>$O$192*$AA$192</f>
        <v>2376.789340005058</v>
      </c>
    </row>
    <row r="193" spans="1:33" ht="11.25" customHeight="1" x14ac:dyDescent="0.25">
      <c r="A193" s="4" t="s">
        <v>57</v>
      </c>
      <c r="B193" s="4" t="s">
        <v>39</v>
      </c>
      <c r="C193" s="4" t="s">
        <v>40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38</v>
      </c>
      <c r="I193" s="5">
        <v>44774</v>
      </c>
      <c r="J193" s="6">
        <v>0</v>
      </c>
      <c r="K193" s="6">
        <v>0</v>
      </c>
      <c r="L193" s="6">
        <v>20.71</v>
      </c>
      <c r="M193" s="6">
        <v>20.71</v>
      </c>
      <c r="N193" s="6">
        <v>20.71</v>
      </c>
      <c r="O193" s="6">
        <v>20.71</v>
      </c>
      <c r="P193" s="6">
        <v>0</v>
      </c>
      <c r="Q193" s="4" t="s">
        <v>26</v>
      </c>
      <c r="R193" s="4">
        <v>0</v>
      </c>
      <c r="S193" s="6">
        <v>0</v>
      </c>
      <c r="T193" s="6">
        <v>3</v>
      </c>
      <c r="U193" s="6">
        <v>85</v>
      </c>
      <c r="V193" s="6">
        <f>IF(ISERROR(VLOOKUP($S$193,'TAR FIN'!$A$1:$O$91,15,0)),0,VLOOKUP($S$193,'TAR FIN'!$A$1:$O$91,15,0))</f>
        <v>0</v>
      </c>
      <c r="W193" s="6">
        <f>IF(ISERROR(VLOOKUP($T$193,'TAR FIN'!$A$1:$O$91,15,0)),0,VLOOKUP($T$193,'TAR FIN'!$A$1:$O$91,15,0))</f>
        <v>90.67</v>
      </c>
      <c r="X193" s="6">
        <f>IF(ISERROR(VLOOKUP($U$193,'TAR FIN'!$A$1:$O$91,15,0)),0,VLOOKUP($U$193,'TAR FIN'!$A$1:$O$91,15,0))</f>
        <v>133.97</v>
      </c>
      <c r="Y193" s="6"/>
      <c r="Z193" s="6">
        <f ca="1">('TUSD BE'!$AM$16+'TUSD BF'!$AM$16+'TUSD CVA'!$AM$16)*1</f>
        <v>121.64342985575733</v>
      </c>
      <c r="AA193" s="6">
        <f>('TE BE'!$AB$8+'TE BF'!$AB$8+'TE CVA'!$AB$8)*1</f>
        <v>114.76529888966962</v>
      </c>
      <c r="AB193" s="6">
        <f>$K$193*$V$193</f>
        <v>0</v>
      </c>
      <c r="AC193" s="6">
        <f>$M$193*$W$193</f>
        <v>1877.7757000000001</v>
      </c>
      <c r="AD193" s="6">
        <f>$O$193*$X$193</f>
        <v>2774.5187000000001</v>
      </c>
      <c r="AE193" s="6">
        <f>$K$193*$Y$193</f>
        <v>0</v>
      </c>
      <c r="AF193" s="6">
        <f ca="1">$M$193*$Z$193</f>
        <v>2519.2354323127342</v>
      </c>
      <c r="AG193" s="6">
        <f>$O$193*$AA$193</f>
        <v>2376.789340005058</v>
      </c>
    </row>
    <row r="194" spans="1:33" ht="11.25" customHeight="1" x14ac:dyDescent="0.25">
      <c r="A194" s="4" t="s">
        <v>21</v>
      </c>
      <c r="B194" s="4" t="s">
        <v>39</v>
      </c>
      <c r="C194" s="4" t="s">
        <v>40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320</v>
      </c>
      <c r="K194" s="6">
        <v>320</v>
      </c>
      <c r="L194" s="6">
        <v>0</v>
      </c>
      <c r="M194" s="6">
        <v>0</v>
      </c>
      <c r="N194" s="6">
        <v>0</v>
      </c>
      <c r="O194" s="6">
        <v>0</v>
      </c>
      <c r="P194" s="6">
        <v>3</v>
      </c>
      <c r="Q194" s="4" t="s">
        <v>26</v>
      </c>
      <c r="R194" s="4">
        <v>0</v>
      </c>
      <c r="S194" s="6">
        <v>28</v>
      </c>
      <c r="T194" s="6">
        <v>0</v>
      </c>
      <c r="U194" s="6">
        <v>0</v>
      </c>
      <c r="V194" s="6">
        <f>IF(ISERROR(VLOOKUP($S$194,'TAR FIN'!$A$1:$O$91,15,0)),0,VLOOKUP($S$194,'TAR FIN'!$A$1:$O$91,15,0))</f>
        <v>14.45</v>
      </c>
      <c r="W194" s="6">
        <f>IF(ISERROR(VLOOKUP($T$194,'TAR FIN'!$A$1:$O$91,15,0)),0,VLOOKUP($T$194,'TAR FIN'!$A$1:$O$91,15,0))</f>
        <v>0</v>
      </c>
      <c r="X194" s="6">
        <f>IF(ISERROR(VLOOKUP($U$194,'TAR FIN'!$A$1:$O$91,15,0)),0,VLOOKUP($U$194,'TAR FIN'!$A$1:$O$91,15,0))</f>
        <v>0</v>
      </c>
      <c r="Y194" s="6">
        <f ca="1">('TUSD BE'!$AM$14+'TUSD BF'!$AM$14+'TUSD CVA'!$AM$14)*1</f>
        <v>18.372313529244348</v>
      </c>
      <c r="Z194" s="6"/>
      <c r="AA194" s="6"/>
      <c r="AB194" s="6">
        <f>$K$194*$V$194</f>
        <v>4624</v>
      </c>
      <c r="AC194" s="6">
        <f>$M$194*$W$194</f>
        <v>0</v>
      </c>
      <c r="AD194" s="6">
        <f>$O$194*$X$194</f>
        <v>0</v>
      </c>
      <c r="AE194" s="6">
        <f ca="1">$K$194*$Y$194</f>
        <v>5879.1403293581916</v>
      </c>
      <c r="AF194" s="6">
        <f>$M$194*$Z$194</f>
        <v>0</v>
      </c>
      <c r="AG194" s="6">
        <f>$O$194*$AA$194</f>
        <v>0</v>
      </c>
    </row>
    <row r="195" spans="1:33" ht="11.25" customHeight="1" x14ac:dyDescent="0.25">
      <c r="A195" s="4" t="s">
        <v>21</v>
      </c>
      <c r="B195" s="4" t="s">
        <v>39</v>
      </c>
      <c r="C195" s="4" t="s">
        <v>40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320</v>
      </c>
      <c r="K195" s="6">
        <v>320</v>
      </c>
      <c r="L195" s="6">
        <v>0</v>
      </c>
      <c r="M195" s="6">
        <v>0</v>
      </c>
      <c r="N195" s="6">
        <v>0</v>
      </c>
      <c r="O195" s="6">
        <v>0</v>
      </c>
      <c r="P195" s="6">
        <v>3</v>
      </c>
      <c r="Q195" s="4" t="s">
        <v>26</v>
      </c>
      <c r="R195" s="4">
        <v>0</v>
      </c>
      <c r="S195" s="6">
        <v>28</v>
      </c>
      <c r="T195" s="6">
        <v>0</v>
      </c>
      <c r="U195" s="6">
        <v>0</v>
      </c>
      <c r="V195" s="6">
        <f>IF(ISERROR(VLOOKUP($S$195,'TAR FIN'!$A$1:$O$91,15,0)),0,VLOOKUP($S$195,'TAR FIN'!$A$1:$O$91,15,0))</f>
        <v>14.45</v>
      </c>
      <c r="W195" s="6">
        <f>IF(ISERROR(VLOOKUP($T$195,'TAR FIN'!$A$1:$O$91,15,0)),0,VLOOKUP($T$195,'TAR FIN'!$A$1:$O$91,15,0))</f>
        <v>0</v>
      </c>
      <c r="X195" s="6">
        <f>IF(ISERROR(VLOOKUP($U$195,'TAR FIN'!$A$1:$O$91,15,0)),0,VLOOKUP($U$195,'TAR FIN'!$A$1:$O$91,15,0))</f>
        <v>0</v>
      </c>
      <c r="Y195" s="6">
        <f ca="1">('TUSD BE'!$AM$14+'TUSD BF'!$AM$14+'TUSD CVA'!$AM$14)*1</f>
        <v>18.372313529244348</v>
      </c>
      <c r="Z195" s="6"/>
      <c r="AA195" s="6"/>
      <c r="AB195" s="6">
        <f>$K$195*$V$195</f>
        <v>4624</v>
      </c>
      <c r="AC195" s="6">
        <f>$M$195*$W$195</f>
        <v>0</v>
      </c>
      <c r="AD195" s="6">
        <f>$O$195*$X$195</f>
        <v>0</v>
      </c>
      <c r="AE195" s="6">
        <f ca="1">$K$195*$Y$195</f>
        <v>5879.1403293581916</v>
      </c>
      <c r="AF195" s="6">
        <f>$M$195*$Z$195</f>
        <v>0</v>
      </c>
      <c r="AG195" s="6">
        <f>$O$195*$AA$195</f>
        <v>0</v>
      </c>
    </row>
    <row r="196" spans="1:33" ht="11.25" customHeight="1" x14ac:dyDescent="0.25">
      <c r="A196" s="4" t="s">
        <v>21</v>
      </c>
      <c r="B196" s="4" t="s">
        <v>39</v>
      </c>
      <c r="C196" s="4" t="s">
        <v>40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320</v>
      </c>
      <c r="K196" s="6">
        <v>320</v>
      </c>
      <c r="L196" s="6">
        <v>0</v>
      </c>
      <c r="M196" s="6">
        <v>0</v>
      </c>
      <c r="N196" s="6">
        <v>0</v>
      </c>
      <c r="O196" s="6">
        <v>0</v>
      </c>
      <c r="P196" s="6">
        <v>3</v>
      </c>
      <c r="Q196" s="4" t="s">
        <v>26</v>
      </c>
      <c r="R196" s="4">
        <v>0</v>
      </c>
      <c r="S196" s="6">
        <v>28</v>
      </c>
      <c r="T196" s="6">
        <v>0</v>
      </c>
      <c r="U196" s="6">
        <v>0</v>
      </c>
      <c r="V196" s="6">
        <f>IF(ISERROR(VLOOKUP($S$196,'TAR FIN'!$A$1:$O$91,15,0)),0,VLOOKUP($S$196,'TAR FIN'!$A$1:$O$91,15,0))</f>
        <v>14.45</v>
      </c>
      <c r="W196" s="6">
        <f>IF(ISERROR(VLOOKUP($T$196,'TAR FIN'!$A$1:$O$91,15,0)),0,VLOOKUP($T$196,'TAR FIN'!$A$1:$O$91,15,0))</f>
        <v>0</v>
      </c>
      <c r="X196" s="6">
        <f>IF(ISERROR(VLOOKUP($U$196,'TAR FIN'!$A$1:$O$91,15,0)),0,VLOOKUP($U$196,'TAR FIN'!$A$1:$O$91,15,0))</f>
        <v>0</v>
      </c>
      <c r="Y196" s="6">
        <f ca="1">('TUSD BE'!$AM$14+'TUSD BF'!$AM$14+'TUSD CVA'!$AM$14)*1</f>
        <v>18.372313529244348</v>
      </c>
      <c r="Z196" s="6"/>
      <c r="AA196" s="6"/>
      <c r="AB196" s="6">
        <f>$K$196*$V$196</f>
        <v>4624</v>
      </c>
      <c r="AC196" s="6">
        <f>$M$196*$W$196</f>
        <v>0</v>
      </c>
      <c r="AD196" s="6">
        <f>$O$196*$X$196</f>
        <v>0</v>
      </c>
      <c r="AE196" s="6">
        <f ca="1">$K$196*$Y$196</f>
        <v>5879.1403293581916</v>
      </c>
      <c r="AF196" s="6">
        <f>$M$196*$Z$196</f>
        <v>0</v>
      </c>
      <c r="AG196" s="6">
        <f>$O$196*$AA$196</f>
        <v>0</v>
      </c>
    </row>
    <row r="197" spans="1:33" ht="11.25" customHeight="1" x14ac:dyDescent="0.25">
      <c r="A197" s="4" t="s">
        <v>21</v>
      </c>
      <c r="B197" s="4" t="s">
        <v>39</v>
      </c>
      <c r="C197" s="4" t="s">
        <v>40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44531</v>
      </c>
      <c r="J197" s="6">
        <v>351</v>
      </c>
      <c r="K197" s="6">
        <v>351</v>
      </c>
      <c r="L197" s="6">
        <v>0</v>
      </c>
      <c r="M197" s="6">
        <v>0</v>
      </c>
      <c r="N197" s="6">
        <v>0</v>
      </c>
      <c r="O197" s="6">
        <v>0</v>
      </c>
      <c r="P197" s="6">
        <v>3</v>
      </c>
      <c r="Q197" s="4" t="s">
        <v>26</v>
      </c>
      <c r="R197" s="4">
        <v>0</v>
      </c>
      <c r="S197" s="6">
        <v>28</v>
      </c>
      <c r="T197" s="6">
        <v>0</v>
      </c>
      <c r="U197" s="6">
        <v>0</v>
      </c>
      <c r="V197" s="6">
        <f>IF(ISERROR(VLOOKUP($S$197,'TAR FIN'!$A$1:$O$91,15,0)),0,VLOOKUP($S$197,'TAR FIN'!$A$1:$O$91,15,0))</f>
        <v>14.45</v>
      </c>
      <c r="W197" s="6">
        <f>IF(ISERROR(VLOOKUP($T$197,'TAR FIN'!$A$1:$O$91,15,0)),0,VLOOKUP($T$197,'TAR FIN'!$A$1:$O$91,15,0))</f>
        <v>0</v>
      </c>
      <c r="X197" s="6">
        <f>IF(ISERROR(VLOOKUP($U$197,'TAR FIN'!$A$1:$O$91,15,0)),0,VLOOKUP($U$197,'TAR FIN'!$A$1:$O$91,15,0))</f>
        <v>0</v>
      </c>
      <c r="Y197" s="6">
        <f ca="1">('TUSD BE'!$AM$14+'TUSD BF'!$AM$14+'TUSD CVA'!$AM$14)*1</f>
        <v>18.372313529244348</v>
      </c>
      <c r="Z197" s="6"/>
      <c r="AA197" s="6"/>
      <c r="AB197" s="6">
        <f>$K$197*$V$197</f>
        <v>5071.95</v>
      </c>
      <c r="AC197" s="6">
        <f>$M$197*$W$197</f>
        <v>0</v>
      </c>
      <c r="AD197" s="6">
        <f>$O$197*$X$197</f>
        <v>0</v>
      </c>
      <c r="AE197" s="6">
        <f ca="1">$K$197*$Y$197</f>
        <v>6448.6820487647665</v>
      </c>
      <c r="AF197" s="6">
        <f>$M$197*$Z$197</f>
        <v>0</v>
      </c>
      <c r="AG197" s="6">
        <f>$O$197*$AA$197</f>
        <v>0</v>
      </c>
    </row>
    <row r="198" spans="1:33" ht="11.25" customHeight="1" x14ac:dyDescent="0.25">
      <c r="A198" s="4" t="s">
        <v>21</v>
      </c>
      <c r="B198" s="4" t="s">
        <v>39</v>
      </c>
      <c r="C198" s="4" t="s">
        <v>40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44562</v>
      </c>
      <c r="J198" s="6">
        <v>347</v>
      </c>
      <c r="K198" s="6">
        <v>347</v>
      </c>
      <c r="L198" s="6">
        <v>0</v>
      </c>
      <c r="M198" s="6">
        <v>0</v>
      </c>
      <c r="N198" s="6">
        <v>0</v>
      </c>
      <c r="O198" s="6">
        <v>0</v>
      </c>
      <c r="P198" s="6">
        <v>3</v>
      </c>
      <c r="Q198" s="4" t="s">
        <v>26</v>
      </c>
      <c r="R198" s="4">
        <v>0</v>
      </c>
      <c r="S198" s="6">
        <v>28</v>
      </c>
      <c r="T198" s="6">
        <v>0</v>
      </c>
      <c r="U198" s="6">
        <v>0</v>
      </c>
      <c r="V198" s="6">
        <f>IF(ISERROR(VLOOKUP($S$198,'TAR FIN'!$A$1:$O$91,15,0)),0,VLOOKUP($S$198,'TAR FIN'!$A$1:$O$91,15,0))</f>
        <v>14.45</v>
      </c>
      <c r="W198" s="6">
        <f>IF(ISERROR(VLOOKUP($T$198,'TAR FIN'!$A$1:$O$91,15,0)),0,VLOOKUP($T$198,'TAR FIN'!$A$1:$O$91,15,0))</f>
        <v>0</v>
      </c>
      <c r="X198" s="6">
        <f>IF(ISERROR(VLOOKUP($U$198,'TAR FIN'!$A$1:$O$91,15,0)),0,VLOOKUP($U$198,'TAR FIN'!$A$1:$O$91,15,0))</f>
        <v>0</v>
      </c>
      <c r="Y198" s="6">
        <f ca="1">('TUSD BE'!$AM$14+'TUSD BF'!$AM$14+'TUSD CVA'!$AM$14)*1</f>
        <v>18.372313529244348</v>
      </c>
      <c r="Z198" s="6"/>
      <c r="AA198" s="6"/>
      <c r="AB198" s="6">
        <f>$K$198*$V$198</f>
        <v>5014.1499999999996</v>
      </c>
      <c r="AC198" s="6">
        <f>$M$198*$W$198</f>
        <v>0</v>
      </c>
      <c r="AD198" s="6">
        <f>$O$198*$X$198</f>
        <v>0</v>
      </c>
      <c r="AE198" s="6">
        <f ca="1">$K$198*$Y$198</f>
        <v>6375.192794647789</v>
      </c>
      <c r="AF198" s="6">
        <f>$M$198*$Z$198</f>
        <v>0</v>
      </c>
      <c r="AG198" s="6">
        <f>$O$198*$AA$198</f>
        <v>0</v>
      </c>
    </row>
    <row r="199" spans="1:33" ht="11.25" customHeight="1" x14ac:dyDescent="0.25">
      <c r="A199" s="4" t="s">
        <v>21</v>
      </c>
      <c r="B199" s="4" t="s">
        <v>39</v>
      </c>
      <c r="C199" s="4" t="s">
        <v>40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44593</v>
      </c>
      <c r="J199" s="6">
        <v>320</v>
      </c>
      <c r="K199" s="6">
        <v>320</v>
      </c>
      <c r="L199" s="6">
        <v>0</v>
      </c>
      <c r="M199" s="6">
        <v>0</v>
      </c>
      <c r="N199" s="6">
        <v>0</v>
      </c>
      <c r="O199" s="6">
        <v>0</v>
      </c>
      <c r="P199" s="6">
        <v>3</v>
      </c>
      <c r="Q199" s="4" t="s">
        <v>26</v>
      </c>
      <c r="R199" s="4">
        <v>0</v>
      </c>
      <c r="S199" s="6">
        <v>28</v>
      </c>
      <c r="T199" s="6">
        <v>0</v>
      </c>
      <c r="U199" s="6">
        <v>0</v>
      </c>
      <c r="V199" s="6">
        <f>IF(ISERROR(VLOOKUP($S$199,'TAR FIN'!$A$1:$O$91,15,0)),0,VLOOKUP($S$199,'TAR FIN'!$A$1:$O$91,15,0))</f>
        <v>14.45</v>
      </c>
      <c r="W199" s="6">
        <f>IF(ISERROR(VLOOKUP($T$199,'TAR FIN'!$A$1:$O$91,15,0)),0,VLOOKUP($T$199,'TAR FIN'!$A$1:$O$91,15,0))</f>
        <v>0</v>
      </c>
      <c r="X199" s="6">
        <f>IF(ISERROR(VLOOKUP($U$199,'TAR FIN'!$A$1:$O$91,15,0)),0,VLOOKUP($U$199,'TAR FIN'!$A$1:$O$91,15,0))</f>
        <v>0</v>
      </c>
      <c r="Y199" s="6">
        <f ca="1">('TUSD BE'!$AM$14+'TUSD BF'!$AM$14+'TUSD CVA'!$AM$14)*1</f>
        <v>18.372313529244348</v>
      </c>
      <c r="Z199" s="6"/>
      <c r="AA199" s="6"/>
      <c r="AB199" s="6">
        <f>$K$199*$V$199</f>
        <v>4624</v>
      </c>
      <c r="AC199" s="6">
        <f>$M$199*$W$199</f>
        <v>0</v>
      </c>
      <c r="AD199" s="6">
        <f>$O$199*$X$199</f>
        <v>0</v>
      </c>
      <c r="AE199" s="6">
        <f ca="1">$K$199*$Y$199</f>
        <v>5879.1403293581916</v>
      </c>
      <c r="AF199" s="6">
        <f>$M$199*$Z$199</f>
        <v>0</v>
      </c>
      <c r="AG199" s="6">
        <f>$O$199*$AA$199</f>
        <v>0</v>
      </c>
    </row>
    <row r="200" spans="1:33" ht="11.25" customHeight="1" x14ac:dyDescent="0.25">
      <c r="A200" s="4" t="s">
        <v>21</v>
      </c>
      <c r="B200" s="4" t="s">
        <v>39</v>
      </c>
      <c r="C200" s="4" t="s">
        <v>40</v>
      </c>
      <c r="D200" s="4" t="s">
        <v>44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44621</v>
      </c>
      <c r="J200" s="6">
        <v>320</v>
      </c>
      <c r="K200" s="6">
        <v>320</v>
      </c>
      <c r="L200" s="6">
        <v>0</v>
      </c>
      <c r="M200" s="6">
        <v>0</v>
      </c>
      <c r="N200" s="6">
        <v>0</v>
      </c>
      <c r="O200" s="6">
        <v>0</v>
      </c>
      <c r="P200" s="6">
        <v>3</v>
      </c>
      <c r="Q200" s="4" t="s">
        <v>26</v>
      </c>
      <c r="R200" s="4">
        <v>0</v>
      </c>
      <c r="S200" s="6">
        <v>28</v>
      </c>
      <c r="T200" s="6">
        <v>0</v>
      </c>
      <c r="U200" s="6">
        <v>0</v>
      </c>
      <c r="V200" s="6">
        <f>IF(ISERROR(VLOOKUP($S$200,'TAR FIN'!$A$1:$O$91,15,0)),0,VLOOKUP($S$200,'TAR FIN'!$A$1:$O$91,15,0))</f>
        <v>14.45</v>
      </c>
      <c r="W200" s="6">
        <f>IF(ISERROR(VLOOKUP($T$200,'TAR FIN'!$A$1:$O$91,15,0)),0,VLOOKUP($T$200,'TAR FIN'!$A$1:$O$91,15,0))</f>
        <v>0</v>
      </c>
      <c r="X200" s="6">
        <f>IF(ISERROR(VLOOKUP($U$200,'TAR FIN'!$A$1:$O$91,15,0)),0,VLOOKUP($U$200,'TAR FIN'!$A$1:$O$91,15,0))</f>
        <v>0</v>
      </c>
      <c r="Y200" s="6">
        <f ca="1">('TUSD BE'!$AM$14+'TUSD BF'!$AM$14+'TUSD CVA'!$AM$14)*1</f>
        <v>18.372313529244348</v>
      </c>
      <c r="Z200" s="6"/>
      <c r="AA200" s="6"/>
      <c r="AB200" s="6">
        <f>$K$200*$V$200</f>
        <v>4624</v>
      </c>
      <c r="AC200" s="6">
        <f>$M$200*$W$200</f>
        <v>0</v>
      </c>
      <c r="AD200" s="6">
        <f>$O$200*$X$200</f>
        <v>0</v>
      </c>
      <c r="AE200" s="6">
        <f ca="1">$K$200*$Y$200</f>
        <v>5879.1403293581916</v>
      </c>
      <c r="AF200" s="6">
        <f>$M$200*$Z$200</f>
        <v>0</v>
      </c>
      <c r="AG200" s="6">
        <f>$O$200*$AA$200</f>
        <v>0</v>
      </c>
    </row>
    <row r="201" spans="1:33" ht="11.25" customHeight="1" x14ac:dyDescent="0.25">
      <c r="A201" s="4" t="s">
        <v>21</v>
      </c>
      <c r="B201" s="4" t="s">
        <v>39</v>
      </c>
      <c r="C201" s="4" t="s">
        <v>40</v>
      </c>
      <c r="D201" s="4" t="s">
        <v>44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44652</v>
      </c>
      <c r="J201" s="6">
        <v>320</v>
      </c>
      <c r="K201" s="6">
        <v>320</v>
      </c>
      <c r="L201" s="6">
        <v>0</v>
      </c>
      <c r="M201" s="6">
        <v>0</v>
      </c>
      <c r="N201" s="6">
        <v>0</v>
      </c>
      <c r="O201" s="6">
        <v>0</v>
      </c>
      <c r="P201" s="6">
        <v>3</v>
      </c>
      <c r="Q201" s="4" t="s">
        <v>26</v>
      </c>
      <c r="R201" s="4">
        <v>0</v>
      </c>
      <c r="S201" s="6">
        <v>28</v>
      </c>
      <c r="T201" s="6">
        <v>0</v>
      </c>
      <c r="U201" s="6">
        <v>0</v>
      </c>
      <c r="V201" s="6">
        <f>IF(ISERROR(VLOOKUP($S$201,'TAR FIN'!$A$1:$O$91,15,0)),0,VLOOKUP($S$201,'TAR FIN'!$A$1:$O$91,15,0))</f>
        <v>14.45</v>
      </c>
      <c r="W201" s="6">
        <f>IF(ISERROR(VLOOKUP($T$201,'TAR FIN'!$A$1:$O$91,15,0)),0,VLOOKUP($T$201,'TAR FIN'!$A$1:$O$91,15,0))</f>
        <v>0</v>
      </c>
      <c r="X201" s="6">
        <f>IF(ISERROR(VLOOKUP($U$201,'TAR FIN'!$A$1:$O$91,15,0)),0,VLOOKUP($U$201,'TAR FIN'!$A$1:$O$91,15,0))</f>
        <v>0</v>
      </c>
      <c r="Y201" s="6">
        <f ca="1">('TUSD BE'!$AM$14+'TUSD BF'!$AM$14+'TUSD CVA'!$AM$14)*1</f>
        <v>18.372313529244348</v>
      </c>
      <c r="Z201" s="6"/>
      <c r="AA201" s="6"/>
      <c r="AB201" s="6">
        <f>$K$201*$V$201</f>
        <v>4624</v>
      </c>
      <c r="AC201" s="6">
        <f>$M$201*$W$201</f>
        <v>0</v>
      </c>
      <c r="AD201" s="6">
        <f>$O$201*$X$201</f>
        <v>0</v>
      </c>
      <c r="AE201" s="6">
        <f ca="1">$K$201*$Y$201</f>
        <v>5879.1403293581916</v>
      </c>
      <c r="AF201" s="6">
        <f>$M$201*$Z$201</f>
        <v>0</v>
      </c>
      <c r="AG201" s="6">
        <f>$O$201*$AA$201</f>
        <v>0</v>
      </c>
    </row>
    <row r="202" spans="1:33" ht="11.25" customHeight="1" x14ac:dyDescent="0.25">
      <c r="A202" s="4" t="s">
        <v>21</v>
      </c>
      <c r="B202" s="4" t="s">
        <v>39</v>
      </c>
      <c r="C202" s="4" t="s">
        <v>40</v>
      </c>
      <c r="D202" s="4" t="s">
        <v>44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44682</v>
      </c>
      <c r="J202" s="6">
        <v>320</v>
      </c>
      <c r="K202" s="6">
        <v>320</v>
      </c>
      <c r="L202" s="6">
        <v>0</v>
      </c>
      <c r="M202" s="6">
        <v>0</v>
      </c>
      <c r="N202" s="6">
        <v>0</v>
      </c>
      <c r="O202" s="6">
        <v>0</v>
      </c>
      <c r="P202" s="6">
        <v>3</v>
      </c>
      <c r="Q202" s="4" t="s">
        <v>26</v>
      </c>
      <c r="R202" s="4">
        <v>0</v>
      </c>
      <c r="S202" s="6">
        <v>28</v>
      </c>
      <c r="T202" s="6">
        <v>0</v>
      </c>
      <c r="U202" s="6">
        <v>0</v>
      </c>
      <c r="V202" s="6">
        <f>IF(ISERROR(VLOOKUP($S$202,'TAR FIN'!$A$1:$O$91,15,0)),0,VLOOKUP($S$202,'TAR FIN'!$A$1:$O$91,15,0))</f>
        <v>14.45</v>
      </c>
      <c r="W202" s="6">
        <f>IF(ISERROR(VLOOKUP($T$202,'TAR FIN'!$A$1:$O$91,15,0)),0,VLOOKUP($T$202,'TAR FIN'!$A$1:$O$91,15,0))</f>
        <v>0</v>
      </c>
      <c r="X202" s="6">
        <f>IF(ISERROR(VLOOKUP($U$202,'TAR FIN'!$A$1:$O$91,15,0)),0,VLOOKUP($U$202,'TAR FIN'!$A$1:$O$91,15,0))</f>
        <v>0</v>
      </c>
      <c r="Y202" s="6">
        <f ca="1">('TUSD BE'!$AM$14+'TUSD BF'!$AM$14+'TUSD CVA'!$AM$14)*1</f>
        <v>18.372313529244348</v>
      </c>
      <c r="Z202" s="6"/>
      <c r="AA202" s="6"/>
      <c r="AB202" s="6">
        <f>$K$202*$V$202</f>
        <v>4624</v>
      </c>
      <c r="AC202" s="6">
        <f>$M$202*$W$202</f>
        <v>0</v>
      </c>
      <c r="AD202" s="6">
        <f>$O$202*$X$202</f>
        <v>0</v>
      </c>
      <c r="AE202" s="6">
        <f ca="1">$K$202*$Y$202</f>
        <v>5879.1403293581916</v>
      </c>
      <c r="AF202" s="6">
        <f>$M$202*$Z$202</f>
        <v>0</v>
      </c>
      <c r="AG202" s="6">
        <f>$O$202*$AA$202</f>
        <v>0</v>
      </c>
    </row>
    <row r="203" spans="1:33" ht="11.25" customHeight="1" x14ac:dyDescent="0.25">
      <c r="A203" s="4" t="s">
        <v>21</v>
      </c>
      <c r="B203" s="4" t="s">
        <v>39</v>
      </c>
      <c r="C203" s="4" t="s">
        <v>40</v>
      </c>
      <c r="D203" s="4" t="s">
        <v>44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44713</v>
      </c>
      <c r="J203" s="6">
        <v>320</v>
      </c>
      <c r="K203" s="6">
        <v>320</v>
      </c>
      <c r="L203" s="6">
        <v>0</v>
      </c>
      <c r="M203" s="6">
        <v>0</v>
      </c>
      <c r="N203" s="6">
        <v>0</v>
      </c>
      <c r="O203" s="6">
        <v>0</v>
      </c>
      <c r="P203" s="6">
        <v>3</v>
      </c>
      <c r="Q203" s="4" t="s">
        <v>26</v>
      </c>
      <c r="R203" s="4">
        <v>0</v>
      </c>
      <c r="S203" s="6">
        <v>28</v>
      </c>
      <c r="T203" s="6">
        <v>0</v>
      </c>
      <c r="U203" s="6">
        <v>0</v>
      </c>
      <c r="V203" s="6">
        <f>IF(ISERROR(VLOOKUP($S$203,'TAR FIN'!$A$1:$O$91,15,0)),0,VLOOKUP($S$203,'TAR FIN'!$A$1:$O$91,15,0))</f>
        <v>14.45</v>
      </c>
      <c r="W203" s="6">
        <f>IF(ISERROR(VLOOKUP($T$203,'TAR FIN'!$A$1:$O$91,15,0)),0,VLOOKUP($T$203,'TAR FIN'!$A$1:$O$91,15,0))</f>
        <v>0</v>
      </c>
      <c r="X203" s="6">
        <f>IF(ISERROR(VLOOKUP($U$203,'TAR FIN'!$A$1:$O$91,15,0)),0,VLOOKUP($U$203,'TAR FIN'!$A$1:$O$91,15,0))</f>
        <v>0</v>
      </c>
      <c r="Y203" s="6">
        <f ca="1">('TUSD BE'!$AM$14+'TUSD BF'!$AM$14+'TUSD CVA'!$AM$14)*1</f>
        <v>18.372313529244348</v>
      </c>
      <c r="Z203" s="6"/>
      <c r="AA203" s="6"/>
      <c r="AB203" s="6">
        <f>$K$203*$V$203</f>
        <v>4624</v>
      </c>
      <c r="AC203" s="6">
        <f>$M$203*$W$203</f>
        <v>0</v>
      </c>
      <c r="AD203" s="6">
        <f>$O$203*$X$203</f>
        <v>0</v>
      </c>
      <c r="AE203" s="6">
        <f ca="1">$K$203*$Y$203</f>
        <v>5879.1403293581916</v>
      </c>
      <c r="AF203" s="6">
        <f>$M$203*$Z$203</f>
        <v>0</v>
      </c>
      <c r="AG203" s="6">
        <f>$O$203*$AA$203</f>
        <v>0</v>
      </c>
    </row>
    <row r="204" spans="1:33" ht="11.25" customHeight="1" x14ac:dyDescent="0.25">
      <c r="A204" s="4" t="s">
        <v>21</v>
      </c>
      <c r="B204" s="4" t="s">
        <v>39</v>
      </c>
      <c r="C204" s="4" t="s">
        <v>40</v>
      </c>
      <c r="D204" s="4" t="s">
        <v>44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44743</v>
      </c>
      <c r="J204" s="6">
        <v>320</v>
      </c>
      <c r="K204" s="6">
        <v>320</v>
      </c>
      <c r="L204" s="6">
        <v>0</v>
      </c>
      <c r="M204" s="6">
        <v>0</v>
      </c>
      <c r="N204" s="6">
        <v>0</v>
      </c>
      <c r="O204" s="6">
        <v>0</v>
      </c>
      <c r="P204" s="6">
        <v>3</v>
      </c>
      <c r="Q204" s="4" t="s">
        <v>26</v>
      </c>
      <c r="R204" s="4">
        <v>0</v>
      </c>
      <c r="S204" s="6">
        <v>28</v>
      </c>
      <c r="T204" s="6">
        <v>0</v>
      </c>
      <c r="U204" s="6">
        <v>0</v>
      </c>
      <c r="V204" s="6">
        <f>IF(ISERROR(VLOOKUP($S$204,'TAR FIN'!$A$1:$O$91,15,0)),0,VLOOKUP($S$204,'TAR FIN'!$A$1:$O$91,15,0))</f>
        <v>14.45</v>
      </c>
      <c r="W204" s="6">
        <f>IF(ISERROR(VLOOKUP($T$204,'TAR FIN'!$A$1:$O$91,15,0)),0,VLOOKUP($T$204,'TAR FIN'!$A$1:$O$91,15,0))</f>
        <v>0</v>
      </c>
      <c r="X204" s="6">
        <f>IF(ISERROR(VLOOKUP($U$204,'TAR FIN'!$A$1:$O$91,15,0)),0,VLOOKUP($U$204,'TAR FIN'!$A$1:$O$91,15,0))</f>
        <v>0</v>
      </c>
      <c r="Y204" s="6">
        <f ca="1">('TUSD BE'!$AM$14+'TUSD BF'!$AM$14+'TUSD CVA'!$AM$14)*1</f>
        <v>18.372313529244348</v>
      </c>
      <c r="Z204" s="6"/>
      <c r="AA204" s="6"/>
      <c r="AB204" s="6">
        <f>$K$204*$V$204</f>
        <v>4624</v>
      </c>
      <c r="AC204" s="6">
        <f>$M$204*$W$204</f>
        <v>0</v>
      </c>
      <c r="AD204" s="6">
        <f>$O$204*$X$204</f>
        <v>0</v>
      </c>
      <c r="AE204" s="6">
        <f ca="1">$K$204*$Y$204</f>
        <v>5879.1403293581916</v>
      </c>
      <c r="AF204" s="6">
        <f>$M$204*$Z$204</f>
        <v>0</v>
      </c>
      <c r="AG204" s="6">
        <f>$O$204*$AA$204</f>
        <v>0</v>
      </c>
    </row>
    <row r="205" spans="1:33" ht="11.25" customHeight="1" x14ac:dyDescent="0.25">
      <c r="A205" s="4" t="s">
        <v>57</v>
      </c>
      <c r="B205" s="4" t="s">
        <v>39</v>
      </c>
      <c r="C205" s="4" t="s">
        <v>40</v>
      </c>
      <c r="D205" s="4" t="s">
        <v>44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44774</v>
      </c>
      <c r="J205" s="6">
        <v>320</v>
      </c>
      <c r="K205" s="6">
        <v>320</v>
      </c>
      <c r="L205" s="6">
        <v>0</v>
      </c>
      <c r="M205" s="6">
        <v>0</v>
      </c>
      <c r="N205" s="6">
        <v>0</v>
      </c>
      <c r="O205" s="6">
        <v>0</v>
      </c>
      <c r="P205" s="6">
        <v>3</v>
      </c>
      <c r="Q205" s="4" t="s">
        <v>26</v>
      </c>
      <c r="R205" s="4">
        <v>0</v>
      </c>
      <c r="S205" s="6">
        <v>28</v>
      </c>
      <c r="T205" s="6">
        <v>0</v>
      </c>
      <c r="U205" s="6">
        <v>0</v>
      </c>
      <c r="V205" s="6">
        <f>IF(ISERROR(VLOOKUP($S$205,'TAR FIN'!$A$1:$O$91,15,0)),0,VLOOKUP($S$205,'TAR FIN'!$A$1:$O$91,15,0))</f>
        <v>14.45</v>
      </c>
      <c r="W205" s="6">
        <f>IF(ISERROR(VLOOKUP($T$205,'TAR FIN'!$A$1:$O$91,15,0)),0,VLOOKUP($T$205,'TAR FIN'!$A$1:$O$91,15,0))</f>
        <v>0</v>
      </c>
      <c r="X205" s="6">
        <f>IF(ISERROR(VLOOKUP($U$205,'TAR FIN'!$A$1:$O$91,15,0)),0,VLOOKUP($U$205,'TAR FIN'!$A$1:$O$91,15,0))</f>
        <v>0</v>
      </c>
      <c r="Y205" s="6">
        <f ca="1">('TUSD BE'!$AM$14+'TUSD BF'!$AM$14+'TUSD CVA'!$AM$14)*1</f>
        <v>18.372313529244348</v>
      </c>
      <c r="Z205" s="6"/>
      <c r="AA205" s="6"/>
      <c r="AB205" s="6">
        <f>$K$205*$V$205</f>
        <v>4624</v>
      </c>
      <c r="AC205" s="6">
        <f>$M$205*$W$205</f>
        <v>0</v>
      </c>
      <c r="AD205" s="6">
        <f>$O$205*$X$205</f>
        <v>0</v>
      </c>
      <c r="AE205" s="6">
        <f ca="1">$K$205*$Y$205</f>
        <v>5879.1403293581916</v>
      </c>
      <c r="AF205" s="6">
        <f>$M$205*$Z$205</f>
        <v>0</v>
      </c>
      <c r="AG205" s="6">
        <f>$O$205*$AA$205</f>
        <v>0</v>
      </c>
    </row>
    <row r="206" spans="1:33" ht="11.25" customHeight="1" x14ac:dyDescent="0.25">
      <c r="A206" s="4" t="s">
        <v>21</v>
      </c>
      <c r="B206" s="4" t="s">
        <v>39</v>
      </c>
      <c r="C206" s="4" t="s">
        <v>40</v>
      </c>
      <c r="D206" s="4" t="s">
        <v>44</v>
      </c>
      <c r="E206" s="4" t="s">
        <v>25</v>
      </c>
      <c r="F206" s="4" t="s">
        <v>25</v>
      </c>
      <c r="G206" s="4" t="s">
        <v>25</v>
      </c>
      <c r="H206" s="4" t="s">
        <v>37</v>
      </c>
      <c r="I206" s="5">
        <v>44440</v>
      </c>
      <c r="J206" s="6">
        <v>0</v>
      </c>
      <c r="K206" s="6">
        <v>0</v>
      </c>
      <c r="L206" s="6">
        <v>1.9390000000000001</v>
      </c>
      <c r="M206" s="6">
        <v>1.9390000000000001</v>
      </c>
      <c r="N206" s="6">
        <v>1.9390000000000001</v>
      </c>
      <c r="O206" s="6">
        <v>1.9390000000000001</v>
      </c>
      <c r="P206" s="6">
        <v>0</v>
      </c>
      <c r="Q206" s="4" t="s">
        <v>26</v>
      </c>
      <c r="R206" s="4">
        <v>0</v>
      </c>
      <c r="S206" s="6">
        <v>0</v>
      </c>
      <c r="T206" s="6">
        <v>18</v>
      </c>
      <c r="U206" s="6">
        <v>64</v>
      </c>
      <c r="V206" s="6">
        <f>IF(ISERROR(VLOOKUP($S$206,'TAR FIN'!$A$1:$O$91,15,0)),0,VLOOKUP($S$206,'TAR FIN'!$A$1:$O$91,15,0))</f>
        <v>0</v>
      </c>
      <c r="W206" s="6">
        <f>IF(ISERROR(VLOOKUP($T$206,'TAR FIN'!$A$1:$O$91,15,0)),0,VLOOKUP($T$206,'TAR FIN'!$A$1:$O$91,15,0))</f>
        <v>1007.94</v>
      </c>
      <c r="X206" s="6">
        <f>IF(ISERROR(VLOOKUP($U$206,'TAR FIN'!$A$1:$O$91,15,0)),0,VLOOKUP($U$206,'TAR FIN'!$A$1:$O$91,15,0))</f>
        <v>133.97</v>
      </c>
      <c r="Y206" s="6"/>
      <c r="Z206" s="6">
        <f ca="1">('TUSD BE'!$AM$15+'TUSD BF'!$AM$15+'TUSD CVA'!$AM$15)*1</f>
        <v>1254.594131793204</v>
      </c>
      <c r="AA206" s="6">
        <f>('TE BE'!$AB$7+'TE BF'!$AB$7+'TE CVA'!$AB$7)*1</f>
        <v>114.76529888966962</v>
      </c>
      <c r="AB206" s="6">
        <f>$K$206*$V$206</f>
        <v>0</v>
      </c>
      <c r="AC206" s="6">
        <f>$M$206*$W$206</f>
        <v>1954.3956600000001</v>
      </c>
      <c r="AD206" s="6">
        <f>$O$206*$X$206</f>
        <v>259.76783</v>
      </c>
      <c r="AE206" s="6">
        <f>$K$206*$Y$206</f>
        <v>0</v>
      </c>
      <c r="AF206" s="6">
        <f ca="1">$M$206*$Z$206</f>
        <v>2432.6580215470226</v>
      </c>
      <c r="AG206" s="6">
        <f>$O$206*$AA$206</f>
        <v>222.52991454706941</v>
      </c>
    </row>
    <row r="207" spans="1:33" ht="11.25" customHeight="1" x14ac:dyDescent="0.25">
      <c r="A207" s="4" t="s">
        <v>21</v>
      </c>
      <c r="B207" s="4" t="s">
        <v>39</v>
      </c>
      <c r="C207" s="4" t="s">
        <v>40</v>
      </c>
      <c r="D207" s="4" t="s">
        <v>44</v>
      </c>
      <c r="E207" s="4" t="s">
        <v>25</v>
      </c>
      <c r="F207" s="4" t="s">
        <v>25</v>
      </c>
      <c r="G207" s="4" t="s">
        <v>25</v>
      </c>
      <c r="H207" s="4" t="s">
        <v>37</v>
      </c>
      <c r="I207" s="5">
        <v>44470</v>
      </c>
      <c r="J207" s="6">
        <v>0</v>
      </c>
      <c r="K207" s="6">
        <v>0</v>
      </c>
      <c r="L207" s="6">
        <v>1.923</v>
      </c>
      <c r="M207" s="6">
        <v>1.923</v>
      </c>
      <c r="N207" s="6">
        <v>1.923</v>
      </c>
      <c r="O207" s="6">
        <v>1.923</v>
      </c>
      <c r="P207" s="6">
        <v>0</v>
      </c>
      <c r="Q207" s="4" t="s">
        <v>26</v>
      </c>
      <c r="R207" s="4">
        <v>0</v>
      </c>
      <c r="S207" s="6">
        <v>0</v>
      </c>
      <c r="T207" s="6">
        <v>18</v>
      </c>
      <c r="U207" s="6">
        <v>64</v>
      </c>
      <c r="V207" s="6">
        <f>IF(ISERROR(VLOOKUP($S$207,'TAR FIN'!$A$1:$O$91,15,0)),0,VLOOKUP($S$207,'TAR FIN'!$A$1:$O$91,15,0))</f>
        <v>0</v>
      </c>
      <c r="W207" s="6">
        <f>IF(ISERROR(VLOOKUP($T$207,'TAR FIN'!$A$1:$O$91,15,0)),0,VLOOKUP($T$207,'TAR FIN'!$A$1:$O$91,15,0))</f>
        <v>1007.94</v>
      </c>
      <c r="X207" s="6">
        <f>IF(ISERROR(VLOOKUP($U$207,'TAR FIN'!$A$1:$O$91,15,0)),0,VLOOKUP($U$207,'TAR FIN'!$A$1:$O$91,15,0))</f>
        <v>133.97</v>
      </c>
      <c r="Y207" s="6"/>
      <c r="Z207" s="6">
        <f ca="1">('TUSD BE'!$AM$15+'TUSD BF'!$AM$15+'TUSD CVA'!$AM$15)*1</f>
        <v>1254.594131793204</v>
      </c>
      <c r="AA207" s="6">
        <f>('TE BE'!$AB$7+'TE BF'!$AB$7+'TE CVA'!$AB$7)*1</f>
        <v>114.76529888966962</v>
      </c>
      <c r="AB207" s="6">
        <f>$K$207*$V$207</f>
        <v>0</v>
      </c>
      <c r="AC207" s="6">
        <f>$M$207*$W$207</f>
        <v>1938.2686200000001</v>
      </c>
      <c r="AD207" s="6">
        <f>$O$207*$X$207</f>
        <v>257.62430999999998</v>
      </c>
      <c r="AE207" s="6">
        <f>$K$207*$Y$207</f>
        <v>0</v>
      </c>
      <c r="AF207" s="6">
        <f ca="1">$M$207*$Z$207</f>
        <v>2412.5845154383314</v>
      </c>
      <c r="AG207" s="6">
        <f>$O$207*$AA$207</f>
        <v>220.69366976483468</v>
      </c>
    </row>
    <row r="208" spans="1:33" ht="11.25" customHeight="1" x14ac:dyDescent="0.25">
      <c r="A208" s="4" t="s">
        <v>21</v>
      </c>
      <c r="B208" s="4" t="s">
        <v>39</v>
      </c>
      <c r="C208" s="4" t="s">
        <v>40</v>
      </c>
      <c r="D208" s="4" t="s">
        <v>44</v>
      </c>
      <c r="E208" s="4" t="s">
        <v>25</v>
      </c>
      <c r="F208" s="4" t="s">
        <v>25</v>
      </c>
      <c r="G208" s="4" t="s">
        <v>25</v>
      </c>
      <c r="H208" s="4" t="s">
        <v>37</v>
      </c>
      <c r="I208" s="5">
        <v>44501</v>
      </c>
      <c r="J208" s="6">
        <v>0</v>
      </c>
      <c r="K208" s="6">
        <v>0</v>
      </c>
      <c r="L208" s="6">
        <v>2.0019999999999998</v>
      </c>
      <c r="M208" s="6">
        <v>2.0019999999999998</v>
      </c>
      <c r="N208" s="6">
        <v>2.0019999999999998</v>
      </c>
      <c r="O208" s="6">
        <v>2.0019999999999998</v>
      </c>
      <c r="P208" s="6">
        <v>0</v>
      </c>
      <c r="Q208" s="4" t="s">
        <v>26</v>
      </c>
      <c r="R208" s="4">
        <v>0</v>
      </c>
      <c r="S208" s="6">
        <v>0</v>
      </c>
      <c r="T208" s="6">
        <v>18</v>
      </c>
      <c r="U208" s="6">
        <v>64</v>
      </c>
      <c r="V208" s="6">
        <f>IF(ISERROR(VLOOKUP($S$208,'TAR FIN'!$A$1:$O$91,15,0)),0,VLOOKUP($S$208,'TAR FIN'!$A$1:$O$91,15,0))</f>
        <v>0</v>
      </c>
      <c r="W208" s="6">
        <f>IF(ISERROR(VLOOKUP($T$208,'TAR FIN'!$A$1:$O$91,15,0)),0,VLOOKUP($T$208,'TAR FIN'!$A$1:$O$91,15,0))</f>
        <v>1007.94</v>
      </c>
      <c r="X208" s="6">
        <f>IF(ISERROR(VLOOKUP($U$208,'TAR FIN'!$A$1:$O$91,15,0)),0,VLOOKUP($U$208,'TAR FIN'!$A$1:$O$91,15,0))</f>
        <v>133.97</v>
      </c>
      <c r="Y208" s="6"/>
      <c r="Z208" s="6">
        <f ca="1">('TUSD BE'!$AM$15+'TUSD BF'!$AM$15+'TUSD CVA'!$AM$15)*1</f>
        <v>1254.594131793204</v>
      </c>
      <c r="AA208" s="6">
        <f>('TE BE'!$AB$7+'TE BF'!$AB$7+'TE CVA'!$AB$7)*1</f>
        <v>114.76529888966962</v>
      </c>
      <c r="AB208" s="6">
        <f>$K$208*$V$208</f>
        <v>0</v>
      </c>
      <c r="AC208" s="6">
        <f>$M$208*$W$208</f>
        <v>2017.8958799999998</v>
      </c>
      <c r="AD208" s="6">
        <f>$O$208*$X$208</f>
        <v>268.20793999999995</v>
      </c>
      <c r="AE208" s="6">
        <f>$K$208*$Y$208</f>
        <v>0</v>
      </c>
      <c r="AF208" s="6">
        <f ca="1">$M$208*$Z$208</f>
        <v>2511.6974518499942</v>
      </c>
      <c r="AG208" s="6">
        <f>$O$208*$AA$208</f>
        <v>229.76012837711855</v>
      </c>
    </row>
    <row r="209" spans="1:33" ht="11.25" customHeight="1" x14ac:dyDescent="0.25">
      <c r="A209" s="4" t="s">
        <v>21</v>
      </c>
      <c r="B209" s="4" t="s">
        <v>39</v>
      </c>
      <c r="C209" s="4" t="s">
        <v>40</v>
      </c>
      <c r="D209" s="4" t="s">
        <v>44</v>
      </c>
      <c r="E209" s="4" t="s">
        <v>25</v>
      </c>
      <c r="F209" s="4" t="s">
        <v>25</v>
      </c>
      <c r="G209" s="4" t="s">
        <v>25</v>
      </c>
      <c r="H209" s="4" t="s">
        <v>37</v>
      </c>
      <c r="I209" s="5">
        <v>44531</v>
      </c>
      <c r="J209" s="6">
        <v>0</v>
      </c>
      <c r="K209" s="6">
        <v>0</v>
      </c>
      <c r="L209" s="6">
        <v>2.165</v>
      </c>
      <c r="M209" s="6">
        <v>2.165</v>
      </c>
      <c r="N209" s="6">
        <v>2.165</v>
      </c>
      <c r="O209" s="6">
        <v>2.165</v>
      </c>
      <c r="P209" s="6">
        <v>0</v>
      </c>
      <c r="Q209" s="4" t="s">
        <v>26</v>
      </c>
      <c r="R209" s="4">
        <v>0</v>
      </c>
      <c r="S209" s="6">
        <v>0</v>
      </c>
      <c r="T209" s="6">
        <v>18</v>
      </c>
      <c r="U209" s="6">
        <v>64</v>
      </c>
      <c r="V209" s="6">
        <f>IF(ISERROR(VLOOKUP($S$209,'TAR FIN'!$A$1:$O$91,15,0)),0,VLOOKUP($S$209,'TAR FIN'!$A$1:$O$91,15,0))</f>
        <v>0</v>
      </c>
      <c r="W209" s="6">
        <f>IF(ISERROR(VLOOKUP($T$209,'TAR FIN'!$A$1:$O$91,15,0)),0,VLOOKUP($T$209,'TAR FIN'!$A$1:$O$91,15,0))</f>
        <v>1007.94</v>
      </c>
      <c r="X209" s="6">
        <f>IF(ISERROR(VLOOKUP($U$209,'TAR FIN'!$A$1:$O$91,15,0)),0,VLOOKUP($U$209,'TAR FIN'!$A$1:$O$91,15,0))</f>
        <v>133.97</v>
      </c>
      <c r="Y209" s="6"/>
      <c r="Z209" s="6">
        <f ca="1">('TUSD BE'!$AM$15+'TUSD BF'!$AM$15+'TUSD CVA'!$AM$15)*1</f>
        <v>1254.594131793204</v>
      </c>
      <c r="AA209" s="6">
        <f>('TE BE'!$AB$7+'TE BF'!$AB$7+'TE CVA'!$AB$7)*1</f>
        <v>114.76529888966962</v>
      </c>
      <c r="AB209" s="6">
        <f>$K$209*$V$209</f>
        <v>0</v>
      </c>
      <c r="AC209" s="6">
        <f>$M$209*$W$209</f>
        <v>2182.1901000000003</v>
      </c>
      <c r="AD209" s="6">
        <f>$O$209*$X$209</f>
        <v>290.04505</v>
      </c>
      <c r="AE209" s="6">
        <f>$K$209*$Y$209</f>
        <v>0</v>
      </c>
      <c r="AF209" s="6">
        <f ca="1">$M$209*$Z$209</f>
        <v>2716.1962953322868</v>
      </c>
      <c r="AG209" s="6">
        <f>$O$209*$AA$209</f>
        <v>248.46687209613475</v>
      </c>
    </row>
    <row r="210" spans="1:33" ht="11.25" customHeight="1" x14ac:dyDescent="0.25">
      <c r="A210" s="4" t="s">
        <v>21</v>
      </c>
      <c r="B210" s="4" t="s">
        <v>39</v>
      </c>
      <c r="C210" s="4" t="s">
        <v>40</v>
      </c>
      <c r="D210" s="4" t="s">
        <v>44</v>
      </c>
      <c r="E210" s="4" t="s">
        <v>25</v>
      </c>
      <c r="F210" s="4" t="s">
        <v>25</v>
      </c>
      <c r="G210" s="4" t="s">
        <v>25</v>
      </c>
      <c r="H210" s="4" t="s">
        <v>37</v>
      </c>
      <c r="I210" s="5">
        <v>44562</v>
      </c>
      <c r="J210" s="6">
        <v>0</v>
      </c>
      <c r="K210" s="6">
        <v>0</v>
      </c>
      <c r="L210" s="6">
        <v>2.2440000000000002</v>
      </c>
      <c r="M210" s="6">
        <v>2.2440000000000002</v>
      </c>
      <c r="N210" s="6">
        <v>2.2440000000000002</v>
      </c>
      <c r="O210" s="6">
        <v>2.2440000000000002</v>
      </c>
      <c r="P210" s="6">
        <v>0</v>
      </c>
      <c r="Q210" s="4" t="s">
        <v>26</v>
      </c>
      <c r="R210" s="4">
        <v>0</v>
      </c>
      <c r="S210" s="6">
        <v>0</v>
      </c>
      <c r="T210" s="6">
        <v>18</v>
      </c>
      <c r="U210" s="6">
        <v>64</v>
      </c>
      <c r="V210" s="6">
        <f>IF(ISERROR(VLOOKUP($S$210,'TAR FIN'!$A$1:$O$91,15,0)),0,VLOOKUP($S$210,'TAR FIN'!$A$1:$O$91,15,0))</f>
        <v>0</v>
      </c>
      <c r="W210" s="6">
        <f>IF(ISERROR(VLOOKUP($T$210,'TAR FIN'!$A$1:$O$91,15,0)),0,VLOOKUP($T$210,'TAR FIN'!$A$1:$O$91,15,0))</f>
        <v>1007.94</v>
      </c>
      <c r="X210" s="6">
        <f>IF(ISERROR(VLOOKUP($U$210,'TAR FIN'!$A$1:$O$91,15,0)),0,VLOOKUP($U$210,'TAR FIN'!$A$1:$O$91,15,0))</f>
        <v>133.97</v>
      </c>
      <c r="Y210" s="6"/>
      <c r="Z210" s="6">
        <f ca="1">('TUSD BE'!$AM$15+'TUSD BF'!$AM$15+'TUSD CVA'!$AM$15)*1</f>
        <v>1254.594131793204</v>
      </c>
      <c r="AA210" s="6">
        <f>('TE BE'!$AB$7+'TE BF'!$AB$7+'TE CVA'!$AB$7)*1</f>
        <v>114.76529888966962</v>
      </c>
      <c r="AB210" s="6">
        <f>$K$210*$V$210</f>
        <v>0</v>
      </c>
      <c r="AC210" s="6">
        <f>$M$210*$W$210</f>
        <v>2261.8173600000005</v>
      </c>
      <c r="AD210" s="6">
        <f>$O$210*$X$210</f>
        <v>300.62868000000003</v>
      </c>
      <c r="AE210" s="6">
        <f>$K$210*$Y$210</f>
        <v>0</v>
      </c>
      <c r="AF210" s="6">
        <f ca="1">$M$210*$Z$210</f>
        <v>2815.30923174395</v>
      </c>
      <c r="AG210" s="6">
        <f>$O$210*$AA$210</f>
        <v>257.53333070841865</v>
      </c>
    </row>
    <row r="211" spans="1:33" ht="11.25" customHeight="1" x14ac:dyDescent="0.25">
      <c r="A211" s="4" t="s">
        <v>21</v>
      </c>
      <c r="B211" s="4" t="s">
        <v>39</v>
      </c>
      <c r="C211" s="4" t="s">
        <v>40</v>
      </c>
      <c r="D211" s="4" t="s">
        <v>44</v>
      </c>
      <c r="E211" s="4" t="s">
        <v>25</v>
      </c>
      <c r="F211" s="4" t="s">
        <v>25</v>
      </c>
      <c r="G211" s="4" t="s">
        <v>25</v>
      </c>
      <c r="H211" s="4" t="s">
        <v>37</v>
      </c>
      <c r="I211" s="5">
        <v>44593</v>
      </c>
      <c r="J211" s="6">
        <v>0</v>
      </c>
      <c r="K211" s="6">
        <v>0</v>
      </c>
      <c r="L211" s="6">
        <v>2.0870000000000002</v>
      </c>
      <c r="M211" s="6">
        <v>2.0870000000000002</v>
      </c>
      <c r="N211" s="6">
        <v>2.0870000000000002</v>
      </c>
      <c r="O211" s="6">
        <v>2.0870000000000002</v>
      </c>
      <c r="P211" s="6">
        <v>0</v>
      </c>
      <c r="Q211" s="4" t="s">
        <v>26</v>
      </c>
      <c r="R211" s="4">
        <v>0</v>
      </c>
      <c r="S211" s="6">
        <v>0</v>
      </c>
      <c r="T211" s="6">
        <v>18</v>
      </c>
      <c r="U211" s="6">
        <v>64</v>
      </c>
      <c r="V211" s="6">
        <f>IF(ISERROR(VLOOKUP($S$211,'TAR FIN'!$A$1:$O$91,15,0)),0,VLOOKUP($S$211,'TAR FIN'!$A$1:$O$91,15,0))</f>
        <v>0</v>
      </c>
      <c r="W211" s="6">
        <f>IF(ISERROR(VLOOKUP($T$211,'TAR FIN'!$A$1:$O$91,15,0)),0,VLOOKUP($T$211,'TAR FIN'!$A$1:$O$91,15,0))</f>
        <v>1007.94</v>
      </c>
      <c r="X211" s="6">
        <f>IF(ISERROR(VLOOKUP($U$211,'TAR FIN'!$A$1:$O$91,15,0)),0,VLOOKUP($U$211,'TAR FIN'!$A$1:$O$91,15,0))</f>
        <v>133.97</v>
      </c>
      <c r="Y211" s="6"/>
      <c r="Z211" s="6">
        <f ca="1">('TUSD BE'!$AM$15+'TUSD BF'!$AM$15+'TUSD CVA'!$AM$15)*1</f>
        <v>1254.594131793204</v>
      </c>
      <c r="AA211" s="6">
        <f>('TE BE'!$AB$7+'TE BF'!$AB$7+'TE CVA'!$AB$7)*1</f>
        <v>114.76529888966962</v>
      </c>
      <c r="AB211" s="6">
        <f>$K$211*$V$211</f>
        <v>0</v>
      </c>
      <c r="AC211" s="6">
        <f>$M$211*$W$211</f>
        <v>2103.5707800000005</v>
      </c>
      <c r="AD211" s="6">
        <f>$O$211*$X$211</f>
        <v>279.59539000000001</v>
      </c>
      <c r="AE211" s="6">
        <f>$K$211*$Y$211</f>
        <v>0</v>
      </c>
      <c r="AF211" s="6">
        <f ca="1">$M$211*$Z$211</f>
        <v>2618.3379530524171</v>
      </c>
      <c r="AG211" s="6">
        <f>$O$211*$AA$211</f>
        <v>239.51517878274052</v>
      </c>
    </row>
    <row r="212" spans="1:33" ht="11.25" customHeight="1" x14ac:dyDescent="0.25">
      <c r="A212" s="4" t="s">
        <v>21</v>
      </c>
      <c r="B212" s="4" t="s">
        <v>39</v>
      </c>
      <c r="C212" s="4" t="s">
        <v>40</v>
      </c>
      <c r="D212" s="4" t="s">
        <v>44</v>
      </c>
      <c r="E212" s="4" t="s">
        <v>25</v>
      </c>
      <c r="F212" s="4" t="s">
        <v>25</v>
      </c>
      <c r="G212" s="4" t="s">
        <v>25</v>
      </c>
      <c r="H212" s="4" t="s">
        <v>37</v>
      </c>
      <c r="I212" s="5">
        <v>44621</v>
      </c>
      <c r="J212" s="6">
        <v>0</v>
      </c>
      <c r="K212" s="6">
        <v>0</v>
      </c>
      <c r="L212" s="6">
        <v>2.1339999999999999</v>
      </c>
      <c r="M212" s="6">
        <v>2.1339999999999999</v>
      </c>
      <c r="N212" s="6">
        <v>2.1339999999999999</v>
      </c>
      <c r="O212" s="6">
        <v>2.1339999999999999</v>
      </c>
      <c r="P212" s="6">
        <v>0</v>
      </c>
      <c r="Q212" s="4" t="s">
        <v>26</v>
      </c>
      <c r="R212" s="4">
        <v>0</v>
      </c>
      <c r="S212" s="6">
        <v>0</v>
      </c>
      <c r="T212" s="6">
        <v>18</v>
      </c>
      <c r="U212" s="6">
        <v>64</v>
      </c>
      <c r="V212" s="6">
        <f>IF(ISERROR(VLOOKUP($S$212,'TAR FIN'!$A$1:$O$91,15,0)),0,VLOOKUP($S$212,'TAR FIN'!$A$1:$O$91,15,0))</f>
        <v>0</v>
      </c>
      <c r="W212" s="6">
        <f>IF(ISERROR(VLOOKUP($T$212,'TAR FIN'!$A$1:$O$91,15,0)),0,VLOOKUP($T$212,'TAR FIN'!$A$1:$O$91,15,0))</f>
        <v>1007.94</v>
      </c>
      <c r="X212" s="6">
        <f>IF(ISERROR(VLOOKUP($U$212,'TAR FIN'!$A$1:$O$91,15,0)),0,VLOOKUP($U$212,'TAR FIN'!$A$1:$O$91,15,0))</f>
        <v>133.97</v>
      </c>
      <c r="Y212" s="6"/>
      <c r="Z212" s="6">
        <f ca="1">('TUSD BE'!$AM$15+'TUSD BF'!$AM$15+'TUSD CVA'!$AM$15)*1</f>
        <v>1254.594131793204</v>
      </c>
      <c r="AA212" s="6">
        <f>('TE BE'!$AB$7+'TE BF'!$AB$7+'TE CVA'!$AB$7)*1</f>
        <v>114.76529888966962</v>
      </c>
      <c r="AB212" s="6">
        <f>$K$212*$V$212</f>
        <v>0</v>
      </c>
      <c r="AC212" s="6">
        <f>$M$212*$W$212</f>
        <v>2150.9439600000001</v>
      </c>
      <c r="AD212" s="6">
        <f>$O$212*$X$212</f>
        <v>285.89197999999999</v>
      </c>
      <c r="AE212" s="6">
        <f>$K$212*$Y$212</f>
        <v>0</v>
      </c>
      <c r="AF212" s="6">
        <f ca="1">$M$212*$Z$212</f>
        <v>2677.3038772466971</v>
      </c>
      <c r="AG212" s="6">
        <f>$O$212*$AA$212</f>
        <v>244.90914783055496</v>
      </c>
    </row>
    <row r="213" spans="1:33" ht="11.25" customHeight="1" x14ac:dyDescent="0.25">
      <c r="A213" s="4" t="s">
        <v>21</v>
      </c>
      <c r="B213" s="4" t="s">
        <v>39</v>
      </c>
      <c r="C213" s="4" t="s">
        <v>40</v>
      </c>
      <c r="D213" s="4" t="s">
        <v>44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44652</v>
      </c>
      <c r="J213" s="6">
        <v>0</v>
      </c>
      <c r="K213" s="6">
        <v>0</v>
      </c>
      <c r="L213" s="6">
        <v>1.74</v>
      </c>
      <c r="M213" s="6">
        <v>1.74</v>
      </c>
      <c r="N213" s="6">
        <v>1.74</v>
      </c>
      <c r="O213" s="6">
        <v>1.74</v>
      </c>
      <c r="P213" s="6">
        <v>0</v>
      </c>
      <c r="Q213" s="4" t="s">
        <v>26</v>
      </c>
      <c r="R213" s="4">
        <v>0</v>
      </c>
      <c r="S213" s="6">
        <v>0</v>
      </c>
      <c r="T213" s="6">
        <v>18</v>
      </c>
      <c r="U213" s="6">
        <v>64</v>
      </c>
      <c r="V213" s="6">
        <f>IF(ISERROR(VLOOKUP($S$213,'TAR FIN'!$A$1:$O$91,15,0)),0,VLOOKUP($S$213,'TAR FIN'!$A$1:$O$91,15,0))</f>
        <v>0</v>
      </c>
      <c r="W213" s="6">
        <f>IF(ISERROR(VLOOKUP($T$213,'TAR FIN'!$A$1:$O$91,15,0)),0,VLOOKUP($T$213,'TAR FIN'!$A$1:$O$91,15,0))</f>
        <v>1007.94</v>
      </c>
      <c r="X213" s="6">
        <f>IF(ISERROR(VLOOKUP($U$213,'TAR FIN'!$A$1:$O$91,15,0)),0,VLOOKUP($U$213,'TAR FIN'!$A$1:$O$91,15,0))</f>
        <v>133.97</v>
      </c>
      <c r="Y213" s="6"/>
      <c r="Z213" s="6">
        <f ca="1">('TUSD BE'!$AM$15+'TUSD BF'!$AM$15+'TUSD CVA'!$AM$15)*1</f>
        <v>1254.594131793204</v>
      </c>
      <c r="AA213" s="6">
        <f>('TE BE'!$AB$7+'TE BF'!$AB$7+'TE CVA'!$AB$7)*1</f>
        <v>114.76529888966962</v>
      </c>
      <c r="AB213" s="6">
        <f>$K$213*$V$213</f>
        <v>0</v>
      </c>
      <c r="AC213" s="6">
        <f>$M$213*$W$213</f>
        <v>1753.8156000000001</v>
      </c>
      <c r="AD213" s="6">
        <f>$O$213*$X$213</f>
        <v>233.1078</v>
      </c>
      <c r="AE213" s="6">
        <f>$K$213*$Y$213</f>
        <v>0</v>
      </c>
      <c r="AF213" s="6">
        <f ca="1">$M$213*$Z$213</f>
        <v>2182.993789320175</v>
      </c>
      <c r="AG213" s="6">
        <f>$O$213*$AA$213</f>
        <v>199.69162006802514</v>
      </c>
    </row>
    <row r="214" spans="1:33" ht="11.25" customHeight="1" x14ac:dyDescent="0.25">
      <c r="A214" s="4" t="s">
        <v>21</v>
      </c>
      <c r="B214" s="4" t="s">
        <v>39</v>
      </c>
      <c r="C214" s="4" t="s">
        <v>40</v>
      </c>
      <c r="D214" s="4" t="s">
        <v>44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44682</v>
      </c>
      <c r="J214" s="6">
        <v>0</v>
      </c>
      <c r="K214" s="6">
        <v>0</v>
      </c>
      <c r="L214" s="6">
        <v>1.958</v>
      </c>
      <c r="M214" s="6">
        <v>1.958</v>
      </c>
      <c r="N214" s="6">
        <v>1.958</v>
      </c>
      <c r="O214" s="6">
        <v>1.958</v>
      </c>
      <c r="P214" s="6">
        <v>0</v>
      </c>
      <c r="Q214" s="4" t="s">
        <v>26</v>
      </c>
      <c r="R214" s="4">
        <v>0</v>
      </c>
      <c r="S214" s="6">
        <v>0</v>
      </c>
      <c r="T214" s="6">
        <v>18</v>
      </c>
      <c r="U214" s="6">
        <v>64</v>
      </c>
      <c r="V214" s="6">
        <f>IF(ISERROR(VLOOKUP($S$214,'TAR FIN'!$A$1:$O$91,15,0)),0,VLOOKUP($S$214,'TAR FIN'!$A$1:$O$91,15,0))</f>
        <v>0</v>
      </c>
      <c r="W214" s="6">
        <f>IF(ISERROR(VLOOKUP($T$214,'TAR FIN'!$A$1:$O$91,15,0)),0,VLOOKUP($T$214,'TAR FIN'!$A$1:$O$91,15,0))</f>
        <v>1007.94</v>
      </c>
      <c r="X214" s="6">
        <f>IF(ISERROR(VLOOKUP($U$214,'TAR FIN'!$A$1:$O$91,15,0)),0,VLOOKUP($U$214,'TAR FIN'!$A$1:$O$91,15,0))</f>
        <v>133.97</v>
      </c>
      <c r="Y214" s="6"/>
      <c r="Z214" s="6">
        <f ca="1">('TUSD BE'!$AM$15+'TUSD BF'!$AM$15+'TUSD CVA'!$AM$15)*1</f>
        <v>1254.594131793204</v>
      </c>
      <c r="AA214" s="6">
        <f>('TE BE'!$AB$7+'TE BF'!$AB$7+'TE CVA'!$AB$7)*1</f>
        <v>114.76529888966962</v>
      </c>
      <c r="AB214" s="6">
        <f>$K$214*$V$214</f>
        <v>0</v>
      </c>
      <c r="AC214" s="6">
        <f>$M$214*$W$214</f>
        <v>1973.5465200000001</v>
      </c>
      <c r="AD214" s="6">
        <f>$O$214*$X$214</f>
        <v>262.31326000000001</v>
      </c>
      <c r="AE214" s="6">
        <f>$K$214*$Y$214</f>
        <v>0</v>
      </c>
      <c r="AF214" s="6">
        <f ca="1">$M$214*$Z$214</f>
        <v>2456.4953100510934</v>
      </c>
      <c r="AG214" s="6">
        <f>$O$214*$AA$214</f>
        <v>224.71045522597311</v>
      </c>
    </row>
    <row r="215" spans="1:33" ht="11.25" customHeight="1" x14ac:dyDescent="0.25">
      <c r="A215" s="4" t="s">
        <v>21</v>
      </c>
      <c r="B215" s="4" t="s">
        <v>39</v>
      </c>
      <c r="C215" s="4" t="s">
        <v>40</v>
      </c>
      <c r="D215" s="4" t="s">
        <v>44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44713</v>
      </c>
      <c r="J215" s="6">
        <v>0</v>
      </c>
      <c r="K215" s="6">
        <v>0</v>
      </c>
      <c r="L215" s="6">
        <v>2.0720000000000001</v>
      </c>
      <c r="M215" s="6">
        <v>2.0720000000000001</v>
      </c>
      <c r="N215" s="6">
        <v>2.0720000000000001</v>
      </c>
      <c r="O215" s="6">
        <v>2.0720000000000001</v>
      </c>
      <c r="P215" s="6">
        <v>0</v>
      </c>
      <c r="Q215" s="4" t="s">
        <v>26</v>
      </c>
      <c r="R215" s="4">
        <v>0</v>
      </c>
      <c r="S215" s="6">
        <v>0</v>
      </c>
      <c r="T215" s="6">
        <v>18</v>
      </c>
      <c r="U215" s="6">
        <v>64</v>
      </c>
      <c r="V215" s="6">
        <f>IF(ISERROR(VLOOKUP($S$215,'TAR FIN'!$A$1:$O$91,15,0)),0,VLOOKUP($S$215,'TAR FIN'!$A$1:$O$91,15,0))</f>
        <v>0</v>
      </c>
      <c r="W215" s="6">
        <f>IF(ISERROR(VLOOKUP($T$215,'TAR FIN'!$A$1:$O$91,15,0)),0,VLOOKUP($T$215,'TAR FIN'!$A$1:$O$91,15,0))</f>
        <v>1007.94</v>
      </c>
      <c r="X215" s="6">
        <f>IF(ISERROR(VLOOKUP($U$215,'TAR FIN'!$A$1:$O$91,15,0)),0,VLOOKUP($U$215,'TAR FIN'!$A$1:$O$91,15,0))</f>
        <v>133.97</v>
      </c>
      <c r="Y215" s="6"/>
      <c r="Z215" s="6">
        <f ca="1">('TUSD BE'!$AM$15+'TUSD BF'!$AM$15+'TUSD CVA'!$AM$15)*1</f>
        <v>1254.594131793204</v>
      </c>
      <c r="AA215" s="6">
        <f>('TE BE'!$AB$7+'TE BF'!$AB$7+'TE CVA'!$AB$7)*1</f>
        <v>114.76529888966962</v>
      </c>
      <c r="AB215" s="6">
        <f>$K$215*$V$215</f>
        <v>0</v>
      </c>
      <c r="AC215" s="6">
        <f>$M$215*$W$215</f>
        <v>2088.4516800000001</v>
      </c>
      <c r="AD215" s="6">
        <f>$O$215*$X$215</f>
        <v>277.58584000000002</v>
      </c>
      <c r="AE215" s="6">
        <f>$K$215*$Y$215</f>
        <v>0</v>
      </c>
      <c r="AF215" s="6">
        <f ca="1">$M$215*$Z$215</f>
        <v>2599.519041075519</v>
      </c>
      <c r="AG215" s="6">
        <f>$O$215*$AA$215</f>
        <v>237.79369929939546</v>
      </c>
    </row>
    <row r="216" spans="1:33" ht="11.25" customHeight="1" x14ac:dyDescent="0.25">
      <c r="A216" s="4" t="s">
        <v>21</v>
      </c>
      <c r="B216" s="4" t="s">
        <v>39</v>
      </c>
      <c r="C216" s="4" t="s">
        <v>40</v>
      </c>
      <c r="D216" s="4" t="s">
        <v>44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44743</v>
      </c>
      <c r="J216" s="6">
        <v>0</v>
      </c>
      <c r="K216" s="6">
        <v>0</v>
      </c>
      <c r="L216" s="6">
        <v>1.8120000000000001</v>
      </c>
      <c r="M216" s="6">
        <v>1.8120000000000001</v>
      </c>
      <c r="N216" s="6">
        <v>1.8120000000000001</v>
      </c>
      <c r="O216" s="6">
        <v>1.8120000000000001</v>
      </c>
      <c r="P216" s="6">
        <v>0</v>
      </c>
      <c r="Q216" s="4" t="s">
        <v>26</v>
      </c>
      <c r="R216" s="4">
        <v>0</v>
      </c>
      <c r="S216" s="6">
        <v>0</v>
      </c>
      <c r="T216" s="6">
        <v>18</v>
      </c>
      <c r="U216" s="6">
        <v>64</v>
      </c>
      <c r="V216" s="6">
        <f>IF(ISERROR(VLOOKUP($S$216,'TAR FIN'!$A$1:$O$91,15,0)),0,VLOOKUP($S$216,'TAR FIN'!$A$1:$O$91,15,0))</f>
        <v>0</v>
      </c>
      <c r="W216" s="6">
        <f>IF(ISERROR(VLOOKUP($T$216,'TAR FIN'!$A$1:$O$91,15,0)),0,VLOOKUP($T$216,'TAR FIN'!$A$1:$O$91,15,0))</f>
        <v>1007.94</v>
      </c>
      <c r="X216" s="6">
        <f>IF(ISERROR(VLOOKUP($U$216,'TAR FIN'!$A$1:$O$91,15,0)),0,VLOOKUP($U$216,'TAR FIN'!$A$1:$O$91,15,0))</f>
        <v>133.97</v>
      </c>
      <c r="Y216" s="6"/>
      <c r="Z216" s="6">
        <f ca="1">('TUSD BE'!$AM$15+'TUSD BF'!$AM$15+'TUSD CVA'!$AM$15)*1</f>
        <v>1254.594131793204</v>
      </c>
      <c r="AA216" s="6">
        <f>('TE BE'!$AB$7+'TE BF'!$AB$7+'TE CVA'!$AB$7)*1</f>
        <v>114.76529888966962</v>
      </c>
      <c r="AB216" s="6">
        <f>$K$216*$V$216</f>
        <v>0</v>
      </c>
      <c r="AC216" s="6">
        <f>$M$216*$W$216</f>
        <v>1826.3872800000001</v>
      </c>
      <c r="AD216" s="6">
        <f>$O$216*$X$216</f>
        <v>242.75364000000002</v>
      </c>
      <c r="AE216" s="6">
        <f>$K$216*$Y$216</f>
        <v>0</v>
      </c>
      <c r="AF216" s="6">
        <f ca="1">$M$216*$Z$216</f>
        <v>2273.3245668092859</v>
      </c>
      <c r="AG216" s="6">
        <f>$O$216*$AA$216</f>
        <v>207.95472158808136</v>
      </c>
    </row>
    <row r="217" spans="1:33" ht="11.25" customHeight="1" x14ac:dyDescent="0.25">
      <c r="A217" s="4" t="s">
        <v>57</v>
      </c>
      <c r="B217" s="4" t="s">
        <v>39</v>
      </c>
      <c r="C217" s="4" t="s">
        <v>40</v>
      </c>
      <c r="D217" s="4" t="s">
        <v>44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44774</v>
      </c>
      <c r="J217" s="6">
        <v>0</v>
      </c>
      <c r="K217" s="6">
        <v>0</v>
      </c>
      <c r="L217" s="6">
        <v>1.8120000000000001</v>
      </c>
      <c r="M217" s="6">
        <v>1.8120000000000001</v>
      </c>
      <c r="N217" s="6">
        <v>1.8120000000000001</v>
      </c>
      <c r="O217" s="6">
        <v>1.8120000000000001</v>
      </c>
      <c r="P217" s="6">
        <v>0</v>
      </c>
      <c r="Q217" s="4" t="s">
        <v>26</v>
      </c>
      <c r="R217" s="4">
        <v>0</v>
      </c>
      <c r="S217" s="6">
        <v>0</v>
      </c>
      <c r="T217" s="6">
        <v>18</v>
      </c>
      <c r="U217" s="6">
        <v>64</v>
      </c>
      <c r="V217" s="6">
        <f>IF(ISERROR(VLOOKUP($S$217,'TAR FIN'!$A$1:$O$91,15,0)),0,VLOOKUP($S$217,'TAR FIN'!$A$1:$O$91,15,0))</f>
        <v>0</v>
      </c>
      <c r="W217" s="6">
        <f>IF(ISERROR(VLOOKUP($T$217,'TAR FIN'!$A$1:$O$91,15,0)),0,VLOOKUP($T$217,'TAR FIN'!$A$1:$O$91,15,0))</f>
        <v>1007.94</v>
      </c>
      <c r="X217" s="6">
        <f>IF(ISERROR(VLOOKUP($U$217,'TAR FIN'!$A$1:$O$91,15,0)),0,VLOOKUP($U$217,'TAR FIN'!$A$1:$O$91,15,0))</f>
        <v>133.97</v>
      </c>
      <c r="Y217" s="6"/>
      <c r="Z217" s="6">
        <f ca="1">('TUSD BE'!$AM$15+'TUSD BF'!$AM$15+'TUSD CVA'!$AM$15)*1</f>
        <v>1254.594131793204</v>
      </c>
      <c r="AA217" s="6">
        <f>('TE BE'!$AB$7+'TE BF'!$AB$7+'TE CVA'!$AB$7)*1</f>
        <v>114.76529888966962</v>
      </c>
      <c r="AB217" s="6">
        <f>$K$217*$V$217</f>
        <v>0</v>
      </c>
      <c r="AC217" s="6">
        <f>$M$217*$W$217</f>
        <v>1826.3872800000001</v>
      </c>
      <c r="AD217" s="6">
        <f>$O$217*$X$217</f>
        <v>242.75364000000002</v>
      </c>
      <c r="AE217" s="6">
        <f>$K$217*$Y$217</f>
        <v>0</v>
      </c>
      <c r="AF217" s="6">
        <f ca="1">$M$217*$Z$217</f>
        <v>2273.3245668092859</v>
      </c>
      <c r="AG217" s="6">
        <f>$O$217*$AA$217</f>
        <v>207.95472158808136</v>
      </c>
    </row>
    <row r="218" spans="1:33" ht="11.25" customHeight="1" x14ac:dyDescent="0.25">
      <c r="A218" s="4" t="s">
        <v>21</v>
      </c>
      <c r="B218" s="4" t="s">
        <v>22</v>
      </c>
      <c r="C218" s="4" t="s">
        <v>55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38</v>
      </c>
      <c r="I218" s="5">
        <v>44682</v>
      </c>
      <c r="J218" s="6">
        <v>0</v>
      </c>
      <c r="K218" s="6">
        <v>0</v>
      </c>
      <c r="L218" s="6">
        <v>0.113</v>
      </c>
      <c r="M218" s="6">
        <v>0.113</v>
      </c>
      <c r="N218" s="6">
        <v>0.113</v>
      </c>
      <c r="O218" s="6">
        <v>0.113</v>
      </c>
      <c r="P218" s="6">
        <v>0</v>
      </c>
      <c r="Q218" s="4" t="s">
        <v>26</v>
      </c>
      <c r="R218" s="4">
        <v>0</v>
      </c>
      <c r="S218" s="6">
        <v>0</v>
      </c>
      <c r="T218" s="6">
        <v>13</v>
      </c>
      <c r="U218" s="6">
        <v>73</v>
      </c>
      <c r="V218" s="6">
        <f>IF(ISERROR(VLOOKUP($S$218,'TAR FIN'!$A$1:$O$91,15,0)),0,VLOOKUP($S$218,'TAR FIN'!$A$1:$O$91,15,0))</f>
        <v>0</v>
      </c>
      <c r="W218" s="6">
        <f>IF(ISERROR(VLOOKUP($T$218,'TAR FIN'!$A$1:$O$91,15,0)),0,VLOOKUP($T$218,'TAR FIN'!$A$1:$O$91,15,0))</f>
        <v>196.38</v>
      </c>
      <c r="X218" s="6">
        <f>IF(ISERROR(VLOOKUP($U$218,'TAR FIN'!$A$1:$O$91,15,0)),0,VLOOKUP($U$218,'TAR FIN'!$A$1:$O$91,15,0))</f>
        <v>133.97</v>
      </c>
      <c r="Y218" s="6"/>
      <c r="Z218" s="6">
        <f ca="1">('TUSD BE'!$AM$23+'TUSD BF'!$AM$23+'TUSD CVA'!$AM$23)*1</f>
        <v>254.10059842285958</v>
      </c>
      <c r="AA218" s="6">
        <f>('TE BE'!$AB$11+'TE BF'!$AB$11+'TE CVA'!$AB$11)*1</f>
        <v>114.76529888966962</v>
      </c>
      <c r="AB218" s="6">
        <f>$K$218*$V$218</f>
        <v>0</v>
      </c>
      <c r="AC218" s="6">
        <f>$M$218*$W$218</f>
        <v>22.190940000000001</v>
      </c>
      <c r="AD218" s="6">
        <f>$O$218*$X$218</f>
        <v>15.13861</v>
      </c>
      <c r="AE218" s="6">
        <f>$K$218*$Y$218</f>
        <v>0</v>
      </c>
      <c r="AF218" s="6">
        <f ca="1">$M$218*$Z$218</f>
        <v>28.713367621783132</v>
      </c>
      <c r="AG218" s="6">
        <f>$O$218*$AA$218</f>
        <v>12.968478774532668</v>
      </c>
    </row>
    <row r="219" spans="1:33" ht="11.25" customHeight="1" x14ac:dyDescent="0.25">
      <c r="A219" s="4" t="s">
        <v>21</v>
      </c>
      <c r="B219" s="4" t="s">
        <v>22</v>
      </c>
      <c r="C219" s="4" t="s">
        <v>55</v>
      </c>
      <c r="D219" s="4" t="s">
        <v>24</v>
      </c>
      <c r="E219" s="4" t="s">
        <v>24</v>
      </c>
      <c r="F219" s="4" t="s">
        <v>25</v>
      </c>
      <c r="G219" s="4" t="s">
        <v>25</v>
      </c>
      <c r="H219" s="4" t="s">
        <v>38</v>
      </c>
      <c r="I219" s="5">
        <v>44713</v>
      </c>
      <c r="J219" s="6">
        <v>0</v>
      </c>
      <c r="K219" s="6">
        <v>0</v>
      </c>
      <c r="L219" s="6">
        <v>0.35199999999999998</v>
      </c>
      <c r="M219" s="6">
        <v>0.35199999999999998</v>
      </c>
      <c r="N219" s="6">
        <v>0.35199999999999998</v>
      </c>
      <c r="O219" s="6">
        <v>0.35199999999999998</v>
      </c>
      <c r="P219" s="6">
        <v>0</v>
      </c>
      <c r="Q219" s="4" t="s">
        <v>26</v>
      </c>
      <c r="R219" s="4">
        <v>0</v>
      </c>
      <c r="S219" s="6">
        <v>0</v>
      </c>
      <c r="T219" s="6">
        <v>13</v>
      </c>
      <c r="U219" s="6">
        <v>73</v>
      </c>
      <c r="V219" s="6">
        <f>IF(ISERROR(VLOOKUP($S$219,'TAR FIN'!$A$1:$O$91,15,0)),0,VLOOKUP($S$219,'TAR FIN'!$A$1:$O$91,15,0))</f>
        <v>0</v>
      </c>
      <c r="W219" s="6">
        <f>IF(ISERROR(VLOOKUP($T$219,'TAR FIN'!$A$1:$O$91,15,0)),0,VLOOKUP($T$219,'TAR FIN'!$A$1:$O$91,15,0))</f>
        <v>196.38</v>
      </c>
      <c r="X219" s="6">
        <f>IF(ISERROR(VLOOKUP($U$219,'TAR FIN'!$A$1:$O$91,15,0)),0,VLOOKUP($U$219,'TAR FIN'!$A$1:$O$91,15,0))</f>
        <v>133.97</v>
      </c>
      <c r="Y219" s="6"/>
      <c r="Z219" s="6">
        <f ca="1">('TUSD BE'!$AM$23+'TUSD BF'!$AM$23+'TUSD CVA'!$AM$23)*1</f>
        <v>254.10059842285958</v>
      </c>
      <c r="AA219" s="6">
        <f>('TE BE'!$AB$11+'TE BF'!$AB$11+'TE CVA'!$AB$11)*1</f>
        <v>114.76529888966962</v>
      </c>
      <c r="AB219" s="6">
        <f>$K$219*$V$219</f>
        <v>0</v>
      </c>
      <c r="AC219" s="6">
        <f>$M$219*$W$219</f>
        <v>69.12576</v>
      </c>
      <c r="AD219" s="6">
        <f>$O$219*$X$219</f>
        <v>47.157439999999994</v>
      </c>
      <c r="AE219" s="6">
        <f>$K$219*$Y$219</f>
        <v>0</v>
      </c>
      <c r="AF219" s="6">
        <f ca="1">$M$219*$Z$219</f>
        <v>89.443410644846566</v>
      </c>
      <c r="AG219" s="6">
        <f>$O$219*$AA$219</f>
        <v>40.397385209163708</v>
      </c>
    </row>
    <row r="220" spans="1:33" ht="11.25" customHeight="1" x14ac:dyDescent="0.25">
      <c r="A220" s="4" t="s">
        <v>21</v>
      </c>
      <c r="B220" s="4" t="s">
        <v>22</v>
      </c>
      <c r="C220" s="4" t="s">
        <v>55</v>
      </c>
      <c r="D220" s="4" t="s">
        <v>24</v>
      </c>
      <c r="E220" s="4" t="s">
        <v>24</v>
      </c>
      <c r="F220" s="4" t="s">
        <v>25</v>
      </c>
      <c r="G220" s="4" t="s">
        <v>25</v>
      </c>
      <c r="H220" s="4" t="s">
        <v>38</v>
      </c>
      <c r="I220" s="5">
        <v>44743</v>
      </c>
      <c r="J220" s="6">
        <v>0</v>
      </c>
      <c r="K220" s="6">
        <v>0</v>
      </c>
      <c r="L220" s="6">
        <v>0.24299999999999999</v>
      </c>
      <c r="M220" s="6">
        <v>0.24299999999999999</v>
      </c>
      <c r="N220" s="6">
        <v>0.24299999999999999</v>
      </c>
      <c r="O220" s="6">
        <v>0.24299999999999999</v>
      </c>
      <c r="P220" s="6">
        <v>0</v>
      </c>
      <c r="Q220" s="4" t="s">
        <v>26</v>
      </c>
      <c r="R220" s="4">
        <v>0</v>
      </c>
      <c r="S220" s="6">
        <v>0</v>
      </c>
      <c r="T220" s="6">
        <v>13</v>
      </c>
      <c r="U220" s="6">
        <v>73</v>
      </c>
      <c r="V220" s="6">
        <f>IF(ISERROR(VLOOKUP($S$220,'TAR FIN'!$A$1:$O$91,15,0)),0,VLOOKUP($S$220,'TAR FIN'!$A$1:$O$91,15,0))</f>
        <v>0</v>
      </c>
      <c r="W220" s="6">
        <f>IF(ISERROR(VLOOKUP($T$220,'TAR FIN'!$A$1:$O$91,15,0)),0,VLOOKUP($T$220,'TAR FIN'!$A$1:$O$91,15,0))</f>
        <v>196.38</v>
      </c>
      <c r="X220" s="6">
        <f>IF(ISERROR(VLOOKUP($U$220,'TAR FIN'!$A$1:$O$91,15,0)),0,VLOOKUP($U$220,'TAR FIN'!$A$1:$O$91,15,0))</f>
        <v>133.97</v>
      </c>
      <c r="Y220" s="6"/>
      <c r="Z220" s="6">
        <f ca="1">('TUSD BE'!$AM$23+'TUSD BF'!$AM$23+'TUSD CVA'!$AM$23)*1</f>
        <v>254.10059842285958</v>
      </c>
      <c r="AA220" s="6">
        <f>('TE BE'!$AB$11+'TE BF'!$AB$11+'TE CVA'!$AB$11)*1</f>
        <v>114.76529888966962</v>
      </c>
      <c r="AB220" s="6">
        <f>$K$220*$V$220</f>
        <v>0</v>
      </c>
      <c r="AC220" s="6">
        <f>$M$220*$W$220</f>
        <v>47.72034</v>
      </c>
      <c r="AD220" s="6">
        <f>$O$220*$X$220</f>
        <v>32.55471</v>
      </c>
      <c r="AE220" s="6">
        <f>$K$220*$Y$220</f>
        <v>0</v>
      </c>
      <c r="AF220" s="6">
        <f ca="1">$M$220*$Z$220</f>
        <v>61.746445416754874</v>
      </c>
      <c r="AG220" s="6">
        <f>$O$220*$AA$220</f>
        <v>27.887967630189717</v>
      </c>
    </row>
    <row r="221" spans="1:33" ht="11.25" customHeight="1" x14ac:dyDescent="0.25">
      <c r="A221" s="4" t="s">
        <v>57</v>
      </c>
      <c r="B221" s="4" t="s">
        <v>22</v>
      </c>
      <c r="C221" s="4" t="s">
        <v>55</v>
      </c>
      <c r="D221" s="4" t="s">
        <v>24</v>
      </c>
      <c r="E221" s="4" t="s">
        <v>24</v>
      </c>
      <c r="F221" s="4" t="s">
        <v>25</v>
      </c>
      <c r="G221" s="4" t="s">
        <v>25</v>
      </c>
      <c r="H221" s="4" t="s">
        <v>38</v>
      </c>
      <c r="I221" s="5">
        <v>44774</v>
      </c>
      <c r="J221" s="6">
        <v>0</v>
      </c>
      <c r="K221" s="6">
        <v>0</v>
      </c>
      <c r="L221" s="6">
        <v>0.24299999999999999</v>
      </c>
      <c r="M221" s="6">
        <v>0.24299999999999999</v>
      </c>
      <c r="N221" s="6">
        <v>0.24299999999999999</v>
      </c>
      <c r="O221" s="6">
        <v>0.24299999999999999</v>
      </c>
      <c r="P221" s="6">
        <v>0</v>
      </c>
      <c r="Q221" s="4" t="s">
        <v>26</v>
      </c>
      <c r="R221" s="4">
        <v>0</v>
      </c>
      <c r="S221" s="6">
        <v>0</v>
      </c>
      <c r="T221" s="6">
        <v>13</v>
      </c>
      <c r="U221" s="6">
        <v>73</v>
      </c>
      <c r="V221" s="6">
        <f>IF(ISERROR(VLOOKUP($S$221,'TAR FIN'!$A$1:$O$91,15,0)),0,VLOOKUP($S$221,'TAR FIN'!$A$1:$O$91,15,0))</f>
        <v>0</v>
      </c>
      <c r="W221" s="6">
        <f>IF(ISERROR(VLOOKUP($T$221,'TAR FIN'!$A$1:$O$91,15,0)),0,VLOOKUP($T$221,'TAR FIN'!$A$1:$O$91,15,0))</f>
        <v>196.38</v>
      </c>
      <c r="X221" s="6">
        <f>IF(ISERROR(VLOOKUP($U$221,'TAR FIN'!$A$1:$O$91,15,0)),0,VLOOKUP($U$221,'TAR FIN'!$A$1:$O$91,15,0))</f>
        <v>133.97</v>
      </c>
      <c r="Y221" s="6"/>
      <c r="Z221" s="6">
        <f ca="1">('TUSD BE'!$AM$23+'TUSD BF'!$AM$23+'TUSD CVA'!$AM$23)*1</f>
        <v>254.10059842285958</v>
      </c>
      <c r="AA221" s="6">
        <f>('TE BE'!$AB$11+'TE BF'!$AB$11+'TE CVA'!$AB$11)*1</f>
        <v>114.76529888966962</v>
      </c>
      <c r="AB221" s="6">
        <f>$K$221*$V$221</f>
        <v>0</v>
      </c>
      <c r="AC221" s="6">
        <f>$M$221*$W$221</f>
        <v>47.72034</v>
      </c>
      <c r="AD221" s="6">
        <f>$O$221*$X$221</f>
        <v>32.55471</v>
      </c>
      <c r="AE221" s="6">
        <f>$K$221*$Y$221</f>
        <v>0</v>
      </c>
      <c r="AF221" s="6">
        <f ca="1">$M$221*$Z$221</f>
        <v>61.746445416754874</v>
      </c>
      <c r="AG221" s="6">
        <f>$O$221*$AA$221</f>
        <v>27.887967630189717</v>
      </c>
    </row>
    <row r="222" spans="1:33" ht="11.25" customHeight="1" x14ac:dyDescent="0.25">
      <c r="A222" s="4" t="s">
        <v>21</v>
      </c>
      <c r="B222" s="4" t="s">
        <v>22</v>
      </c>
      <c r="C222" s="4" t="s">
        <v>55</v>
      </c>
      <c r="D222" s="4" t="s">
        <v>24</v>
      </c>
      <c r="E222" s="4" t="s">
        <v>24</v>
      </c>
      <c r="F222" s="4" t="s">
        <v>25</v>
      </c>
      <c r="G222" s="4" t="s">
        <v>25</v>
      </c>
      <c r="H222" s="4" t="s">
        <v>56</v>
      </c>
      <c r="I222" s="5">
        <v>44682</v>
      </c>
      <c r="J222" s="6">
        <v>0</v>
      </c>
      <c r="K222" s="6">
        <v>0</v>
      </c>
      <c r="L222" s="6">
        <v>6.0000000000000001E-3</v>
      </c>
      <c r="M222" s="6">
        <v>6.0000000000000001E-3</v>
      </c>
      <c r="N222" s="6">
        <v>6.0000000000000001E-3</v>
      </c>
      <c r="O222" s="6">
        <v>6.0000000000000001E-3</v>
      </c>
      <c r="P222" s="6">
        <v>0</v>
      </c>
      <c r="Q222" s="4" t="s">
        <v>26</v>
      </c>
      <c r="R222" s="4">
        <v>0</v>
      </c>
      <c r="S222" s="6">
        <v>0</v>
      </c>
      <c r="T222" s="6">
        <v>23</v>
      </c>
      <c r="U222" s="6">
        <v>63</v>
      </c>
      <c r="V222" s="6">
        <f>IF(ISERROR(VLOOKUP($S$222,'TAR FIN'!$A$1:$O$91,15,0)),0,VLOOKUP($S$222,'TAR FIN'!$A$1:$O$91,15,0))</f>
        <v>0</v>
      </c>
      <c r="W222" s="6">
        <f>IF(ISERROR(VLOOKUP($T$222,'TAR FIN'!$A$1:$O$91,15,0)),0,VLOOKUP($T$222,'TAR FIN'!$A$1:$O$91,15,0))</f>
        <v>367.01</v>
      </c>
      <c r="X222" s="6">
        <f>IF(ISERROR(VLOOKUP($U$222,'TAR FIN'!$A$1:$O$91,15,0)),0,VLOOKUP($U$222,'TAR FIN'!$A$1:$O$91,15,0))</f>
        <v>133.97</v>
      </c>
      <c r="Y222" s="6"/>
      <c r="Z222" s="6">
        <f ca="1">('TUSD BE'!$AM$22+'TUSD BF'!$AM$22+'TUSD CVA'!$AM$22)*1</f>
        <v>464.73407500025519</v>
      </c>
      <c r="AA222" s="6">
        <f>('TE BE'!$AB$10+'TE BF'!$AB$10+'TE CVA'!$AB$10)*1</f>
        <v>114.76529888966962</v>
      </c>
      <c r="AB222" s="6">
        <f>$K$222*$V$222</f>
        <v>0</v>
      </c>
      <c r="AC222" s="6">
        <f>$M$222*$W$222</f>
        <v>2.2020599999999999</v>
      </c>
      <c r="AD222" s="6">
        <f>$O$222*$X$222</f>
        <v>0.80381999999999998</v>
      </c>
      <c r="AE222" s="6">
        <f>$K$222*$Y$222</f>
        <v>0</v>
      </c>
      <c r="AF222" s="6">
        <f ca="1">$M$222*$Z$222</f>
        <v>2.788404450001531</v>
      </c>
      <c r="AG222" s="6">
        <f>$O$222*$AA$222</f>
        <v>0.68859179333801779</v>
      </c>
    </row>
    <row r="223" spans="1:33" ht="11.25" customHeight="1" x14ac:dyDescent="0.25">
      <c r="A223" s="4" t="s">
        <v>21</v>
      </c>
      <c r="B223" s="4" t="s">
        <v>22</v>
      </c>
      <c r="C223" s="4" t="s">
        <v>55</v>
      </c>
      <c r="D223" s="4" t="s">
        <v>24</v>
      </c>
      <c r="E223" s="4" t="s">
        <v>24</v>
      </c>
      <c r="F223" s="4" t="s">
        <v>25</v>
      </c>
      <c r="G223" s="4" t="s">
        <v>25</v>
      </c>
      <c r="H223" s="4" t="s">
        <v>56</v>
      </c>
      <c r="I223" s="5">
        <v>44713</v>
      </c>
      <c r="J223" s="6">
        <v>0</v>
      </c>
      <c r="K223" s="6">
        <v>0</v>
      </c>
      <c r="L223" s="6">
        <v>3.2000000000000001E-2</v>
      </c>
      <c r="M223" s="6">
        <v>3.2000000000000001E-2</v>
      </c>
      <c r="N223" s="6">
        <v>3.2000000000000001E-2</v>
      </c>
      <c r="O223" s="6">
        <v>3.2000000000000001E-2</v>
      </c>
      <c r="P223" s="6">
        <v>0</v>
      </c>
      <c r="Q223" s="4" t="s">
        <v>26</v>
      </c>
      <c r="R223" s="4">
        <v>0</v>
      </c>
      <c r="S223" s="6">
        <v>0</v>
      </c>
      <c r="T223" s="6">
        <v>23</v>
      </c>
      <c r="U223" s="6">
        <v>63</v>
      </c>
      <c r="V223" s="6">
        <f>IF(ISERROR(VLOOKUP($S$223,'TAR FIN'!$A$1:$O$91,15,0)),0,VLOOKUP($S$223,'TAR FIN'!$A$1:$O$91,15,0))</f>
        <v>0</v>
      </c>
      <c r="W223" s="6">
        <f>IF(ISERROR(VLOOKUP($T$223,'TAR FIN'!$A$1:$O$91,15,0)),0,VLOOKUP($T$223,'TAR FIN'!$A$1:$O$91,15,0))</f>
        <v>367.01</v>
      </c>
      <c r="X223" s="6">
        <f>IF(ISERROR(VLOOKUP($U$223,'TAR FIN'!$A$1:$O$91,15,0)),0,VLOOKUP($U$223,'TAR FIN'!$A$1:$O$91,15,0))</f>
        <v>133.97</v>
      </c>
      <c r="Y223" s="6"/>
      <c r="Z223" s="6">
        <f ca="1">('TUSD BE'!$AM$22+'TUSD BF'!$AM$22+'TUSD CVA'!$AM$22)*1</f>
        <v>464.73407500025519</v>
      </c>
      <c r="AA223" s="6">
        <f>('TE BE'!$AB$10+'TE BF'!$AB$10+'TE CVA'!$AB$10)*1</f>
        <v>114.76529888966962</v>
      </c>
      <c r="AB223" s="6">
        <f>$K$223*$V$223</f>
        <v>0</v>
      </c>
      <c r="AC223" s="6">
        <f>$M$223*$W$223</f>
        <v>11.74432</v>
      </c>
      <c r="AD223" s="6">
        <f>$O$223*$X$223</f>
        <v>4.2870400000000002</v>
      </c>
      <c r="AE223" s="6">
        <f>$K$223*$Y$223</f>
        <v>0</v>
      </c>
      <c r="AF223" s="6">
        <f ca="1">$M$223*$Z$223</f>
        <v>14.871490400008167</v>
      </c>
      <c r="AG223" s="6">
        <f>$O$223*$AA$223</f>
        <v>3.6724895644694282</v>
      </c>
    </row>
    <row r="224" spans="1:33" ht="11.25" customHeight="1" x14ac:dyDescent="0.25">
      <c r="A224" s="4" t="s">
        <v>21</v>
      </c>
      <c r="B224" s="4" t="s">
        <v>22</v>
      </c>
      <c r="C224" s="4" t="s">
        <v>55</v>
      </c>
      <c r="D224" s="4" t="s">
        <v>24</v>
      </c>
      <c r="E224" s="4" t="s">
        <v>24</v>
      </c>
      <c r="F224" s="4" t="s">
        <v>25</v>
      </c>
      <c r="G224" s="4" t="s">
        <v>25</v>
      </c>
      <c r="H224" s="4" t="s">
        <v>56</v>
      </c>
      <c r="I224" s="5">
        <v>44743</v>
      </c>
      <c r="J224" s="6">
        <v>0</v>
      </c>
      <c r="K224" s="6">
        <v>0</v>
      </c>
      <c r="L224" s="6">
        <v>2.4E-2</v>
      </c>
      <c r="M224" s="6">
        <v>2.4E-2</v>
      </c>
      <c r="N224" s="6">
        <v>2.4E-2</v>
      </c>
      <c r="O224" s="6">
        <v>2.4E-2</v>
      </c>
      <c r="P224" s="6">
        <v>0</v>
      </c>
      <c r="Q224" s="4" t="s">
        <v>26</v>
      </c>
      <c r="R224" s="4">
        <v>0</v>
      </c>
      <c r="S224" s="6">
        <v>0</v>
      </c>
      <c r="T224" s="6">
        <v>23</v>
      </c>
      <c r="U224" s="6">
        <v>63</v>
      </c>
      <c r="V224" s="6">
        <f>IF(ISERROR(VLOOKUP($S$224,'TAR FIN'!$A$1:$O$91,15,0)),0,VLOOKUP($S$224,'TAR FIN'!$A$1:$O$91,15,0))</f>
        <v>0</v>
      </c>
      <c r="W224" s="6">
        <f>IF(ISERROR(VLOOKUP($T$224,'TAR FIN'!$A$1:$O$91,15,0)),0,VLOOKUP($T$224,'TAR FIN'!$A$1:$O$91,15,0))</f>
        <v>367.01</v>
      </c>
      <c r="X224" s="6">
        <f>IF(ISERROR(VLOOKUP($U$224,'TAR FIN'!$A$1:$O$91,15,0)),0,VLOOKUP($U$224,'TAR FIN'!$A$1:$O$91,15,0))</f>
        <v>133.97</v>
      </c>
      <c r="Y224" s="6"/>
      <c r="Z224" s="6">
        <f ca="1">('TUSD BE'!$AM$22+'TUSD BF'!$AM$22+'TUSD CVA'!$AM$22)*1</f>
        <v>464.73407500025519</v>
      </c>
      <c r="AA224" s="6">
        <f>('TE BE'!$AB$10+'TE BF'!$AB$10+'TE CVA'!$AB$10)*1</f>
        <v>114.76529888966962</v>
      </c>
      <c r="AB224" s="6">
        <f>$K$224*$V$224</f>
        <v>0</v>
      </c>
      <c r="AC224" s="6">
        <f>$M$224*$W$224</f>
        <v>8.8082399999999996</v>
      </c>
      <c r="AD224" s="6">
        <f>$O$224*$X$224</f>
        <v>3.2152799999999999</v>
      </c>
      <c r="AE224" s="6">
        <f>$K$224*$Y$224</f>
        <v>0</v>
      </c>
      <c r="AF224" s="6">
        <f ca="1">$M$224*$Z$224</f>
        <v>11.153617800006124</v>
      </c>
      <c r="AG224" s="6">
        <f>$O$224*$AA$224</f>
        <v>2.7543671733520712</v>
      </c>
    </row>
    <row r="225" spans="1:33" ht="11.25" customHeight="1" x14ac:dyDescent="0.25">
      <c r="A225" s="4" t="s">
        <v>57</v>
      </c>
      <c r="B225" s="4" t="s">
        <v>22</v>
      </c>
      <c r="C225" s="4" t="s">
        <v>55</v>
      </c>
      <c r="D225" s="4" t="s">
        <v>24</v>
      </c>
      <c r="E225" s="4" t="s">
        <v>24</v>
      </c>
      <c r="F225" s="4" t="s">
        <v>25</v>
      </c>
      <c r="G225" s="4" t="s">
        <v>25</v>
      </c>
      <c r="H225" s="4" t="s">
        <v>56</v>
      </c>
      <c r="I225" s="5">
        <v>44774</v>
      </c>
      <c r="J225" s="6">
        <v>0</v>
      </c>
      <c r="K225" s="6">
        <v>0</v>
      </c>
      <c r="L225" s="6">
        <v>2.4E-2</v>
      </c>
      <c r="M225" s="6">
        <v>2.4E-2</v>
      </c>
      <c r="N225" s="6">
        <v>2.4E-2</v>
      </c>
      <c r="O225" s="6">
        <v>2.4E-2</v>
      </c>
      <c r="P225" s="6">
        <v>0</v>
      </c>
      <c r="Q225" s="4" t="s">
        <v>26</v>
      </c>
      <c r="R225" s="4">
        <v>0</v>
      </c>
      <c r="S225" s="6">
        <v>0</v>
      </c>
      <c r="T225" s="6">
        <v>23</v>
      </c>
      <c r="U225" s="6">
        <v>63</v>
      </c>
      <c r="V225" s="6">
        <f>IF(ISERROR(VLOOKUP($S$225,'TAR FIN'!$A$1:$O$91,15,0)),0,VLOOKUP($S$225,'TAR FIN'!$A$1:$O$91,15,0))</f>
        <v>0</v>
      </c>
      <c r="W225" s="6">
        <f>IF(ISERROR(VLOOKUP($T$225,'TAR FIN'!$A$1:$O$91,15,0)),0,VLOOKUP($T$225,'TAR FIN'!$A$1:$O$91,15,0))</f>
        <v>367.01</v>
      </c>
      <c r="X225" s="6">
        <f>IF(ISERROR(VLOOKUP($U$225,'TAR FIN'!$A$1:$O$91,15,0)),0,VLOOKUP($U$225,'TAR FIN'!$A$1:$O$91,15,0))</f>
        <v>133.97</v>
      </c>
      <c r="Y225" s="6"/>
      <c r="Z225" s="6">
        <f ca="1">('TUSD BE'!$AM$22+'TUSD BF'!$AM$22+'TUSD CVA'!$AM$22)*1</f>
        <v>464.73407500025519</v>
      </c>
      <c r="AA225" s="6">
        <f>('TE BE'!$AB$10+'TE BF'!$AB$10+'TE CVA'!$AB$10)*1</f>
        <v>114.76529888966962</v>
      </c>
      <c r="AB225" s="6">
        <f>$K$225*$V$225</f>
        <v>0</v>
      </c>
      <c r="AC225" s="6">
        <f>$M$225*$W$225</f>
        <v>8.8082399999999996</v>
      </c>
      <c r="AD225" s="6">
        <f>$O$225*$X$225</f>
        <v>3.2152799999999999</v>
      </c>
      <c r="AE225" s="6">
        <f>$K$225*$Y$225</f>
        <v>0</v>
      </c>
      <c r="AF225" s="6">
        <f ca="1">$M$225*$Z$225</f>
        <v>11.153617800006124</v>
      </c>
      <c r="AG225" s="6">
        <f>$O$225*$AA$225</f>
        <v>2.7543671733520712</v>
      </c>
    </row>
    <row r="226" spans="1:33" ht="11.25" customHeight="1" x14ac:dyDescent="0.25">
      <c r="A226" s="4" t="s">
        <v>21</v>
      </c>
      <c r="B226" s="4" t="s">
        <v>22</v>
      </c>
      <c r="C226" s="4" t="s">
        <v>55</v>
      </c>
      <c r="D226" s="4" t="s">
        <v>24</v>
      </c>
      <c r="E226" s="4" t="s">
        <v>24</v>
      </c>
      <c r="F226" s="4" t="s">
        <v>25</v>
      </c>
      <c r="G226" s="4" t="s">
        <v>25</v>
      </c>
      <c r="H226" s="4" t="s">
        <v>37</v>
      </c>
      <c r="I226" s="5">
        <v>44682</v>
      </c>
      <c r="J226" s="6">
        <v>0</v>
      </c>
      <c r="K226" s="6">
        <v>0</v>
      </c>
      <c r="L226" s="6">
        <v>0.02</v>
      </c>
      <c r="M226" s="6">
        <v>0.02</v>
      </c>
      <c r="N226" s="6">
        <v>0.02</v>
      </c>
      <c r="O226" s="6">
        <v>0.02</v>
      </c>
      <c r="P226" s="6">
        <v>0</v>
      </c>
      <c r="Q226" s="4" t="s">
        <v>26</v>
      </c>
      <c r="R226" s="4">
        <v>0</v>
      </c>
      <c r="S226" s="6">
        <v>0</v>
      </c>
      <c r="T226" s="6">
        <v>2</v>
      </c>
      <c r="U226" s="6">
        <v>62</v>
      </c>
      <c r="V226" s="6">
        <f>IF(ISERROR(VLOOKUP($S$226,'TAR FIN'!$A$1:$O$91,15,0)),0,VLOOKUP($S$226,'TAR FIN'!$A$1:$O$91,15,0))</f>
        <v>0</v>
      </c>
      <c r="W226" s="6">
        <f>IF(ISERROR(VLOOKUP($T$226,'TAR FIN'!$A$1:$O$91,15,0)),0,VLOOKUP($T$226,'TAR FIN'!$A$1:$O$91,15,0))</f>
        <v>537.63</v>
      </c>
      <c r="X226" s="6">
        <f>IF(ISERROR(VLOOKUP($U$226,'TAR FIN'!$A$1:$O$91,15,0)),0,VLOOKUP($U$226,'TAR FIN'!$A$1:$O$91,15,0))</f>
        <v>133.97</v>
      </c>
      <c r="Y226" s="6"/>
      <c r="Z226" s="6">
        <f ca="1">('TUSD BE'!$AM$21+'TUSD BF'!$AM$21+'TUSD CVA'!$AM$21)*1</f>
        <v>675.36753793172886</v>
      </c>
      <c r="AA226" s="6">
        <f>('TE BE'!$AB$9+'TE BF'!$AB$9+'TE CVA'!$AB$9)*1</f>
        <v>114.76529888966962</v>
      </c>
      <c r="AB226" s="6">
        <f>$K$226*$V$226</f>
        <v>0</v>
      </c>
      <c r="AC226" s="6">
        <f>$M$226*$W$226</f>
        <v>10.752599999999999</v>
      </c>
      <c r="AD226" s="6">
        <f>$O$226*$X$226</f>
        <v>2.6794000000000002</v>
      </c>
      <c r="AE226" s="6">
        <f>$K$226*$Y$226</f>
        <v>0</v>
      </c>
      <c r="AF226" s="6">
        <f ca="1">$M$226*$Z$226</f>
        <v>13.507350758634578</v>
      </c>
      <c r="AG226" s="6">
        <f>$O$226*$AA$226</f>
        <v>2.2953059777933924</v>
      </c>
    </row>
    <row r="227" spans="1:33" ht="11.25" customHeight="1" x14ac:dyDescent="0.25">
      <c r="A227" s="4" t="s">
        <v>21</v>
      </c>
      <c r="B227" s="4" t="s">
        <v>22</v>
      </c>
      <c r="C227" s="4" t="s">
        <v>55</v>
      </c>
      <c r="D227" s="4" t="s">
        <v>24</v>
      </c>
      <c r="E227" s="4" t="s">
        <v>24</v>
      </c>
      <c r="F227" s="4" t="s">
        <v>25</v>
      </c>
      <c r="G227" s="4" t="s">
        <v>25</v>
      </c>
      <c r="H227" s="4" t="s">
        <v>37</v>
      </c>
      <c r="I227" s="5">
        <v>44713</v>
      </c>
      <c r="J227" s="6">
        <v>0</v>
      </c>
      <c r="K227" s="6">
        <v>0</v>
      </c>
      <c r="L227" s="6">
        <v>4.5999999999999999E-2</v>
      </c>
      <c r="M227" s="6">
        <v>4.5999999999999999E-2</v>
      </c>
      <c r="N227" s="6">
        <v>4.5999999999999999E-2</v>
      </c>
      <c r="O227" s="6">
        <v>4.5999999999999999E-2</v>
      </c>
      <c r="P227" s="6">
        <v>0</v>
      </c>
      <c r="Q227" s="4" t="s">
        <v>26</v>
      </c>
      <c r="R227" s="4">
        <v>0</v>
      </c>
      <c r="S227" s="6">
        <v>0</v>
      </c>
      <c r="T227" s="6">
        <v>2</v>
      </c>
      <c r="U227" s="6">
        <v>62</v>
      </c>
      <c r="V227" s="6">
        <f>IF(ISERROR(VLOOKUP($S$227,'TAR FIN'!$A$1:$O$91,15,0)),0,VLOOKUP($S$227,'TAR FIN'!$A$1:$O$91,15,0))</f>
        <v>0</v>
      </c>
      <c r="W227" s="6">
        <f>IF(ISERROR(VLOOKUP($T$227,'TAR FIN'!$A$1:$O$91,15,0)),0,VLOOKUP($T$227,'TAR FIN'!$A$1:$O$91,15,0))</f>
        <v>537.63</v>
      </c>
      <c r="X227" s="6">
        <f>IF(ISERROR(VLOOKUP($U$227,'TAR FIN'!$A$1:$O$91,15,0)),0,VLOOKUP($U$227,'TAR FIN'!$A$1:$O$91,15,0))</f>
        <v>133.97</v>
      </c>
      <c r="Y227" s="6"/>
      <c r="Z227" s="6">
        <f ca="1">('TUSD BE'!$AM$21+'TUSD BF'!$AM$21+'TUSD CVA'!$AM$21)*1</f>
        <v>675.36753793172886</v>
      </c>
      <c r="AA227" s="6">
        <f>('TE BE'!$AB$9+'TE BF'!$AB$9+'TE CVA'!$AB$9)*1</f>
        <v>114.76529888966962</v>
      </c>
      <c r="AB227" s="6">
        <f>$K$227*$V$227</f>
        <v>0</v>
      </c>
      <c r="AC227" s="6">
        <f>$M$227*$W$227</f>
        <v>24.730979999999999</v>
      </c>
      <c r="AD227" s="6">
        <f>$O$227*$X$227</f>
        <v>6.1626199999999995</v>
      </c>
      <c r="AE227" s="6">
        <f>$K$227*$Y$227</f>
        <v>0</v>
      </c>
      <c r="AF227" s="6">
        <f ca="1">$M$227*$Z$227</f>
        <v>31.066906744859526</v>
      </c>
      <c r="AG227" s="6">
        <f>$O$227*$AA$227</f>
        <v>5.2792037489248029</v>
      </c>
    </row>
    <row r="228" spans="1:33" ht="11.25" customHeight="1" x14ac:dyDescent="0.25">
      <c r="A228" s="4" t="s">
        <v>21</v>
      </c>
      <c r="B228" s="4" t="s">
        <v>22</v>
      </c>
      <c r="C228" s="4" t="s">
        <v>55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37</v>
      </c>
      <c r="I228" s="5">
        <v>44743</v>
      </c>
      <c r="J228" s="6">
        <v>0</v>
      </c>
      <c r="K228" s="6">
        <v>0</v>
      </c>
      <c r="L228" s="6">
        <v>4.3999999999999997E-2</v>
      </c>
      <c r="M228" s="6">
        <v>4.3999999999999997E-2</v>
      </c>
      <c r="N228" s="6">
        <v>4.3999999999999997E-2</v>
      </c>
      <c r="O228" s="6">
        <v>4.3999999999999997E-2</v>
      </c>
      <c r="P228" s="6">
        <v>0</v>
      </c>
      <c r="Q228" s="4" t="s">
        <v>26</v>
      </c>
      <c r="R228" s="4">
        <v>0</v>
      </c>
      <c r="S228" s="6">
        <v>0</v>
      </c>
      <c r="T228" s="6">
        <v>2</v>
      </c>
      <c r="U228" s="6">
        <v>62</v>
      </c>
      <c r="V228" s="6">
        <f>IF(ISERROR(VLOOKUP($S$228,'TAR FIN'!$A$1:$O$91,15,0)),0,VLOOKUP($S$228,'TAR FIN'!$A$1:$O$91,15,0))</f>
        <v>0</v>
      </c>
      <c r="W228" s="6">
        <f>IF(ISERROR(VLOOKUP($T$228,'TAR FIN'!$A$1:$O$91,15,0)),0,VLOOKUP($T$228,'TAR FIN'!$A$1:$O$91,15,0))</f>
        <v>537.63</v>
      </c>
      <c r="X228" s="6">
        <f>IF(ISERROR(VLOOKUP($U$228,'TAR FIN'!$A$1:$O$91,15,0)),0,VLOOKUP($U$228,'TAR FIN'!$A$1:$O$91,15,0))</f>
        <v>133.97</v>
      </c>
      <c r="Y228" s="6"/>
      <c r="Z228" s="6">
        <f ca="1">('TUSD BE'!$AM$21+'TUSD BF'!$AM$21+'TUSD CVA'!$AM$21)*1</f>
        <v>675.36753793172886</v>
      </c>
      <c r="AA228" s="6">
        <f>('TE BE'!$AB$9+'TE BF'!$AB$9+'TE CVA'!$AB$9)*1</f>
        <v>114.76529888966962</v>
      </c>
      <c r="AB228" s="6">
        <f>$K$228*$V$228</f>
        <v>0</v>
      </c>
      <c r="AC228" s="6">
        <f>$M$228*$W$228</f>
        <v>23.655719999999999</v>
      </c>
      <c r="AD228" s="6">
        <f>$O$228*$X$228</f>
        <v>5.8946799999999993</v>
      </c>
      <c r="AE228" s="6">
        <f>$K$228*$Y$228</f>
        <v>0</v>
      </c>
      <c r="AF228" s="6">
        <f ca="1">$M$228*$Z$228</f>
        <v>29.716171668996068</v>
      </c>
      <c r="AG228" s="6">
        <f>$O$228*$AA$228</f>
        <v>5.0496731511454636</v>
      </c>
    </row>
    <row r="229" spans="1:33" ht="11.25" customHeight="1" x14ac:dyDescent="0.25">
      <c r="A229" s="4" t="s">
        <v>57</v>
      </c>
      <c r="B229" s="4" t="s">
        <v>22</v>
      </c>
      <c r="C229" s="4" t="s">
        <v>55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37</v>
      </c>
      <c r="I229" s="5">
        <v>44774</v>
      </c>
      <c r="J229" s="6">
        <v>0</v>
      </c>
      <c r="K229" s="6">
        <v>0</v>
      </c>
      <c r="L229" s="6">
        <v>4.3999999999999997E-2</v>
      </c>
      <c r="M229" s="6">
        <v>4.3999999999999997E-2</v>
      </c>
      <c r="N229" s="6">
        <v>4.3999999999999997E-2</v>
      </c>
      <c r="O229" s="6">
        <v>4.3999999999999997E-2</v>
      </c>
      <c r="P229" s="6">
        <v>0</v>
      </c>
      <c r="Q229" s="4" t="s">
        <v>26</v>
      </c>
      <c r="R229" s="4">
        <v>0</v>
      </c>
      <c r="S229" s="6">
        <v>0</v>
      </c>
      <c r="T229" s="6">
        <v>2</v>
      </c>
      <c r="U229" s="6">
        <v>62</v>
      </c>
      <c r="V229" s="6">
        <f>IF(ISERROR(VLOOKUP($S$229,'TAR FIN'!$A$1:$O$91,15,0)),0,VLOOKUP($S$229,'TAR FIN'!$A$1:$O$91,15,0))</f>
        <v>0</v>
      </c>
      <c r="W229" s="6">
        <f>IF(ISERROR(VLOOKUP($T$229,'TAR FIN'!$A$1:$O$91,15,0)),0,VLOOKUP($T$229,'TAR FIN'!$A$1:$O$91,15,0))</f>
        <v>537.63</v>
      </c>
      <c r="X229" s="6">
        <f>IF(ISERROR(VLOOKUP($U$229,'TAR FIN'!$A$1:$O$91,15,0)),0,VLOOKUP($U$229,'TAR FIN'!$A$1:$O$91,15,0))</f>
        <v>133.97</v>
      </c>
      <c r="Y229" s="6"/>
      <c r="Z229" s="6">
        <f ca="1">('TUSD BE'!$AM$21+'TUSD BF'!$AM$21+'TUSD CVA'!$AM$21)*1</f>
        <v>675.36753793172886</v>
      </c>
      <c r="AA229" s="6">
        <f>('TE BE'!$AB$9+'TE BF'!$AB$9+'TE CVA'!$AB$9)*1</f>
        <v>114.76529888966962</v>
      </c>
      <c r="AB229" s="6">
        <f>$K$229*$V$229</f>
        <v>0</v>
      </c>
      <c r="AC229" s="6">
        <f>$M$229*$W$229</f>
        <v>23.655719999999999</v>
      </c>
      <c r="AD229" s="6">
        <f>$O$229*$X$229</f>
        <v>5.8946799999999993</v>
      </c>
      <c r="AE229" s="6">
        <f>$K$229*$Y$229</f>
        <v>0</v>
      </c>
      <c r="AF229" s="6">
        <f ca="1">$M$229*$Z$229</f>
        <v>29.716171668996068</v>
      </c>
      <c r="AG229" s="6">
        <f>$O$229*$AA$229</f>
        <v>5.0496731511454636</v>
      </c>
    </row>
    <row r="230" spans="1:33" ht="11.25" customHeight="1" x14ac:dyDescent="0.25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24</v>
      </c>
      <c r="F230" s="4" t="s">
        <v>25</v>
      </c>
      <c r="G230" s="4" t="s">
        <v>25</v>
      </c>
      <c r="H230" s="4" t="s">
        <v>25</v>
      </c>
      <c r="I230" s="5">
        <v>44440</v>
      </c>
      <c r="J230" s="6">
        <v>0</v>
      </c>
      <c r="K230" s="6">
        <v>0</v>
      </c>
      <c r="L230" s="6">
        <v>4595.1440000000002</v>
      </c>
      <c r="M230" s="6">
        <v>4595.1440000000002</v>
      </c>
      <c r="N230" s="6">
        <v>4595.1440000000002</v>
      </c>
      <c r="O230" s="6">
        <v>4595.1440000000002</v>
      </c>
      <c r="P230" s="6">
        <v>20586</v>
      </c>
      <c r="Q230" s="4" t="s">
        <v>26</v>
      </c>
      <c r="R230" s="4">
        <v>0</v>
      </c>
      <c r="S230" s="6">
        <v>0</v>
      </c>
      <c r="T230" s="6">
        <v>11</v>
      </c>
      <c r="U230" s="6">
        <v>88</v>
      </c>
      <c r="V230" s="6">
        <f>IF(ISERROR(VLOOKUP($S$230,'TAR FIN'!$A$1:$O$91,15,0)),0,VLOOKUP($S$230,'TAR FIN'!$A$1:$O$91,15,0))</f>
        <v>0</v>
      </c>
      <c r="W230" s="6">
        <f>IF(ISERROR(VLOOKUP($T$230,'TAR FIN'!$A$1:$O$91,15,0)),0,VLOOKUP($T$230,'TAR FIN'!$A$1:$O$91,15,0))</f>
        <v>269.06</v>
      </c>
      <c r="X230" s="6">
        <f>IF(ISERROR(VLOOKUP($U$230,'TAR FIN'!$A$1:$O$91,15,0)),0,VLOOKUP($U$230,'TAR FIN'!$A$1:$O$91,15,0))</f>
        <v>133.97</v>
      </c>
      <c r="Y230" s="6"/>
      <c r="Z230" s="6">
        <f ca="1">('TUSD BE'!$AM$24+'TUSD BF'!$AM$24+'TUSD CVA'!$AM$24)*1</f>
        <v>343.81469354767324</v>
      </c>
      <c r="AA230" s="6">
        <f>('TE BE'!$AB$12+'TE BF'!$AB$12+'TE CVA'!$AB$12)*1</f>
        <v>114.76529888966962</v>
      </c>
      <c r="AB230" s="6">
        <f>$K$230*$V$230</f>
        <v>0</v>
      </c>
      <c r="AC230" s="6">
        <f>$M$230*$W$230</f>
        <v>1236369.4446400001</v>
      </c>
      <c r="AD230" s="6">
        <f>$O$230*$X$230</f>
        <v>615611.44168000005</v>
      </c>
      <c r="AE230" s="6">
        <f>$K$230*$Y$230</f>
        <v>0</v>
      </c>
      <c r="AF230" s="6">
        <f ca="1">$M$230*$Z$230</f>
        <v>1579878.0261674295</v>
      </c>
      <c r="AG230" s="6">
        <f>$O$230*$AA$230</f>
        <v>527363.074601072</v>
      </c>
    </row>
    <row r="231" spans="1:33" ht="11.25" customHeight="1" x14ac:dyDescent="0.25">
      <c r="A231" s="4" t="s">
        <v>27</v>
      </c>
      <c r="B231" s="4" t="s">
        <v>22</v>
      </c>
      <c r="C231" s="4" t="s">
        <v>23</v>
      </c>
      <c r="D231" s="4" t="s">
        <v>24</v>
      </c>
      <c r="E231" s="4" t="s">
        <v>24</v>
      </c>
      <c r="F231" s="4" t="s">
        <v>25</v>
      </c>
      <c r="G231" s="4" t="s">
        <v>25</v>
      </c>
      <c r="H231" s="4" t="s">
        <v>25</v>
      </c>
      <c r="I231" s="5">
        <v>44440</v>
      </c>
      <c r="J231" s="6">
        <v>0</v>
      </c>
      <c r="K231" s="6">
        <v>0</v>
      </c>
      <c r="L231" s="6">
        <v>-2.5339999999999998</v>
      </c>
      <c r="M231" s="6">
        <v>-2.5339999999999998</v>
      </c>
      <c r="N231" s="6">
        <v>-2.5339999999999998</v>
      </c>
      <c r="O231" s="6">
        <v>-2.5339999999999998</v>
      </c>
      <c r="P231" s="6">
        <v>0</v>
      </c>
      <c r="Q231" s="4" t="s">
        <v>26</v>
      </c>
      <c r="R231" s="4">
        <v>0</v>
      </c>
      <c r="S231" s="6">
        <v>0</v>
      </c>
      <c r="T231" s="6">
        <v>11</v>
      </c>
      <c r="U231" s="6">
        <v>88</v>
      </c>
      <c r="V231" s="6">
        <f>IF(ISERROR(VLOOKUP($S$231,'TAR FIN'!$A$1:$O$91,15,0)),0,VLOOKUP($S$231,'TAR FIN'!$A$1:$O$91,15,0))</f>
        <v>0</v>
      </c>
      <c r="W231" s="6">
        <f>IF(ISERROR(VLOOKUP($T$231,'TAR FIN'!$A$1:$O$91,15,0)),0,VLOOKUP($T$231,'TAR FIN'!$A$1:$O$91,15,0))</f>
        <v>269.06</v>
      </c>
      <c r="X231" s="6">
        <f>IF(ISERROR(VLOOKUP($U$231,'TAR FIN'!$A$1:$O$91,15,0)),0,VLOOKUP($U$231,'TAR FIN'!$A$1:$O$91,15,0))</f>
        <v>133.97</v>
      </c>
      <c r="Y231" s="6"/>
      <c r="Z231" s="6">
        <f ca="1">('TUSD BE'!$AM$24+'TUSD BF'!$AM$24+'TUSD CVA'!$AM$24)*1</f>
        <v>343.81469354767324</v>
      </c>
      <c r="AA231" s="6">
        <f>('TE BE'!$AB$12+'TE BF'!$AB$12+'TE CVA'!$AB$12)*1</f>
        <v>114.76529888966962</v>
      </c>
      <c r="AB231" s="6">
        <f>$K$231*$V$231</f>
        <v>0</v>
      </c>
      <c r="AC231" s="6">
        <f>$M$231*$W$231</f>
        <v>-681.7980399999999</v>
      </c>
      <c r="AD231" s="6">
        <f>$O$231*$X$231</f>
        <v>-339.47997999999995</v>
      </c>
      <c r="AE231" s="6">
        <f>$K$231*$Y$231</f>
        <v>0</v>
      </c>
      <c r="AF231" s="6">
        <f ca="1">$M$231*$Z$231</f>
        <v>-871.22643344980395</v>
      </c>
      <c r="AG231" s="6">
        <f>$O$231*$AA$231</f>
        <v>-290.81526738642282</v>
      </c>
    </row>
    <row r="232" spans="1:33" ht="11.25" customHeight="1" x14ac:dyDescent="0.25">
      <c r="A232" s="4" t="s">
        <v>28</v>
      </c>
      <c r="B232" s="4" t="s">
        <v>22</v>
      </c>
      <c r="C232" s="4" t="s">
        <v>23</v>
      </c>
      <c r="D232" s="4" t="s">
        <v>24</v>
      </c>
      <c r="E232" s="4" t="s">
        <v>24</v>
      </c>
      <c r="F232" s="4" t="s">
        <v>25</v>
      </c>
      <c r="G232" s="4" t="s">
        <v>25</v>
      </c>
      <c r="H232" s="4" t="s">
        <v>25</v>
      </c>
      <c r="I232" s="5">
        <v>44440</v>
      </c>
      <c r="J232" s="6">
        <v>0</v>
      </c>
      <c r="K232" s="6">
        <v>0</v>
      </c>
      <c r="L232" s="6">
        <v>20.265999999999998</v>
      </c>
      <c r="M232" s="6">
        <v>20.265999999999998</v>
      </c>
      <c r="N232" s="6">
        <v>20.265999999999998</v>
      </c>
      <c r="O232" s="6">
        <v>20.265999999999998</v>
      </c>
      <c r="P232" s="6">
        <v>41</v>
      </c>
      <c r="Q232" s="4" t="s">
        <v>26</v>
      </c>
      <c r="R232" s="4">
        <v>0</v>
      </c>
      <c r="S232" s="6">
        <v>0</v>
      </c>
      <c r="T232" s="6">
        <v>11</v>
      </c>
      <c r="U232" s="6">
        <v>88</v>
      </c>
      <c r="V232" s="6">
        <f>IF(ISERROR(VLOOKUP($S$232,'TAR FIN'!$A$1:$O$91,15,0)),0,VLOOKUP($S$232,'TAR FIN'!$A$1:$O$91,15,0))</f>
        <v>0</v>
      </c>
      <c r="W232" s="6">
        <f>IF(ISERROR(VLOOKUP($T$232,'TAR FIN'!$A$1:$O$91,15,0)),0,VLOOKUP($T$232,'TAR FIN'!$A$1:$O$91,15,0))</f>
        <v>269.06</v>
      </c>
      <c r="X232" s="6">
        <f>IF(ISERROR(VLOOKUP($U$232,'TAR FIN'!$A$1:$O$91,15,0)),0,VLOOKUP($U$232,'TAR FIN'!$A$1:$O$91,15,0))</f>
        <v>133.97</v>
      </c>
      <c r="Y232" s="6"/>
      <c r="Z232" s="6">
        <f ca="1">('TUSD BE'!$AM$24+'TUSD BF'!$AM$24+'TUSD CVA'!$AM$24)*1</f>
        <v>343.81469354767324</v>
      </c>
      <c r="AA232" s="6">
        <f>('TE BE'!$AB$12+'TE BF'!$AB$12+'TE CVA'!$AB$12)*1</f>
        <v>114.76529888966962</v>
      </c>
      <c r="AB232" s="6">
        <f>$K$232*$V$232</f>
        <v>0</v>
      </c>
      <c r="AC232" s="6">
        <f>$M$232*$W$232</f>
        <v>5452.7699599999996</v>
      </c>
      <c r="AD232" s="6">
        <f>$O$232*$X$232</f>
        <v>2715.0360199999996</v>
      </c>
      <c r="AE232" s="6">
        <f>$K$232*$Y$232</f>
        <v>0</v>
      </c>
      <c r="AF232" s="6">
        <f ca="1">$M$232*$Z$232</f>
        <v>6967.7485794371451</v>
      </c>
      <c r="AG232" s="6">
        <f>$O$232*$AA$232</f>
        <v>2325.8335472980443</v>
      </c>
    </row>
    <row r="233" spans="1:3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24</v>
      </c>
      <c r="F233" s="4" t="s">
        <v>25</v>
      </c>
      <c r="G233" s="4" t="s">
        <v>25</v>
      </c>
      <c r="H233" s="4" t="s">
        <v>25</v>
      </c>
      <c r="I233" s="5">
        <v>44470</v>
      </c>
      <c r="J233" s="6">
        <v>0</v>
      </c>
      <c r="K233" s="6">
        <v>0</v>
      </c>
      <c r="L233" s="6">
        <v>4514.1490000000003</v>
      </c>
      <c r="M233" s="6">
        <v>4514.1490000000003</v>
      </c>
      <c r="N233" s="6">
        <v>4514.1490000000003</v>
      </c>
      <c r="O233" s="6">
        <v>4514.1490000000003</v>
      </c>
      <c r="P233" s="6">
        <v>20609</v>
      </c>
      <c r="Q233" s="4" t="s">
        <v>26</v>
      </c>
      <c r="R233" s="4">
        <v>0</v>
      </c>
      <c r="S233" s="6">
        <v>0</v>
      </c>
      <c r="T233" s="6">
        <v>11</v>
      </c>
      <c r="U233" s="6">
        <v>88</v>
      </c>
      <c r="V233" s="6">
        <f>IF(ISERROR(VLOOKUP($S$233,'TAR FIN'!$A$1:$O$91,15,0)),0,VLOOKUP($S$233,'TAR FIN'!$A$1:$O$91,15,0))</f>
        <v>0</v>
      </c>
      <c r="W233" s="6">
        <f>IF(ISERROR(VLOOKUP($T$233,'TAR FIN'!$A$1:$O$91,15,0)),0,VLOOKUP($T$233,'TAR FIN'!$A$1:$O$91,15,0))</f>
        <v>269.06</v>
      </c>
      <c r="X233" s="6">
        <f>IF(ISERROR(VLOOKUP($U$233,'TAR FIN'!$A$1:$O$91,15,0)),0,VLOOKUP($U$233,'TAR FIN'!$A$1:$O$91,15,0))</f>
        <v>133.97</v>
      </c>
      <c r="Y233" s="6"/>
      <c r="Z233" s="6">
        <f ca="1">('TUSD BE'!$AM$24+'TUSD BF'!$AM$24+'TUSD CVA'!$AM$24)*1</f>
        <v>343.81469354767324</v>
      </c>
      <c r="AA233" s="6">
        <f>('TE BE'!$AB$12+'TE BF'!$AB$12+'TE CVA'!$AB$12)*1</f>
        <v>114.76529888966962</v>
      </c>
      <c r="AB233" s="6">
        <f>$K$233*$V$233</f>
        <v>0</v>
      </c>
      <c r="AC233" s="6">
        <f>$M$233*$W$233</f>
        <v>1214576.9299400002</v>
      </c>
      <c r="AD233" s="6">
        <f>$O$233*$X$233</f>
        <v>604760.54153000005</v>
      </c>
      <c r="AE233" s="6">
        <f>$K$233*$Y$233</f>
        <v>0</v>
      </c>
      <c r="AF233" s="6">
        <f ca="1">$M$233*$Z$233</f>
        <v>1552030.7550635356</v>
      </c>
      <c r="AG233" s="6">
        <f>$O$233*$AA$233</f>
        <v>518067.65921750327</v>
      </c>
    </row>
    <row r="234" spans="1:33" ht="11.25" customHeight="1" x14ac:dyDescent="0.25">
      <c r="A234" s="4" t="s">
        <v>27</v>
      </c>
      <c r="B234" s="4" t="s">
        <v>22</v>
      </c>
      <c r="C234" s="4" t="s">
        <v>23</v>
      </c>
      <c r="D234" s="4" t="s">
        <v>24</v>
      </c>
      <c r="E234" s="4" t="s">
        <v>24</v>
      </c>
      <c r="F234" s="4" t="s">
        <v>25</v>
      </c>
      <c r="G234" s="4" t="s">
        <v>25</v>
      </c>
      <c r="H234" s="4" t="s">
        <v>25</v>
      </c>
      <c r="I234" s="5">
        <v>44470</v>
      </c>
      <c r="J234" s="6">
        <v>0</v>
      </c>
      <c r="K234" s="6">
        <v>0</v>
      </c>
      <c r="L234" s="6">
        <v>-7.7119999999999997</v>
      </c>
      <c r="M234" s="6">
        <v>-7.7119999999999997</v>
      </c>
      <c r="N234" s="6">
        <v>-7.7119999999999997</v>
      </c>
      <c r="O234" s="6">
        <v>-7.7119999999999997</v>
      </c>
      <c r="P234" s="6">
        <v>0</v>
      </c>
      <c r="Q234" s="4" t="s">
        <v>26</v>
      </c>
      <c r="R234" s="4">
        <v>0</v>
      </c>
      <c r="S234" s="6">
        <v>0</v>
      </c>
      <c r="T234" s="6">
        <v>11</v>
      </c>
      <c r="U234" s="6">
        <v>88</v>
      </c>
      <c r="V234" s="6">
        <f>IF(ISERROR(VLOOKUP($S$234,'TAR FIN'!$A$1:$O$91,15,0)),0,VLOOKUP($S$234,'TAR FIN'!$A$1:$O$91,15,0))</f>
        <v>0</v>
      </c>
      <c r="W234" s="6">
        <f>IF(ISERROR(VLOOKUP($T$234,'TAR FIN'!$A$1:$O$91,15,0)),0,VLOOKUP($T$234,'TAR FIN'!$A$1:$O$91,15,0))</f>
        <v>269.06</v>
      </c>
      <c r="X234" s="6">
        <f>IF(ISERROR(VLOOKUP($U$234,'TAR FIN'!$A$1:$O$91,15,0)),0,VLOOKUP($U$234,'TAR FIN'!$A$1:$O$91,15,0))</f>
        <v>133.97</v>
      </c>
      <c r="Y234" s="6"/>
      <c r="Z234" s="6">
        <f ca="1">('TUSD BE'!$AM$24+'TUSD BF'!$AM$24+'TUSD CVA'!$AM$24)*1</f>
        <v>343.81469354767324</v>
      </c>
      <c r="AA234" s="6">
        <f>('TE BE'!$AB$12+'TE BF'!$AB$12+'TE CVA'!$AB$12)*1</f>
        <v>114.76529888966962</v>
      </c>
      <c r="AB234" s="6">
        <f>$K$234*$V$234</f>
        <v>0</v>
      </c>
      <c r="AC234" s="6">
        <f>$M$234*$W$234</f>
        <v>-2074.9907199999998</v>
      </c>
      <c r="AD234" s="6">
        <f>$O$234*$X$234</f>
        <v>-1033.1766399999999</v>
      </c>
      <c r="AE234" s="6">
        <f>$K$234*$Y$234</f>
        <v>0</v>
      </c>
      <c r="AF234" s="6">
        <f ca="1">$M$234*$Z$234</f>
        <v>-2651.4989166396558</v>
      </c>
      <c r="AG234" s="6">
        <f>$O$234*$AA$234</f>
        <v>-885.06998503713214</v>
      </c>
    </row>
    <row r="235" spans="1:33" ht="11.25" customHeight="1" x14ac:dyDescent="0.25">
      <c r="A235" s="4" t="s">
        <v>28</v>
      </c>
      <c r="B235" s="4" t="s">
        <v>22</v>
      </c>
      <c r="C235" s="4" t="s">
        <v>23</v>
      </c>
      <c r="D235" s="4" t="s">
        <v>24</v>
      </c>
      <c r="E235" s="4" t="s">
        <v>24</v>
      </c>
      <c r="F235" s="4" t="s">
        <v>25</v>
      </c>
      <c r="G235" s="4" t="s">
        <v>25</v>
      </c>
      <c r="H235" s="4" t="s">
        <v>25</v>
      </c>
      <c r="I235" s="5">
        <v>44470</v>
      </c>
      <c r="J235" s="6">
        <v>0</v>
      </c>
      <c r="K235" s="6">
        <v>0</v>
      </c>
      <c r="L235" s="6">
        <v>18.855</v>
      </c>
      <c r="M235" s="6">
        <v>18.855</v>
      </c>
      <c r="N235" s="6">
        <v>18.855</v>
      </c>
      <c r="O235" s="6">
        <v>18.855</v>
      </c>
      <c r="P235" s="6">
        <v>43</v>
      </c>
      <c r="Q235" s="4" t="s">
        <v>26</v>
      </c>
      <c r="R235" s="4">
        <v>0</v>
      </c>
      <c r="S235" s="6">
        <v>0</v>
      </c>
      <c r="T235" s="6">
        <v>11</v>
      </c>
      <c r="U235" s="6">
        <v>88</v>
      </c>
      <c r="V235" s="6">
        <f>IF(ISERROR(VLOOKUP($S$235,'TAR FIN'!$A$1:$O$91,15,0)),0,VLOOKUP($S$235,'TAR FIN'!$A$1:$O$91,15,0))</f>
        <v>0</v>
      </c>
      <c r="W235" s="6">
        <f>IF(ISERROR(VLOOKUP($T$235,'TAR FIN'!$A$1:$O$91,15,0)),0,VLOOKUP($T$235,'TAR FIN'!$A$1:$O$91,15,0))</f>
        <v>269.06</v>
      </c>
      <c r="X235" s="6">
        <f>IF(ISERROR(VLOOKUP($U$235,'TAR FIN'!$A$1:$O$91,15,0)),0,VLOOKUP($U$235,'TAR FIN'!$A$1:$O$91,15,0))</f>
        <v>133.97</v>
      </c>
      <c r="Y235" s="6"/>
      <c r="Z235" s="6">
        <f ca="1">('TUSD BE'!$AM$24+'TUSD BF'!$AM$24+'TUSD CVA'!$AM$24)*1</f>
        <v>343.81469354767324</v>
      </c>
      <c r="AA235" s="6">
        <f>('TE BE'!$AB$12+'TE BF'!$AB$12+'TE CVA'!$AB$12)*1</f>
        <v>114.76529888966962</v>
      </c>
      <c r="AB235" s="6">
        <f>$K$235*$V$235</f>
        <v>0</v>
      </c>
      <c r="AC235" s="6">
        <f>$M$235*$W$235</f>
        <v>5073.1262999999999</v>
      </c>
      <c r="AD235" s="6">
        <f>$O$235*$X$235</f>
        <v>2526.0043500000002</v>
      </c>
      <c r="AE235" s="6">
        <f>$K$235*$Y$235</f>
        <v>0</v>
      </c>
      <c r="AF235" s="6">
        <f ca="1">$M$235*$Z$235</f>
        <v>6482.6260468413793</v>
      </c>
      <c r="AG235" s="6">
        <f>$O$235*$AA$235</f>
        <v>2163.8997105647209</v>
      </c>
    </row>
    <row r="236" spans="1:3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24</v>
      </c>
      <c r="F236" s="4" t="s">
        <v>25</v>
      </c>
      <c r="G236" s="4" t="s">
        <v>25</v>
      </c>
      <c r="H236" s="4" t="s">
        <v>25</v>
      </c>
      <c r="I236" s="5">
        <v>44501</v>
      </c>
      <c r="J236" s="6">
        <v>0</v>
      </c>
      <c r="K236" s="6">
        <v>0</v>
      </c>
      <c r="L236" s="6">
        <v>4383.5619999999999</v>
      </c>
      <c r="M236" s="6">
        <v>4383.5619999999999</v>
      </c>
      <c r="N236" s="6">
        <v>4383.5619999999999</v>
      </c>
      <c r="O236" s="6">
        <v>4383.5619999999999</v>
      </c>
      <c r="P236" s="6">
        <v>20643</v>
      </c>
      <c r="Q236" s="4" t="s">
        <v>26</v>
      </c>
      <c r="R236" s="4">
        <v>0</v>
      </c>
      <c r="S236" s="6">
        <v>0</v>
      </c>
      <c r="T236" s="6">
        <v>11</v>
      </c>
      <c r="U236" s="6">
        <v>88</v>
      </c>
      <c r="V236" s="6">
        <f>IF(ISERROR(VLOOKUP($S$236,'TAR FIN'!$A$1:$O$91,15,0)),0,VLOOKUP($S$236,'TAR FIN'!$A$1:$O$91,15,0))</f>
        <v>0</v>
      </c>
      <c r="W236" s="6">
        <f>IF(ISERROR(VLOOKUP($T$236,'TAR FIN'!$A$1:$O$91,15,0)),0,VLOOKUP($T$236,'TAR FIN'!$A$1:$O$91,15,0))</f>
        <v>269.06</v>
      </c>
      <c r="X236" s="6">
        <f>IF(ISERROR(VLOOKUP($U$236,'TAR FIN'!$A$1:$O$91,15,0)),0,VLOOKUP($U$236,'TAR FIN'!$A$1:$O$91,15,0))</f>
        <v>133.97</v>
      </c>
      <c r="Y236" s="6"/>
      <c r="Z236" s="6">
        <f ca="1">('TUSD BE'!$AM$24+'TUSD BF'!$AM$24+'TUSD CVA'!$AM$24)*1</f>
        <v>343.81469354767324</v>
      </c>
      <c r="AA236" s="6">
        <f>('TE BE'!$AB$12+'TE BF'!$AB$12+'TE CVA'!$AB$12)*1</f>
        <v>114.76529888966962</v>
      </c>
      <c r="AB236" s="6">
        <f>$K$236*$V$236</f>
        <v>0</v>
      </c>
      <c r="AC236" s="6">
        <f>$M$236*$W$236</f>
        <v>1179441.19172</v>
      </c>
      <c r="AD236" s="6">
        <f>$O$236*$X$236</f>
        <v>587265.80114</v>
      </c>
      <c r="AE236" s="6">
        <f>$K$236*$Y$236</f>
        <v>0</v>
      </c>
      <c r="AF236" s="6">
        <f ca="1">$M$236*$Z$236</f>
        <v>1507133.0256772256</v>
      </c>
      <c r="AG236" s="6">
        <f>$O$236*$AA$236</f>
        <v>503080.80313139793</v>
      </c>
    </row>
    <row r="237" spans="1:33" ht="11.25" customHeight="1" x14ac:dyDescent="0.25">
      <c r="A237" s="4" t="s">
        <v>27</v>
      </c>
      <c r="B237" s="4" t="s">
        <v>22</v>
      </c>
      <c r="C237" s="4" t="s">
        <v>23</v>
      </c>
      <c r="D237" s="4" t="s">
        <v>24</v>
      </c>
      <c r="E237" s="4" t="s">
        <v>24</v>
      </c>
      <c r="F237" s="4" t="s">
        <v>25</v>
      </c>
      <c r="G237" s="4" t="s">
        <v>25</v>
      </c>
      <c r="H237" s="4" t="s">
        <v>25</v>
      </c>
      <c r="I237" s="5">
        <v>44501</v>
      </c>
      <c r="J237" s="6">
        <v>0</v>
      </c>
      <c r="K237" s="6">
        <v>0</v>
      </c>
      <c r="L237" s="6">
        <v>-2.2719999999999998</v>
      </c>
      <c r="M237" s="6">
        <v>-2.2719999999999998</v>
      </c>
      <c r="N237" s="6">
        <v>-2.2719999999999998</v>
      </c>
      <c r="O237" s="6">
        <v>-2.2719999999999998</v>
      </c>
      <c r="P237" s="6">
        <v>0</v>
      </c>
      <c r="Q237" s="4" t="s">
        <v>26</v>
      </c>
      <c r="R237" s="4">
        <v>0</v>
      </c>
      <c r="S237" s="6">
        <v>0</v>
      </c>
      <c r="T237" s="6">
        <v>11</v>
      </c>
      <c r="U237" s="6">
        <v>88</v>
      </c>
      <c r="V237" s="6">
        <f>IF(ISERROR(VLOOKUP($S$237,'TAR FIN'!$A$1:$O$91,15,0)),0,VLOOKUP($S$237,'TAR FIN'!$A$1:$O$91,15,0))</f>
        <v>0</v>
      </c>
      <c r="W237" s="6">
        <f>IF(ISERROR(VLOOKUP($T$237,'TAR FIN'!$A$1:$O$91,15,0)),0,VLOOKUP($T$237,'TAR FIN'!$A$1:$O$91,15,0))</f>
        <v>269.06</v>
      </c>
      <c r="X237" s="6">
        <f>IF(ISERROR(VLOOKUP($U$237,'TAR FIN'!$A$1:$O$91,15,0)),0,VLOOKUP($U$237,'TAR FIN'!$A$1:$O$91,15,0))</f>
        <v>133.97</v>
      </c>
      <c r="Y237" s="6"/>
      <c r="Z237" s="6">
        <f ca="1">('TUSD BE'!$AM$24+'TUSD BF'!$AM$24+'TUSD CVA'!$AM$24)*1</f>
        <v>343.81469354767324</v>
      </c>
      <c r="AA237" s="6">
        <f>('TE BE'!$AB$12+'TE BF'!$AB$12+'TE CVA'!$AB$12)*1</f>
        <v>114.76529888966962</v>
      </c>
      <c r="AB237" s="6">
        <f>$K$237*$V$237</f>
        <v>0</v>
      </c>
      <c r="AC237" s="6">
        <f>$M$237*$W$237</f>
        <v>-611.30431999999996</v>
      </c>
      <c r="AD237" s="6">
        <f>$O$237*$X$237</f>
        <v>-304.37983999999994</v>
      </c>
      <c r="AE237" s="6">
        <f>$K$237*$Y$237</f>
        <v>0</v>
      </c>
      <c r="AF237" s="6">
        <f ca="1">$M$237*$Z$237</f>
        <v>-781.14698374031354</v>
      </c>
      <c r="AG237" s="6">
        <f>$O$237*$AA$237</f>
        <v>-260.74675907732939</v>
      </c>
    </row>
    <row r="238" spans="1:33" ht="11.25" customHeight="1" x14ac:dyDescent="0.25">
      <c r="A238" s="4" t="s">
        <v>28</v>
      </c>
      <c r="B238" s="4" t="s">
        <v>22</v>
      </c>
      <c r="C238" s="4" t="s">
        <v>23</v>
      </c>
      <c r="D238" s="4" t="s">
        <v>24</v>
      </c>
      <c r="E238" s="4" t="s">
        <v>24</v>
      </c>
      <c r="F238" s="4" t="s">
        <v>25</v>
      </c>
      <c r="G238" s="4" t="s">
        <v>25</v>
      </c>
      <c r="H238" s="4" t="s">
        <v>25</v>
      </c>
      <c r="I238" s="5">
        <v>44501</v>
      </c>
      <c r="J238" s="6">
        <v>0</v>
      </c>
      <c r="K238" s="6">
        <v>0</v>
      </c>
      <c r="L238" s="6">
        <v>12.273999999999999</v>
      </c>
      <c r="M238" s="6">
        <v>12.273999999999999</v>
      </c>
      <c r="N238" s="6">
        <v>12.273999999999999</v>
      </c>
      <c r="O238" s="6">
        <v>12.273999999999999</v>
      </c>
      <c r="P238" s="6">
        <v>44</v>
      </c>
      <c r="Q238" s="4" t="s">
        <v>26</v>
      </c>
      <c r="R238" s="4">
        <v>0</v>
      </c>
      <c r="S238" s="6">
        <v>0</v>
      </c>
      <c r="T238" s="6">
        <v>11</v>
      </c>
      <c r="U238" s="6">
        <v>88</v>
      </c>
      <c r="V238" s="6">
        <f>IF(ISERROR(VLOOKUP($S$238,'TAR FIN'!$A$1:$O$91,15,0)),0,VLOOKUP($S$238,'TAR FIN'!$A$1:$O$91,15,0))</f>
        <v>0</v>
      </c>
      <c r="W238" s="6">
        <f>IF(ISERROR(VLOOKUP($T$238,'TAR FIN'!$A$1:$O$91,15,0)),0,VLOOKUP($T$238,'TAR FIN'!$A$1:$O$91,15,0))</f>
        <v>269.06</v>
      </c>
      <c r="X238" s="6">
        <f>IF(ISERROR(VLOOKUP($U$238,'TAR FIN'!$A$1:$O$91,15,0)),0,VLOOKUP($U$238,'TAR FIN'!$A$1:$O$91,15,0))</f>
        <v>133.97</v>
      </c>
      <c r="Y238" s="6"/>
      <c r="Z238" s="6">
        <f ca="1">('TUSD BE'!$AM$24+'TUSD BF'!$AM$24+'TUSD CVA'!$AM$24)*1</f>
        <v>343.81469354767324</v>
      </c>
      <c r="AA238" s="6">
        <f>('TE BE'!$AB$12+'TE BF'!$AB$12+'TE CVA'!$AB$12)*1</f>
        <v>114.76529888966962</v>
      </c>
      <c r="AB238" s="6">
        <f>$K$238*$V$238</f>
        <v>0</v>
      </c>
      <c r="AC238" s="6">
        <f>$M$238*$W$238</f>
        <v>3302.4424399999998</v>
      </c>
      <c r="AD238" s="6">
        <f>$O$238*$X$238</f>
        <v>1644.3477799999998</v>
      </c>
      <c r="AE238" s="6">
        <f>$K$238*$Y$238</f>
        <v>0</v>
      </c>
      <c r="AF238" s="6">
        <f ca="1">$M$238*$Z$238</f>
        <v>4219.9815486041407</v>
      </c>
      <c r="AG238" s="6">
        <f>$O$238*$AA$238</f>
        <v>1408.6292785718049</v>
      </c>
    </row>
    <row r="239" spans="1:33" ht="11.25" customHeight="1" x14ac:dyDescent="0.25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24</v>
      </c>
      <c r="F239" s="4" t="s">
        <v>25</v>
      </c>
      <c r="G239" s="4" t="s">
        <v>25</v>
      </c>
      <c r="H239" s="4" t="s">
        <v>25</v>
      </c>
      <c r="I239" s="5">
        <v>44531</v>
      </c>
      <c r="J239" s="6">
        <v>0</v>
      </c>
      <c r="K239" s="6">
        <v>0</v>
      </c>
      <c r="L239" s="6">
        <v>4585.6549999999997</v>
      </c>
      <c r="M239" s="6">
        <v>4585.6549999999997</v>
      </c>
      <c r="N239" s="6">
        <v>4585.6549999999997</v>
      </c>
      <c r="O239" s="6">
        <v>4585.6549999999997</v>
      </c>
      <c r="P239" s="6">
        <v>20673</v>
      </c>
      <c r="Q239" s="4" t="s">
        <v>26</v>
      </c>
      <c r="R239" s="4">
        <v>0</v>
      </c>
      <c r="S239" s="6">
        <v>0</v>
      </c>
      <c r="T239" s="6">
        <v>11</v>
      </c>
      <c r="U239" s="6">
        <v>88</v>
      </c>
      <c r="V239" s="6">
        <f>IF(ISERROR(VLOOKUP($S$239,'TAR FIN'!$A$1:$O$91,15,0)),0,VLOOKUP($S$239,'TAR FIN'!$A$1:$O$91,15,0))</f>
        <v>0</v>
      </c>
      <c r="W239" s="6">
        <f>IF(ISERROR(VLOOKUP($T$239,'TAR FIN'!$A$1:$O$91,15,0)),0,VLOOKUP($T$239,'TAR FIN'!$A$1:$O$91,15,0))</f>
        <v>269.06</v>
      </c>
      <c r="X239" s="6">
        <f>IF(ISERROR(VLOOKUP($U$239,'TAR FIN'!$A$1:$O$91,15,0)),0,VLOOKUP($U$239,'TAR FIN'!$A$1:$O$91,15,0))</f>
        <v>133.97</v>
      </c>
      <c r="Y239" s="6"/>
      <c r="Z239" s="6">
        <f ca="1">('TUSD BE'!$AM$24+'TUSD BF'!$AM$24+'TUSD CVA'!$AM$24)*1</f>
        <v>343.81469354767324</v>
      </c>
      <c r="AA239" s="6">
        <f>('TE BE'!$AB$12+'TE BF'!$AB$12+'TE CVA'!$AB$12)*1</f>
        <v>114.76529888966962</v>
      </c>
      <c r="AB239" s="6">
        <f>$K$239*$V$239</f>
        <v>0</v>
      </c>
      <c r="AC239" s="6">
        <f>$M$239*$W$239</f>
        <v>1233816.3343</v>
      </c>
      <c r="AD239" s="6">
        <f>$O$239*$X$239</f>
        <v>614340.20034999994</v>
      </c>
      <c r="AE239" s="6">
        <f>$K$239*$Y$239</f>
        <v>0</v>
      </c>
      <c r="AF239" s="6">
        <f ca="1">$M$239*$Z$239</f>
        <v>1576615.5685403554</v>
      </c>
      <c r="AG239" s="6">
        <f>$O$239*$AA$239</f>
        <v>526274.06667990796</v>
      </c>
    </row>
    <row r="240" spans="1:33" ht="11.25" customHeight="1" x14ac:dyDescent="0.25">
      <c r="A240" s="4" t="s">
        <v>27</v>
      </c>
      <c r="B240" s="4" t="s">
        <v>22</v>
      </c>
      <c r="C240" s="4" t="s">
        <v>23</v>
      </c>
      <c r="D240" s="4" t="s">
        <v>24</v>
      </c>
      <c r="E240" s="4" t="s">
        <v>24</v>
      </c>
      <c r="F240" s="4" t="s">
        <v>25</v>
      </c>
      <c r="G240" s="4" t="s">
        <v>25</v>
      </c>
      <c r="H240" s="4" t="s">
        <v>25</v>
      </c>
      <c r="I240" s="5">
        <v>44531</v>
      </c>
      <c r="J240" s="6">
        <v>0</v>
      </c>
      <c r="K240" s="6">
        <v>0</v>
      </c>
      <c r="L240" s="6">
        <v>-0.81899999999999995</v>
      </c>
      <c r="M240" s="6">
        <v>-0.81899999999999995</v>
      </c>
      <c r="N240" s="6">
        <v>-0.81899999999999995</v>
      </c>
      <c r="O240" s="6">
        <v>-0.81899999999999995</v>
      </c>
      <c r="P240" s="6">
        <v>0</v>
      </c>
      <c r="Q240" s="4" t="s">
        <v>26</v>
      </c>
      <c r="R240" s="4">
        <v>0</v>
      </c>
      <c r="S240" s="6">
        <v>0</v>
      </c>
      <c r="T240" s="6">
        <v>11</v>
      </c>
      <c r="U240" s="6">
        <v>88</v>
      </c>
      <c r="V240" s="6">
        <f>IF(ISERROR(VLOOKUP($S$240,'TAR FIN'!$A$1:$O$91,15,0)),0,VLOOKUP($S$240,'TAR FIN'!$A$1:$O$91,15,0))</f>
        <v>0</v>
      </c>
      <c r="W240" s="6">
        <f>IF(ISERROR(VLOOKUP($T$240,'TAR FIN'!$A$1:$O$91,15,0)),0,VLOOKUP($T$240,'TAR FIN'!$A$1:$O$91,15,0))</f>
        <v>269.06</v>
      </c>
      <c r="X240" s="6">
        <f>IF(ISERROR(VLOOKUP($U$240,'TAR FIN'!$A$1:$O$91,15,0)),0,VLOOKUP($U$240,'TAR FIN'!$A$1:$O$91,15,0))</f>
        <v>133.97</v>
      </c>
      <c r="Y240" s="6"/>
      <c r="Z240" s="6">
        <f ca="1">('TUSD BE'!$AM$24+'TUSD BF'!$AM$24+'TUSD CVA'!$AM$24)*1</f>
        <v>343.81469354767324</v>
      </c>
      <c r="AA240" s="6">
        <f>('TE BE'!$AB$12+'TE BF'!$AB$12+'TE CVA'!$AB$12)*1</f>
        <v>114.76529888966962</v>
      </c>
      <c r="AB240" s="6">
        <f>$K$240*$V$240</f>
        <v>0</v>
      </c>
      <c r="AC240" s="6">
        <f>$M$240*$W$240</f>
        <v>-220.36014</v>
      </c>
      <c r="AD240" s="6">
        <f>$O$240*$X$240</f>
        <v>-109.72143</v>
      </c>
      <c r="AE240" s="6">
        <f>$K$240*$Y$240</f>
        <v>0</v>
      </c>
      <c r="AF240" s="6">
        <f ca="1">$M$240*$Z$240</f>
        <v>-281.58423401554438</v>
      </c>
      <c r="AG240" s="6">
        <f>$O$240*$AA$240</f>
        <v>-93.992779790639418</v>
      </c>
    </row>
    <row r="241" spans="1:33" ht="11.25" customHeight="1" x14ac:dyDescent="0.25">
      <c r="A241" s="4" t="s">
        <v>28</v>
      </c>
      <c r="B241" s="4" t="s">
        <v>22</v>
      </c>
      <c r="C241" s="4" t="s">
        <v>23</v>
      </c>
      <c r="D241" s="4" t="s">
        <v>24</v>
      </c>
      <c r="E241" s="4" t="s">
        <v>24</v>
      </c>
      <c r="F241" s="4" t="s">
        <v>25</v>
      </c>
      <c r="G241" s="4" t="s">
        <v>25</v>
      </c>
      <c r="H241" s="4" t="s">
        <v>25</v>
      </c>
      <c r="I241" s="5">
        <v>44531</v>
      </c>
      <c r="J241" s="6">
        <v>0</v>
      </c>
      <c r="K241" s="6">
        <v>0</v>
      </c>
      <c r="L241" s="6">
        <v>10.584</v>
      </c>
      <c r="M241" s="6">
        <v>10.584</v>
      </c>
      <c r="N241" s="6">
        <v>10.584</v>
      </c>
      <c r="O241" s="6">
        <v>10.584</v>
      </c>
      <c r="P241" s="6">
        <v>44</v>
      </c>
      <c r="Q241" s="4" t="s">
        <v>26</v>
      </c>
      <c r="R241" s="4">
        <v>0</v>
      </c>
      <c r="S241" s="6">
        <v>0</v>
      </c>
      <c r="T241" s="6">
        <v>11</v>
      </c>
      <c r="U241" s="6">
        <v>88</v>
      </c>
      <c r="V241" s="6">
        <f>IF(ISERROR(VLOOKUP($S$241,'TAR FIN'!$A$1:$O$91,15,0)),0,VLOOKUP($S$241,'TAR FIN'!$A$1:$O$91,15,0))</f>
        <v>0</v>
      </c>
      <c r="W241" s="6">
        <f>IF(ISERROR(VLOOKUP($T$241,'TAR FIN'!$A$1:$O$91,15,0)),0,VLOOKUP($T$241,'TAR FIN'!$A$1:$O$91,15,0))</f>
        <v>269.06</v>
      </c>
      <c r="X241" s="6">
        <f>IF(ISERROR(VLOOKUP($U$241,'TAR FIN'!$A$1:$O$91,15,0)),0,VLOOKUP($U$241,'TAR FIN'!$A$1:$O$91,15,0))</f>
        <v>133.97</v>
      </c>
      <c r="Y241" s="6"/>
      <c r="Z241" s="6">
        <f ca="1">('TUSD BE'!$AM$24+'TUSD BF'!$AM$24+'TUSD CVA'!$AM$24)*1</f>
        <v>343.81469354767324</v>
      </c>
      <c r="AA241" s="6">
        <f>('TE BE'!$AB$12+'TE BF'!$AB$12+'TE CVA'!$AB$12)*1</f>
        <v>114.76529888966962</v>
      </c>
      <c r="AB241" s="6">
        <f>$K$241*$V$241</f>
        <v>0</v>
      </c>
      <c r="AC241" s="6">
        <f>$M$241*$W$241</f>
        <v>2847.7310400000001</v>
      </c>
      <c r="AD241" s="6">
        <f>$O$241*$X$241</f>
        <v>1417.93848</v>
      </c>
      <c r="AE241" s="6">
        <f>$K$241*$Y$241</f>
        <v>0</v>
      </c>
      <c r="AF241" s="6">
        <f ca="1">$M$241*$Z$241</f>
        <v>3638.9347165085733</v>
      </c>
      <c r="AG241" s="6">
        <f>$O$241*$AA$241</f>
        <v>1214.6759234482633</v>
      </c>
    </row>
    <row r="242" spans="1:33" ht="11.25" customHeight="1" x14ac:dyDescent="0.25">
      <c r="A242" s="4" t="s">
        <v>21</v>
      </c>
      <c r="B242" s="4" t="s">
        <v>22</v>
      </c>
      <c r="C242" s="4" t="s">
        <v>23</v>
      </c>
      <c r="D242" s="4" t="s">
        <v>24</v>
      </c>
      <c r="E242" s="4" t="s">
        <v>24</v>
      </c>
      <c r="F242" s="4" t="s">
        <v>25</v>
      </c>
      <c r="G242" s="4" t="s">
        <v>25</v>
      </c>
      <c r="H242" s="4" t="s">
        <v>25</v>
      </c>
      <c r="I242" s="5">
        <v>44562</v>
      </c>
      <c r="J242" s="6">
        <v>0</v>
      </c>
      <c r="K242" s="6">
        <v>0</v>
      </c>
      <c r="L242" s="6">
        <v>5813.1220000000003</v>
      </c>
      <c r="M242" s="6">
        <v>5813.1220000000003</v>
      </c>
      <c r="N242" s="6">
        <v>5813.1220000000003</v>
      </c>
      <c r="O242" s="6">
        <v>5813.1220000000003</v>
      </c>
      <c r="P242" s="6">
        <v>20729</v>
      </c>
      <c r="Q242" s="4" t="s">
        <v>26</v>
      </c>
      <c r="R242" s="4">
        <v>0</v>
      </c>
      <c r="S242" s="6">
        <v>0</v>
      </c>
      <c r="T242" s="6">
        <v>11</v>
      </c>
      <c r="U242" s="6">
        <v>88</v>
      </c>
      <c r="V242" s="6">
        <f>IF(ISERROR(VLOOKUP($S$242,'TAR FIN'!$A$1:$O$91,15,0)),0,VLOOKUP($S$242,'TAR FIN'!$A$1:$O$91,15,0))</f>
        <v>0</v>
      </c>
      <c r="W242" s="6">
        <f>IF(ISERROR(VLOOKUP($T$242,'TAR FIN'!$A$1:$O$91,15,0)),0,VLOOKUP($T$242,'TAR FIN'!$A$1:$O$91,15,0))</f>
        <v>269.06</v>
      </c>
      <c r="X242" s="6">
        <f>IF(ISERROR(VLOOKUP($U$242,'TAR FIN'!$A$1:$O$91,15,0)),0,VLOOKUP($U$242,'TAR FIN'!$A$1:$O$91,15,0))</f>
        <v>133.97</v>
      </c>
      <c r="Y242" s="6"/>
      <c r="Z242" s="6">
        <f ca="1">('TUSD BE'!$AM$24+'TUSD BF'!$AM$24+'TUSD CVA'!$AM$24)*1</f>
        <v>343.81469354767324</v>
      </c>
      <c r="AA242" s="6">
        <f>('TE BE'!$AB$12+'TE BF'!$AB$12+'TE CVA'!$AB$12)*1</f>
        <v>114.76529888966962</v>
      </c>
      <c r="AB242" s="6">
        <f>$K$242*$V$242</f>
        <v>0</v>
      </c>
      <c r="AC242" s="6">
        <f>$M$242*$W$242</f>
        <v>1564078.6053200001</v>
      </c>
      <c r="AD242" s="6">
        <f>$O$242*$X$242</f>
        <v>778783.95434000005</v>
      </c>
      <c r="AE242" s="6">
        <f>$K$242*$Y$242</f>
        <v>0</v>
      </c>
      <c r="AF242" s="6">
        <f ca="1">$M$242*$Z$242</f>
        <v>1998636.7589852375</v>
      </c>
      <c r="AG242" s="6">
        <f>$O$242*$AA$242</f>
        <v>667144.68381211406</v>
      </c>
    </row>
    <row r="243" spans="1:33" ht="11.25" customHeight="1" x14ac:dyDescent="0.25">
      <c r="A243" s="4" t="s">
        <v>27</v>
      </c>
      <c r="B243" s="4" t="s">
        <v>22</v>
      </c>
      <c r="C243" s="4" t="s">
        <v>23</v>
      </c>
      <c r="D243" s="4" t="s">
        <v>24</v>
      </c>
      <c r="E243" s="4" t="s">
        <v>24</v>
      </c>
      <c r="F243" s="4" t="s">
        <v>25</v>
      </c>
      <c r="G243" s="4" t="s">
        <v>25</v>
      </c>
      <c r="H243" s="4" t="s">
        <v>25</v>
      </c>
      <c r="I243" s="5">
        <v>44562</v>
      </c>
      <c r="J243" s="6">
        <v>0</v>
      </c>
      <c r="K243" s="6">
        <v>0</v>
      </c>
      <c r="L243" s="6">
        <v>-20.109000000000002</v>
      </c>
      <c r="M243" s="6">
        <v>-20.109000000000002</v>
      </c>
      <c r="N243" s="6">
        <v>-20.109000000000002</v>
      </c>
      <c r="O243" s="6">
        <v>-20.109000000000002</v>
      </c>
      <c r="P243" s="6">
        <v>0</v>
      </c>
      <c r="Q243" s="4" t="s">
        <v>26</v>
      </c>
      <c r="R243" s="4">
        <v>0</v>
      </c>
      <c r="S243" s="6">
        <v>0</v>
      </c>
      <c r="T243" s="6">
        <v>11</v>
      </c>
      <c r="U243" s="6">
        <v>88</v>
      </c>
      <c r="V243" s="6">
        <f>IF(ISERROR(VLOOKUP($S$243,'TAR FIN'!$A$1:$O$91,15,0)),0,VLOOKUP($S$243,'TAR FIN'!$A$1:$O$91,15,0))</f>
        <v>0</v>
      </c>
      <c r="W243" s="6">
        <f>IF(ISERROR(VLOOKUP($T$243,'TAR FIN'!$A$1:$O$91,15,0)),0,VLOOKUP($T$243,'TAR FIN'!$A$1:$O$91,15,0))</f>
        <v>269.06</v>
      </c>
      <c r="X243" s="6">
        <f>IF(ISERROR(VLOOKUP($U$243,'TAR FIN'!$A$1:$O$91,15,0)),0,VLOOKUP($U$243,'TAR FIN'!$A$1:$O$91,15,0))</f>
        <v>133.97</v>
      </c>
      <c r="Y243" s="6"/>
      <c r="Z243" s="6">
        <f ca="1">('TUSD BE'!$AM$24+'TUSD BF'!$AM$24+'TUSD CVA'!$AM$24)*1</f>
        <v>343.81469354767324</v>
      </c>
      <c r="AA243" s="6">
        <f>('TE BE'!$AB$12+'TE BF'!$AB$12+'TE CVA'!$AB$12)*1</f>
        <v>114.76529888966962</v>
      </c>
      <c r="AB243" s="6">
        <f>$K$243*$V$243</f>
        <v>0</v>
      </c>
      <c r="AC243" s="6">
        <f>$M$243*$W$243</f>
        <v>-5410.527540000001</v>
      </c>
      <c r="AD243" s="6">
        <f>$O$243*$X$243</f>
        <v>-2694.0027300000002</v>
      </c>
      <c r="AE243" s="6">
        <f>$K$243*$Y$243</f>
        <v>0</v>
      </c>
      <c r="AF243" s="6">
        <f ca="1">$M$243*$Z$243</f>
        <v>-6913.7696725501619</v>
      </c>
      <c r="AG243" s="6">
        <f>$O$243*$AA$243</f>
        <v>-2307.8153953723668</v>
      </c>
    </row>
    <row r="244" spans="1:33" ht="11.25" customHeight="1" x14ac:dyDescent="0.25">
      <c r="A244" s="4" t="s">
        <v>28</v>
      </c>
      <c r="B244" s="4" t="s">
        <v>22</v>
      </c>
      <c r="C244" s="4" t="s">
        <v>23</v>
      </c>
      <c r="D244" s="4" t="s">
        <v>24</v>
      </c>
      <c r="E244" s="4" t="s">
        <v>24</v>
      </c>
      <c r="F244" s="4" t="s">
        <v>25</v>
      </c>
      <c r="G244" s="4" t="s">
        <v>25</v>
      </c>
      <c r="H244" s="4" t="s">
        <v>25</v>
      </c>
      <c r="I244" s="5">
        <v>44562</v>
      </c>
      <c r="J244" s="6">
        <v>0</v>
      </c>
      <c r="K244" s="6">
        <v>0</v>
      </c>
      <c r="L244" s="6">
        <v>12.129</v>
      </c>
      <c r="M244" s="6">
        <v>12.129</v>
      </c>
      <c r="N244" s="6">
        <v>12.129</v>
      </c>
      <c r="O244" s="6">
        <v>12.129</v>
      </c>
      <c r="P244" s="6">
        <v>51</v>
      </c>
      <c r="Q244" s="4" t="s">
        <v>26</v>
      </c>
      <c r="R244" s="4">
        <v>0</v>
      </c>
      <c r="S244" s="6">
        <v>0</v>
      </c>
      <c r="T244" s="6">
        <v>11</v>
      </c>
      <c r="U244" s="6">
        <v>88</v>
      </c>
      <c r="V244" s="6">
        <f>IF(ISERROR(VLOOKUP($S$244,'TAR FIN'!$A$1:$O$91,15,0)),0,VLOOKUP($S$244,'TAR FIN'!$A$1:$O$91,15,0))</f>
        <v>0</v>
      </c>
      <c r="W244" s="6">
        <f>IF(ISERROR(VLOOKUP($T$244,'TAR FIN'!$A$1:$O$91,15,0)),0,VLOOKUP($T$244,'TAR FIN'!$A$1:$O$91,15,0))</f>
        <v>269.06</v>
      </c>
      <c r="X244" s="6">
        <f>IF(ISERROR(VLOOKUP($U$244,'TAR FIN'!$A$1:$O$91,15,0)),0,VLOOKUP($U$244,'TAR FIN'!$A$1:$O$91,15,0))</f>
        <v>133.97</v>
      </c>
      <c r="Y244" s="6"/>
      <c r="Z244" s="6">
        <f ca="1">('TUSD BE'!$AM$24+'TUSD BF'!$AM$24+'TUSD CVA'!$AM$24)*1</f>
        <v>343.81469354767324</v>
      </c>
      <c r="AA244" s="6">
        <f>('TE BE'!$AB$12+'TE BF'!$AB$12+'TE CVA'!$AB$12)*1</f>
        <v>114.76529888966962</v>
      </c>
      <c r="AB244" s="6">
        <f>$K$244*$V$244</f>
        <v>0</v>
      </c>
      <c r="AC244" s="6">
        <f>$M$244*$W$244</f>
        <v>3263.4287399999998</v>
      </c>
      <c r="AD244" s="6">
        <f>$O$244*$X$244</f>
        <v>1624.9221299999999</v>
      </c>
      <c r="AE244" s="6">
        <f>$K$244*$Y$244</f>
        <v>0</v>
      </c>
      <c r="AF244" s="6">
        <f ca="1">$M$244*$Z$244</f>
        <v>4170.1284180397288</v>
      </c>
      <c r="AG244" s="6">
        <f>$O$244*$AA$244</f>
        <v>1391.9883102328029</v>
      </c>
    </row>
    <row r="245" spans="1:33" ht="11.25" customHeight="1" x14ac:dyDescent="0.25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24</v>
      </c>
      <c r="F245" s="4" t="s">
        <v>25</v>
      </c>
      <c r="G245" s="4" t="s">
        <v>25</v>
      </c>
      <c r="H245" s="4" t="s">
        <v>25</v>
      </c>
      <c r="I245" s="5">
        <v>44593</v>
      </c>
      <c r="J245" s="6">
        <v>0</v>
      </c>
      <c r="K245" s="6">
        <v>0</v>
      </c>
      <c r="L245" s="6">
        <v>6093.8940000000002</v>
      </c>
      <c r="M245" s="6">
        <v>6093.8940000000002</v>
      </c>
      <c r="N245" s="6">
        <v>6093.8940000000002</v>
      </c>
      <c r="O245" s="6">
        <v>6093.8940000000002</v>
      </c>
      <c r="P245" s="6">
        <v>20708</v>
      </c>
      <c r="Q245" s="4" t="s">
        <v>26</v>
      </c>
      <c r="R245" s="4">
        <v>0</v>
      </c>
      <c r="S245" s="6">
        <v>0</v>
      </c>
      <c r="T245" s="6">
        <v>11</v>
      </c>
      <c r="U245" s="6">
        <v>88</v>
      </c>
      <c r="V245" s="6">
        <f>IF(ISERROR(VLOOKUP($S$245,'TAR FIN'!$A$1:$O$91,15,0)),0,VLOOKUP($S$245,'TAR FIN'!$A$1:$O$91,15,0))</f>
        <v>0</v>
      </c>
      <c r="W245" s="6">
        <f>IF(ISERROR(VLOOKUP($T$245,'TAR FIN'!$A$1:$O$91,15,0)),0,VLOOKUP($T$245,'TAR FIN'!$A$1:$O$91,15,0))</f>
        <v>269.06</v>
      </c>
      <c r="X245" s="6">
        <f>IF(ISERROR(VLOOKUP($U$245,'TAR FIN'!$A$1:$O$91,15,0)),0,VLOOKUP($U$245,'TAR FIN'!$A$1:$O$91,15,0))</f>
        <v>133.97</v>
      </c>
      <c r="Y245" s="6"/>
      <c r="Z245" s="6">
        <f ca="1">('TUSD BE'!$AM$24+'TUSD BF'!$AM$24+'TUSD CVA'!$AM$24)*1</f>
        <v>343.81469354767324</v>
      </c>
      <c r="AA245" s="6">
        <f>('TE BE'!$AB$12+'TE BF'!$AB$12+'TE CVA'!$AB$12)*1</f>
        <v>114.76529888966962</v>
      </c>
      <c r="AB245" s="6">
        <f>$K$245*$V$245</f>
        <v>0</v>
      </c>
      <c r="AC245" s="6">
        <f>$M$245*$W$245</f>
        <v>1639623.1196400002</v>
      </c>
      <c r="AD245" s="6">
        <f>$O$245*$X$245</f>
        <v>816398.97918000002</v>
      </c>
      <c r="AE245" s="6">
        <f>$K$245*$Y$245</f>
        <v>0</v>
      </c>
      <c r="AF245" s="6">
        <f ca="1">$M$245*$Z$245</f>
        <v>2095170.2981220048</v>
      </c>
      <c r="AG245" s="6">
        <f>$O$245*$AA$245</f>
        <v>699367.56631196442</v>
      </c>
    </row>
    <row r="246" spans="1:33" ht="11.25" customHeight="1" x14ac:dyDescent="0.25">
      <c r="A246" s="4" t="s">
        <v>27</v>
      </c>
      <c r="B246" s="4" t="s">
        <v>22</v>
      </c>
      <c r="C246" s="4" t="s">
        <v>23</v>
      </c>
      <c r="D246" s="4" t="s">
        <v>24</v>
      </c>
      <c r="E246" s="4" t="s">
        <v>24</v>
      </c>
      <c r="F246" s="4" t="s">
        <v>25</v>
      </c>
      <c r="G246" s="4" t="s">
        <v>25</v>
      </c>
      <c r="H246" s="4" t="s">
        <v>25</v>
      </c>
      <c r="I246" s="5">
        <v>44593</v>
      </c>
      <c r="J246" s="6">
        <v>0</v>
      </c>
      <c r="K246" s="6">
        <v>0</v>
      </c>
      <c r="L246" s="6">
        <v>-14.095000000000001</v>
      </c>
      <c r="M246" s="6">
        <v>-14.095000000000001</v>
      </c>
      <c r="N246" s="6">
        <v>-14.095000000000001</v>
      </c>
      <c r="O246" s="6">
        <v>-14.095000000000001</v>
      </c>
      <c r="P246" s="6">
        <v>0</v>
      </c>
      <c r="Q246" s="4" t="s">
        <v>26</v>
      </c>
      <c r="R246" s="4">
        <v>0</v>
      </c>
      <c r="S246" s="6">
        <v>0</v>
      </c>
      <c r="T246" s="6">
        <v>11</v>
      </c>
      <c r="U246" s="6">
        <v>88</v>
      </c>
      <c r="V246" s="6">
        <f>IF(ISERROR(VLOOKUP($S$246,'TAR FIN'!$A$1:$O$91,15,0)),0,VLOOKUP($S$246,'TAR FIN'!$A$1:$O$91,15,0))</f>
        <v>0</v>
      </c>
      <c r="W246" s="6">
        <f>IF(ISERROR(VLOOKUP($T$246,'TAR FIN'!$A$1:$O$91,15,0)),0,VLOOKUP($T$246,'TAR FIN'!$A$1:$O$91,15,0))</f>
        <v>269.06</v>
      </c>
      <c r="X246" s="6">
        <f>IF(ISERROR(VLOOKUP($U$246,'TAR FIN'!$A$1:$O$91,15,0)),0,VLOOKUP($U$246,'TAR FIN'!$A$1:$O$91,15,0))</f>
        <v>133.97</v>
      </c>
      <c r="Y246" s="6"/>
      <c r="Z246" s="6">
        <f ca="1">('TUSD BE'!$AM$24+'TUSD BF'!$AM$24+'TUSD CVA'!$AM$24)*1</f>
        <v>343.81469354767324</v>
      </c>
      <c r="AA246" s="6">
        <f>('TE BE'!$AB$12+'TE BF'!$AB$12+'TE CVA'!$AB$12)*1</f>
        <v>114.76529888966962</v>
      </c>
      <c r="AB246" s="6">
        <f>$K$246*$V$246</f>
        <v>0</v>
      </c>
      <c r="AC246" s="6">
        <f>$M$246*$W$246</f>
        <v>-3792.4007000000001</v>
      </c>
      <c r="AD246" s="6">
        <f>$O$246*$X$246</f>
        <v>-1888.3071500000001</v>
      </c>
      <c r="AE246" s="6">
        <f>$K$246*$Y$246</f>
        <v>0</v>
      </c>
      <c r="AF246" s="6">
        <f ca="1">$M$246*$Z$246</f>
        <v>-4846.0681055544546</v>
      </c>
      <c r="AG246" s="6">
        <f>$O$246*$AA$246</f>
        <v>-1617.6168878498934</v>
      </c>
    </row>
    <row r="247" spans="1:33" ht="11.25" customHeight="1" x14ac:dyDescent="0.25">
      <c r="A247" s="4" t="s">
        <v>28</v>
      </c>
      <c r="B247" s="4" t="s">
        <v>22</v>
      </c>
      <c r="C247" s="4" t="s">
        <v>23</v>
      </c>
      <c r="D247" s="4" t="s">
        <v>24</v>
      </c>
      <c r="E247" s="4" t="s">
        <v>24</v>
      </c>
      <c r="F247" s="4" t="s">
        <v>25</v>
      </c>
      <c r="G247" s="4" t="s">
        <v>25</v>
      </c>
      <c r="H247" s="4" t="s">
        <v>25</v>
      </c>
      <c r="I247" s="5">
        <v>44593</v>
      </c>
      <c r="J247" s="6">
        <v>0</v>
      </c>
      <c r="K247" s="6">
        <v>0</v>
      </c>
      <c r="L247" s="6">
        <v>14.016</v>
      </c>
      <c r="M247" s="6">
        <v>14.016</v>
      </c>
      <c r="N247" s="6">
        <v>14.016</v>
      </c>
      <c r="O247" s="6">
        <v>14.016</v>
      </c>
      <c r="P247" s="6">
        <v>55</v>
      </c>
      <c r="Q247" s="4" t="s">
        <v>26</v>
      </c>
      <c r="R247" s="4">
        <v>0</v>
      </c>
      <c r="S247" s="6">
        <v>0</v>
      </c>
      <c r="T247" s="6">
        <v>11</v>
      </c>
      <c r="U247" s="6">
        <v>88</v>
      </c>
      <c r="V247" s="6">
        <f>IF(ISERROR(VLOOKUP($S$247,'TAR FIN'!$A$1:$O$91,15,0)),0,VLOOKUP($S$247,'TAR FIN'!$A$1:$O$91,15,0))</f>
        <v>0</v>
      </c>
      <c r="W247" s="6">
        <f>IF(ISERROR(VLOOKUP($T$247,'TAR FIN'!$A$1:$O$91,15,0)),0,VLOOKUP($T$247,'TAR FIN'!$A$1:$O$91,15,0))</f>
        <v>269.06</v>
      </c>
      <c r="X247" s="6">
        <f>IF(ISERROR(VLOOKUP($U$247,'TAR FIN'!$A$1:$O$91,15,0)),0,VLOOKUP($U$247,'TAR FIN'!$A$1:$O$91,15,0))</f>
        <v>133.97</v>
      </c>
      <c r="Y247" s="6"/>
      <c r="Z247" s="6">
        <f ca="1">('TUSD BE'!$AM$24+'TUSD BF'!$AM$24+'TUSD CVA'!$AM$24)*1</f>
        <v>343.81469354767324</v>
      </c>
      <c r="AA247" s="6">
        <f>('TE BE'!$AB$12+'TE BF'!$AB$12+'TE CVA'!$AB$12)*1</f>
        <v>114.76529888966962</v>
      </c>
      <c r="AB247" s="6">
        <f>$K$247*$V$247</f>
        <v>0</v>
      </c>
      <c r="AC247" s="6">
        <f>$M$247*$W$247</f>
        <v>3771.1449600000001</v>
      </c>
      <c r="AD247" s="6">
        <f>$O$247*$X$247</f>
        <v>1877.72352</v>
      </c>
      <c r="AE247" s="6">
        <f>$K$247*$Y$247</f>
        <v>0</v>
      </c>
      <c r="AF247" s="6">
        <f ca="1">$M$247*$Z$247</f>
        <v>4818.9067447641883</v>
      </c>
      <c r="AG247" s="6">
        <f>$O$247*$AA$247</f>
        <v>1608.5504292376095</v>
      </c>
    </row>
    <row r="248" spans="1:3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24</v>
      </c>
      <c r="F248" s="4" t="s">
        <v>25</v>
      </c>
      <c r="G248" s="4" t="s">
        <v>25</v>
      </c>
      <c r="H248" s="4" t="s">
        <v>25</v>
      </c>
      <c r="I248" s="5">
        <v>44621</v>
      </c>
      <c r="J248" s="6">
        <v>0</v>
      </c>
      <c r="K248" s="6">
        <v>0</v>
      </c>
      <c r="L248" s="6">
        <v>5625.98</v>
      </c>
      <c r="M248" s="6">
        <v>5625.98</v>
      </c>
      <c r="N248" s="6">
        <v>5625.98</v>
      </c>
      <c r="O248" s="6">
        <v>5625.98</v>
      </c>
      <c r="P248" s="6">
        <v>20619</v>
      </c>
      <c r="Q248" s="4" t="s">
        <v>26</v>
      </c>
      <c r="R248" s="4">
        <v>0</v>
      </c>
      <c r="S248" s="6">
        <v>0</v>
      </c>
      <c r="T248" s="6">
        <v>11</v>
      </c>
      <c r="U248" s="6">
        <v>88</v>
      </c>
      <c r="V248" s="6">
        <f>IF(ISERROR(VLOOKUP($S$248,'TAR FIN'!$A$1:$O$91,15,0)),0,VLOOKUP($S$248,'TAR FIN'!$A$1:$O$91,15,0))</f>
        <v>0</v>
      </c>
      <c r="W248" s="6">
        <f>IF(ISERROR(VLOOKUP($T$248,'TAR FIN'!$A$1:$O$91,15,0)),0,VLOOKUP($T$248,'TAR FIN'!$A$1:$O$91,15,0))</f>
        <v>269.06</v>
      </c>
      <c r="X248" s="6">
        <f>IF(ISERROR(VLOOKUP($U$248,'TAR FIN'!$A$1:$O$91,15,0)),0,VLOOKUP($U$248,'TAR FIN'!$A$1:$O$91,15,0))</f>
        <v>133.97</v>
      </c>
      <c r="Y248" s="6"/>
      <c r="Z248" s="6">
        <f ca="1">('TUSD BE'!$AM$24+'TUSD BF'!$AM$24+'TUSD CVA'!$AM$24)*1</f>
        <v>343.81469354767324</v>
      </c>
      <c r="AA248" s="6">
        <f>('TE BE'!$AB$12+'TE BF'!$AB$12+'TE CVA'!$AB$12)*1</f>
        <v>114.76529888966962</v>
      </c>
      <c r="AB248" s="6">
        <f>$K$248*$V$248</f>
        <v>0</v>
      </c>
      <c r="AC248" s="6">
        <f>$M$248*$W$248</f>
        <v>1513726.1787999999</v>
      </c>
      <c r="AD248" s="6">
        <f>$O$248*$X$248</f>
        <v>753712.54059999995</v>
      </c>
      <c r="AE248" s="6">
        <f>$K$248*$Y$248</f>
        <v>0</v>
      </c>
      <c r="AF248" s="6">
        <f ca="1">$M$248*$Z$248</f>
        <v>1934294.5896053386</v>
      </c>
      <c r="AG248" s="6">
        <f>$O$248*$AA$248</f>
        <v>645667.27624730347</v>
      </c>
    </row>
    <row r="249" spans="1:3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24</v>
      </c>
      <c r="F249" s="4" t="s">
        <v>25</v>
      </c>
      <c r="G249" s="4" t="s">
        <v>25</v>
      </c>
      <c r="H249" s="4" t="s">
        <v>25</v>
      </c>
      <c r="I249" s="5">
        <v>44621</v>
      </c>
      <c r="J249" s="6">
        <v>0</v>
      </c>
      <c r="K249" s="6">
        <v>0</v>
      </c>
      <c r="L249" s="6">
        <v>-2.2839999999999998</v>
      </c>
      <c r="M249" s="6">
        <v>-2.2839999999999998</v>
      </c>
      <c r="N249" s="6">
        <v>-2.2839999999999998</v>
      </c>
      <c r="O249" s="6">
        <v>-2.2839999999999998</v>
      </c>
      <c r="P249" s="6">
        <v>0</v>
      </c>
      <c r="Q249" s="4" t="s">
        <v>26</v>
      </c>
      <c r="R249" s="4">
        <v>0</v>
      </c>
      <c r="S249" s="6">
        <v>0</v>
      </c>
      <c r="T249" s="6">
        <v>11</v>
      </c>
      <c r="U249" s="6">
        <v>88</v>
      </c>
      <c r="V249" s="6">
        <f>IF(ISERROR(VLOOKUP($S$249,'TAR FIN'!$A$1:$O$91,15,0)),0,VLOOKUP($S$249,'TAR FIN'!$A$1:$O$91,15,0))</f>
        <v>0</v>
      </c>
      <c r="W249" s="6">
        <f>IF(ISERROR(VLOOKUP($T$249,'TAR FIN'!$A$1:$O$91,15,0)),0,VLOOKUP($T$249,'TAR FIN'!$A$1:$O$91,15,0))</f>
        <v>269.06</v>
      </c>
      <c r="X249" s="6">
        <f>IF(ISERROR(VLOOKUP($U$249,'TAR FIN'!$A$1:$O$91,15,0)),0,VLOOKUP($U$249,'TAR FIN'!$A$1:$O$91,15,0))</f>
        <v>133.97</v>
      </c>
      <c r="Y249" s="6"/>
      <c r="Z249" s="6">
        <f ca="1">('TUSD BE'!$AM$24+'TUSD BF'!$AM$24+'TUSD CVA'!$AM$24)*1</f>
        <v>343.81469354767324</v>
      </c>
      <c r="AA249" s="6">
        <f>('TE BE'!$AB$12+'TE BF'!$AB$12+'TE CVA'!$AB$12)*1</f>
        <v>114.76529888966962</v>
      </c>
      <c r="AB249" s="6">
        <f>$K$249*$V$249</f>
        <v>0</v>
      </c>
      <c r="AC249" s="6">
        <f>$M$249*$W$249</f>
        <v>-614.53303999999991</v>
      </c>
      <c r="AD249" s="6">
        <f>$O$249*$X$249</f>
        <v>-305.98747999999995</v>
      </c>
      <c r="AE249" s="6">
        <f>$K$249*$Y$249</f>
        <v>0</v>
      </c>
      <c r="AF249" s="6">
        <f ca="1">$M$249*$Z$249</f>
        <v>-785.2727600628856</v>
      </c>
      <c r="AG249" s="6">
        <f>$O$249*$AA$249</f>
        <v>-262.12394266400537</v>
      </c>
    </row>
    <row r="250" spans="1:33" ht="11.25" customHeight="1" x14ac:dyDescent="0.25">
      <c r="A250" s="4" t="s">
        <v>28</v>
      </c>
      <c r="B250" s="4" t="s">
        <v>22</v>
      </c>
      <c r="C250" s="4" t="s">
        <v>23</v>
      </c>
      <c r="D250" s="4" t="s">
        <v>24</v>
      </c>
      <c r="E250" s="4" t="s">
        <v>24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18.248999999999999</v>
      </c>
      <c r="M250" s="6">
        <v>18.248999999999999</v>
      </c>
      <c r="N250" s="6">
        <v>18.248999999999999</v>
      </c>
      <c r="O250" s="6">
        <v>18.248999999999999</v>
      </c>
      <c r="P250" s="6">
        <v>59</v>
      </c>
      <c r="Q250" s="4" t="s">
        <v>26</v>
      </c>
      <c r="R250" s="4">
        <v>0</v>
      </c>
      <c r="S250" s="6">
        <v>0</v>
      </c>
      <c r="T250" s="6">
        <v>11</v>
      </c>
      <c r="U250" s="6">
        <v>88</v>
      </c>
      <c r="V250" s="6">
        <f>IF(ISERROR(VLOOKUP($S$250,'TAR FIN'!$A$1:$O$91,15,0)),0,VLOOKUP($S$250,'TAR FIN'!$A$1:$O$91,15,0))</f>
        <v>0</v>
      </c>
      <c r="W250" s="6">
        <f>IF(ISERROR(VLOOKUP($T$250,'TAR FIN'!$A$1:$O$91,15,0)),0,VLOOKUP($T$250,'TAR FIN'!$A$1:$O$91,15,0))</f>
        <v>269.06</v>
      </c>
      <c r="X250" s="6">
        <f>IF(ISERROR(VLOOKUP($U$250,'TAR FIN'!$A$1:$O$91,15,0)),0,VLOOKUP($U$250,'TAR FIN'!$A$1:$O$91,15,0))</f>
        <v>133.97</v>
      </c>
      <c r="Y250" s="6"/>
      <c r="Z250" s="6">
        <f ca="1">('TUSD BE'!$AM$24+'TUSD BF'!$AM$24+'TUSD CVA'!$AM$24)*1</f>
        <v>343.81469354767324</v>
      </c>
      <c r="AA250" s="6">
        <f>('TE BE'!$AB$12+'TE BF'!$AB$12+'TE CVA'!$AB$12)*1</f>
        <v>114.76529888966962</v>
      </c>
      <c r="AB250" s="6">
        <f>$K$250*$V$250</f>
        <v>0</v>
      </c>
      <c r="AC250" s="6">
        <f>$M$250*$W$250</f>
        <v>4910.0759399999997</v>
      </c>
      <c r="AD250" s="6">
        <f>$O$250*$X$250</f>
        <v>2444.81853</v>
      </c>
      <c r="AE250" s="6">
        <f>$K$250*$Y$250</f>
        <v>0</v>
      </c>
      <c r="AF250" s="6">
        <f ca="1">$M$250*$Z$250</f>
        <v>6274.2743425514882</v>
      </c>
      <c r="AG250" s="6">
        <f>$O$250*$AA$250</f>
        <v>2094.3519394375808</v>
      </c>
    </row>
    <row r="251" spans="1:33" ht="11.25" customHeight="1" x14ac:dyDescent="0.25">
      <c r="A251" s="4" t="s">
        <v>28</v>
      </c>
      <c r="B251" s="4" t="s">
        <v>22</v>
      </c>
      <c r="C251" s="4" t="s">
        <v>23</v>
      </c>
      <c r="D251" s="4" t="s">
        <v>24</v>
      </c>
      <c r="E251" s="4" t="s">
        <v>24</v>
      </c>
      <c r="F251" s="4" t="s">
        <v>25</v>
      </c>
      <c r="G251" s="4" t="s">
        <v>25</v>
      </c>
      <c r="H251" s="4" t="s">
        <v>25</v>
      </c>
      <c r="I251" s="5">
        <v>44621</v>
      </c>
      <c r="J251" s="6">
        <v>0</v>
      </c>
      <c r="K251" s="6">
        <v>0</v>
      </c>
      <c r="L251" s="6">
        <v>-9.1999999999999998E-2</v>
      </c>
      <c r="M251" s="6">
        <v>-9.1999999999999998E-2</v>
      </c>
      <c r="N251" s="6">
        <v>-9.1999999999999998E-2</v>
      </c>
      <c r="O251" s="6">
        <v>-9.1999999999999998E-2</v>
      </c>
      <c r="P251" s="6">
        <v>2</v>
      </c>
      <c r="Q251" s="4" t="s">
        <v>26</v>
      </c>
      <c r="R251" s="4">
        <v>0</v>
      </c>
      <c r="S251" s="6">
        <v>0</v>
      </c>
      <c r="T251" s="6">
        <v>11</v>
      </c>
      <c r="U251" s="6">
        <v>88</v>
      </c>
      <c r="V251" s="6">
        <f>IF(ISERROR(VLOOKUP($S$251,'TAR FIN'!$A$1:$O$91,15,0)),0,VLOOKUP($S$251,'TAR FIN'!$A$1:$O$91,15,0))</f>
        <v>0</v>
      </c>
      <c r="W251" s="6">
        <f>IF(ISERROR(VLOOKUP($T$251,'TAR FIN'!$A$1:$O$91,15,0)),0,VLOOKUP($T$251,'TAR FIN'!$A$1:$O$91,15,0))</f>
        <v>269.06</v>
      </c>
      <c r="X251" s="6">
        <f>IF(ISERROR(VLOOKUP($U$251,'TAR FIN'!$A$1:$O$91,15,0)),0,VLOOKUP($U$251,'TAR FIN'!$A$1:$O$91,15,0))</f>
        <v>133.97</v>
      </c>
      <c r="Y251" s="6"/>
      <c r="Z251" s="6">
        <f ca="1">('TUSD BE'!$AM$24+'TUSD BF'!$AM$24+'TUSD CVA'!$AM$24)*1</f>
        <v>343.81469354767324</v>
      </c>
      <c r="AA251" s="6">
        <f>('TE BE'!$AB$12+'TE BF'!$AB$12+'TE CVA'!$AB$12)*1</f>
        <v>114.76529888966962</v>
      </c>
      <c r="AB251" s="6">
        <f>$K$251*$V$251</f>
        <v>0</v>
      </c>
      <c r="AC251" s="6">
        <f>$M$251*$W$251</f>
        <v>-24.753519999999998</v>
      </c>
      <c r="AD251" s="6">
        <f>$O$251*$X$251</f>
        <v>-12.325239999999999</v>
      </c>
      <c r="AE251" s="6">
        <f>$K$251*$Y$251</f>
        <v>0</v>
      </c>
      <c r="AF251" s="6">
        <f ca="1">$M$251*$Z$251</f>
        <v>-31.630951806385937</v>
      </c>
      <c r="AG251" s="6">
        <f>$O$251*$AA$251</f>
        <v>-10.558407497849606</v>
      </c>
    </row>
    <row r="252" spans="1:3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24</v>
      </c>
      <c r="F252" s="4" t="s">
        <v>25</v>
      </c>
      <c r="G252" s="4" t="s">
        <v>25</v>
      </c>
      <c r="H252" s="4" t="s">
        <v>25</v>
      </c>
      <c r="I252" s="5">
        <v>44652</v>
      </c>
      <c r="J252" s="6">
        <v>0</v>
      </c>
      <c r="K252" s="6">
        <v>0</v>
      </c>
      <c r="L252" s="6">
        <v>4741.5280000000002</v>
      </c>
      <c r="M252" s="6">
        <v>4741.5280000000002</v>
      </c>
      <c r="N252" s="6">
        <v>4741.5280000000002</v>
      </c>
      <c r="O252" s="6">
        <v>4741.5280000000002</v>
      </c>
      <c r="P252" s="6">
        <v>20577</v>
      </c>
      <c r="Q252" s="4" t="s">
        <v>26</v>
      </c>
      <c r="R252" s="4">
        <v>0</v>
      </c>
      <c r="S252" s="6">
        <v>0</v>
      </c>
      <c r="T252" s="6">
        <v>11</v>
      </c>
      <c r="U252" s="6">
        <v>88</v>
      </c>
      <c r="V252" s="6">
        <f>IF(ISERROR(VLOOKUP($S$252,'TAR FIN'!$A$1:$O$91,15,0)),0,VLOOKUP($S$252,'TAR FIN'!$A$1:$O$91,15,0))</f>
        <v>0</v>
      </c>
      <c r="W252" s="6">
        <f>IF(ISERROR(VLOOKUP($T$252,'TAR FIN'!$A$1:$O$91,15,0)),0,VLOOKUP($T$252,'TAR FIN'!$A$1:$O$91,15,0))</f>
        <v>269.06</v>
      </c>
      <c r="X252" s="6">
        <f>IF(ISERROR(VLOOKUP($U$252,'TAR FIN'!$A$1:$O$91,15,0)),0,VLOOKUP($U$252,'TAR FIN'!$A$1:$O$91,15,0))</f>
        <v>133.97</v>
      </c>
      <c r="Y252" s="6"/>
      <c r="Z252" s="6">
        <f ca="1">('TUSD BE'!$AM$24+'TUSD BF'!$AM$24+'TUSD CVA'!$AM$24)*1</f>
        <v>343.81469354767324</v>
      </c>
      <c r="AA252" s="6">
        <f>('TE BE'!$AB$12+'TE BF'!$AB$12+'TE CVA'!$AB$12)*1</f>
        <v>114.76529888966962</v>
      </c>
      <c r="AB252" s="6">
        <f>$K$252*$V$252</f>
        <v>0</v>
      </c>
      <c r="AC252" s="6">
        <f>$M$252*$W$252</f>
        <v>1275755.5236800001</v>
      </c>
      <c r="AD252" s="6">
        <f>$O$252*$X$252</f>
        <v>635222.50615999999</v>
      </c>
      <c r="AE252" s="6">
        <f>$K$252*$Y$252</f>
        <v>0</v>
      </c>
      <c r="AF252" s="6">
        <f ca="1">$M$252*$Z$252</f>
        <v>1630206.9962677122</v>
      </c>
      <c r="AG252" s="6">
        <f>$O$252*$AA$252</f>
        <v>544162.87811373745</v>
      </c>
    </row>
    <row r="253" spans="1:33" ht="11.25" customHeight="1" x14ac:dyDescent="0.25">
      <c r="A253" s="4" t="s">
        <v>27</v>
      </c>
      <c r="B253" s="4" t="s">
        <v>22</v>
      </c>
      <c r="C253" s="4" t="s">
        <v>23</v>
      </c>
      <c r="D253" s="4" t="s">
        <v>24</v>
      </c>
      <c r="E253" s="4" t="s">
        <v>24</v>
      </c>
      <c r="F253" s="4" t="s">
        <v>25</v>
      </c>
      <c r="G253" s="4" t="s">
        <v>25</v>
      </c>
      <c r="H253" s="4" t="s">
        <v>25</v>
      </c>
      <c r="I253" s="5">
        <v>44652</v>
      </c>
      <c r="J253" s="6">
        <v>0</v>
      </c>
      <c r="K253" s="6">
        <v>0</v>
      </c>
      <c r="L253" s="6">
        <v>-0.46400000000000002</v>
      </c>
      <c r="M253" s="6">
        <v>-0.46400000000000002</v>
      </c>
      <c r="N253" s="6">
        <v>-0.46400000000000002</v>
      </c>
      <c r="O253" s="6">
        <v>-0.46400000000000002</v>
      </c>
      <c r="P253" s="6">
        <v>0</v>
      </c>
      <c r="Q253" s="4" t="s">
        <v>26</v>
      </c>
      <c r="R253" s="4">
        <v>0</v>
      </c>
      <c r="S253" s="6">
        <v>0</v>
      </c>
      <c r="T253" s="6">
        <v>11</v>
      </c>
      <c r="U253" s="6">
        <v>88</v>
      </c>
      <c r="V253" s="6">
        <f>IF(ISERROR(VLOOKUP($S$253,'TAR FIN'!$A$1:$O$91,15,0)),0,VLOOKUP($S$253,'TAR FIN'!$A$1:$O$91,15,0))</f>
        <v>0</v>
      </c>
      <c r="W253" s="6">
        <f>IF(ISERROR(VLOOKUP($T$253,'TAR FIN'!$A$1:$O$91,15,0)),0,VLOOKUP($T$253,'TAR FIN'!$A$1:$O$91,15,0))</f>
        <v>269.06</v>
      </c>
      <c r="X253" s="6">
        <f>IF(ISERROR(VLOOKUP($U$253,'TAR FIN'!$A$1:$O$91,15,0)),0,VLOOKUP($U$253,'TAR FIN'!$A$1:$O$91,15,0))</f>
        <v>133.97</v>
      </c>
      <c r="Y253" s="6"/>
      <c r="Z253" s="6">
        <f ca="1">('TUSD BE'!$AM$24+'TUSD BF'!$AM$24+'TUSD CVA'!$AM$24)*1</f>
        <v>343.81469354767324</v>
      </c>
      <c r="AA253" s="6">
        <f>('TE BE'!$AB$12+'TE BF'!$AB$12+'TE CVA'!$AB$12)*1</f>
        <v>114.76529888966962</v>
      </c>
      <c r="AB253" s="6">
        <f>$K$253*$V$253</f>
        <v>0</v>
      </c>
      <c r="AC253" s="6">
        <f>$M$253*$W$253</f>
        <v>-124.84384000000001</v>
      </c>
      <c r="AD253" s="6">
        <f>$O$253*$X$253</f>
        <v>-62.162080000000003</v>
      </c>
      <c r="AE253" s="6">
        <f>$K$253*$Y$253</f>
        <v>0</v>
      </c>
      <c r="AF253" s="6">
        <f ca="1">$M$253*$Z$253</f>
        <v>-159.53001780612038</v>
      </c>
      <c r="AG253" s="6">
        <f>$O$253*$AA$253</f>
        <v>-53.251098684806706</v>
      </c>
    </row>
    <row r="254" spans="1:33" ht="11.25" customHeight="1" x14ac:dyDescent="0.25">
      <c r="A254" s="4" t="s">
        <v>28</v>
      </c>
      <c r="B254" s="4" t="s">
        <v>22</v>
      </c>
      <c r="C254" s="4" t="s">
        <v>23</v>
      </c>
      <c r="D254" s="4" t="s">
        <v>24</v>
      </c>
      <c r="E254" s="4" t="s">
        <v>24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19.015000000000001</v>
      </c>
      <c r="M254" s="6">
        <v>19.015000000000001</v>
      </c>
      <c r="N254" s="6">
        <v>19.015000000000001</v>
      </c>
      <c r="O254" s="6">
        <v>19.015000000000001</v>
      </c>
      <c r="P254" s="6">
        <v>63</v>
      </c>
      <c r="Q254" s="4" t="s">
        <v>26</v>
      </c>
      <c r="R254" s="4">
        <v>0</v>
      </c>
      <c r="S254" s="6">
        <v>0</v>
      </c>
      <c r="T254" s="6">
        <v>11</v>
      </c>
      <c r="U254" s="6">
        <v>88</v>
      </c>
      <c r="V254" s="6">
        <f>IF(ISERROR(VLOOKUP($S$254,'TAR FIN'!$A$1:$O$91,15,0)),0,VLOOKUP($S$254,'TAR FIN'!$A$1:$O$91,15,0))</f>
        <v>0</v>
      </c>
      <c r="W254" s="6">
        <f>IF(ISERROR(VLOOKUP($T$254,'TAR FIN'!$A$1:$O$91,15,0)),0,VLOOKUP($T$254,'TAR FIN'!$A$1:$O$91,15,0))</f>
        <v>269.06</v>
      </c>
      <c r="X254" s="6">
        <f>IF(ISERROR(VLOOKUP($U$254,'TAR FIN'!$A$1:$O$91,15,0)),0,VLOOKUP($U$254,'TAR FIN'!$A$1:$O$91,15,0))</f>
        <v>133.97</v>
      </c>
      <c r="Y254" s="6"/>
      <c r="Z254" s="6">
        <f ca="1">('TUSD BE'!$AM$24+'TUSD BF'!$AM$24+'TUSD CVA'!$AM$24)*1</f>
        <v>343.81469354767324</v>
      </c>
      <c r="AA254" s="6">
        <f>('TE BE'!$AB$12+'TE BF'!$AB$12+'TE CVA'!$AB$12)*1</f>
        <v>114.76529888966962</v>
      </c>
      <c r="AB254" s="6">
        <f>$K$254*$V$254</f>
        <v>0</v>
      </c>
      <c r="AC254" s="6">
        <f>$M$254*$W$254</f>
        <v>5116.1759000000002</v>
      </c>
      <c r="AD254" s="6">
        <f>$O$254*$X$254</f>
        <v>2547.4395500000001</v>
      </c>
      <c r="AE254" s="6">
        <f>$K$254*$Y$254</f>
        <v>0</v>
      </c>
      <c r="AF254" s="6">
        <f ca="1">$M$254*$Z$254</f>
        <v>6537.6363978090067</v>
      </c>
      <c r="AG254" s="6">
        <f>$O$254*$AA$254</f>
        <v>2182.2621583870678</v>
      </c>
    </row>
    <row r="255" spans="1:33" ht="11.25" customHeight="1" x14ac:dyDescent="0.25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24</v>
      </c>
      <c r="F255" s="4" t="s">
        <v>25</v>
      </c>
      <c r="G255" s="4" t="s">
        <v>25</v>
      </c>
      <c r="H255" s="4" t="s">
        <v>25</v>
      </c>
      <c r="I255" s="5">
        <v>44682</v>
      </c>
      <c r="J255" s="6">
        <v>0</v>
      </c>
      <c r="K255" s="6">
        <v>0</v>
      </c>
      <c r="L255" s="6">
        <v>4246.25</v>
      </c>
      <c r="M255" s="6">
        <v>4246.25</v>
      </c>
      <c r="N255" s="6">
        <v>4246.25</v>
      </c>
      <c r="O255" s="6">
        <v>4246.25</v>
      </c>
      <c r="P255" s="6">
        <v>20565</v>
      </c>
      <c r="Q255" s="4" t="s">
        <v>26</v>
      </c>
      <c r="R255" s="4">
        <v>0</v>
      </c>
      <c r="S255" s="6">
        <v>0</v>
      </c>
      <c r="T255" s="6">
        <v>11</v>
      </c>
      <c r="U255" s="6">
        <v>88</v>
      </c>
      <c r="V255" s="6">
        <f>IF(ISERROR(VLOOKUP($S$255,'TAR FIN'!$A$1:$O$91,15,0)),0,VLOOKUP($S$255,'TAR FIN'!$A$1:$O$91,15,0))</f>
        <v>0</v>
      </c>
      <c r="W255" s="6">
        <f>IF(ISERROR(VLOOKUP($T$255,'TAR FIN'!$A$1:$O$91,15,0)),0,VLOOKUP($T$255,'TAR FIN'!$A$1:$O$91,15,0))</f>
        <v>269.06</v>
      </c>
      <c r="X255" s="6">
        <f>IF(ISERROR(VLOOKUP($U$255,'TAR FIN'!$A$1:$O$91,15,0)),0,VLOOKUP($U$255,'TAR FIN'!$A$1:$O$91,15,0))</f>
        <v>133.97</v>
      </c>
      <c r="Y255" s="6"/>
      <c r="Z255" s="6">
        <f ca="1">('TUSD BE'!$AM$24+'TUSD BF'!$AM$24+'TUSD CVA'!$AM$24)*1</f>
        <v>343.81469354767324</v>
      </c>
      <c r="AA255" s="6">
        <f>('TE BE'!$AB$12+'TE BF'!$AB$12+'TE CVA'!$AB$12)*1</f>
        <v>114.76529888966962</v>
      </c>
      <c r="AB255" s="6">
        <f>$K$255*$V$255</f>
        <v>0</v>
      </c>
      <c r="AC255" s="6">
        <f>$M$255*$W$255</f>
        <v>1142496.0249999999</v>
      </c>
      <c r="AD255" s="6">
        <f>$O$255*$X$255</f>
        <v>568870.11250000005</v>
      </c>
      <c r="AE255" s="6">
        <f>$K$255*$Y$255</f>
        <v>0</v>
      </c>
      <c r="AF255" s="6">
        <f ca="1">$M$255*$Z$255</f>
        <v>1459923.1424768076</v>
      </c>
      <c r="AG255" s="6">
        <f>$O$255*$AA$255</f>
        <v>487322.15041025961</v>
      </c>
    </row>
    <row r="256" spans="1:33" ht="11.25" customHeight="1" x14ac:dyDescent="0.25">
      <c r="A256" s="4" t="s">
        <v>27</v>
      </c>
      <c r="B256" s="4" t="s">
        <v>22</v>
      </c>
      <c r="C256" s="4" t="s">
        <v>23</v>
      </c>
      <c r="D256" s="4" t="s">
        <v>24</v>
      </c>
      <c r="E256" s="4" t="s">
        <v>24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-0.11799999999999999</v>
      </c>
      <c r="M256" s="6">
        <v>-0.11799999999999999</v>
      </c>
      <c r="N256" s="6">
        <v>-0.11799999999999999</v>
      </c>
      <c r="O256" s="6">
        <v>-0.11799999999999999</v>
      </c>
      <c r="P256" s="6">
        <v>0</v>
      </c>
      <c r="Q256" s="4" t="s">
        <v>26</v>
      </c>
      <c r="R256" s="4">
        <v>0</v>
      </c>
      <c r="S256" s="6">
        <v>0</v>
      </c>
      <c r="T256" s="6">
        <v>11</v>
      </c>
      <c r="U256" s="6">
        <v>88</v>
      </c>
      <c r="V256" s="6">
        <f>IF(ISERROR(VLOOKUP($S$256,'TAR FIN'!$A$1:$O$91,15,0)),0,VLOOKUP($S$256,'TAR FIN'!$A$1:$O$91,15,0))</f>
        <v>0</v>
      </c>
      <c r="W256" s="6">
        <f>IF(ISERROR(VLOOKUP($T$256,'TAR FIN'!$A$1:$O$91,15,0)),0,VLOOKUP($T$256,'TAR FIN'!$A$1:$O$91,15,0))</f>
        <v>269.06</v>
      </c>
      <c r="X256" s="6">
        <f>IF(ISERROR(VLOOKUP($U$256,'TAR FIN'!$A$1:$O$91,15,0)),0,VLOOKUP($U$256,'TAR FIN'!$A$1:$O$91,15,0))</f>
        <v>133.97</v>
      </c>
      <c r="Y256" s="6"/>
      <c r="Z256" s="6">
        <f ca="1">('TUSD BE'!$AM$24+'TUSD BF'!$AM$24+'TUSD CVA'!$AM$24)*1</f>
        <v>343.81469354767324</v>
      </c>
      <c r="AA256" s="6">
        <f>('TE BE'!$AB$12+'TE BF'!$AB$12+'TE CVA'!$AB$12)*1</f>
        <v>114.76529888966962</v>
      </c>
      <c r="AB256" s="6">
        <f>$K$256*$V$256</f>
        <v>0</v>
      </c>
      <c r="AC256" s="6">
        <f>$M$256*$W$256</f>
        <v>-31.749079999999999</v>
      </c>
      <c r="AD256" s="6">
        <f>$O$256*$X$256</f>
        <v>-15.808459999999998</v>
      </c>
      <c r="AE256" s="6">
        <f>$K$256*$Y$256</f>
        <v>0</v>
      </c>
      <c r="AF256" s="6">
        <f ca="1">$M$256*$Z$256</f>
        <v>-40.570133838625438</v>
      </c>
      <c r="AG256" s="6">
        <f>$O$256*$AA$256</f>
        <v>-13.542305268981014</v>
      </c>
    </row>
    <row r="257" spans="1:33" ht="11.25" customHeight="1" x14ac:dyDescent="0.25">
      <c r="A257" s="4" t="s">
        <v>28</v>
      </c>
      <c r="B257" s="4" t="s">
        <v>22</v>
      </c>
      <c r="C257" s="4" t="s">
        <v>23</v>
      </c>
      <c r="D257" s="4" t="s">
        <v>24</v>
      </c>
      <c r="E257" s="4" t="s">
        <v>24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24.463000000000001</v>
      </c>
      <c r="M257" s="6">
        <v>24.463000000000001</v>
      </c>
      <c r="N257" s="6">
        <v>24.463000000000001</v>
      </c>
      <c r="O257" s="6">
        <v>24.463000000000001</v>
      </c>
      <c r="P257" s="6">
        <v>71</v>
      </c>
      <c r="Q257" s="4" t="s">
        <v>26</v>
      </c>
      <c r="R257" s="4">
        <v>0</v>
      </c>
      <c r="S257" s="6">
        <v>0</v>
      </c>
      <c r="T257" s="6">
        <v>11</v>
      </c>
      <c r="U257" s="6">
        <v>88</v>
      </c>
      <c r="V257" s="6">
        <f>IF(ISERROR(VLOOKUP($S$257,'TAR FIN'!$A$1:$O$91,15,0)),0,VLOOKUP($S$257,'TAR FIN'!$A$1:$O$91,15,0))</f>
        <v>0</v>
      </c>
      <c r="W257" s="6">
        <f>IF(ISERROR(VLOOKUP($T$257,'TAR FIN'!$A$1:$O$91,15,0)),0,VLOOKUP($T$257,'TAR FIN'!$A$1:$O$91,15,0))</f>
        <v>269.06</v>
      </c>
      <c r="X257" s="6">
        <f>IF(ISERROR(VLOOKUP($U$257,'TAR FIN'!$A$1:$O$91,15,0)),0,VLOOKUP($U$257,'TAR FIN'!$A$1:$O$91,15,0))</f>
        <v>133.97</v>
      </c>
      <c r="Y257" s="6"/>
      <c r="Z257" s="6">
        <f ca="1">('TUSD BE'!$AM$24+'TUSD BF'!$AM$24+'TUSD CVA'!$AM$24)*1</f>
        <v>343.81469354767324</v>
      </c>
      <c r="AA257" s="6">
        <f>('TE BE'!$AB$12+'TE BF'!$AB$12+'TE CVA'!$AB$12)*1</f>
        <v>114.76529888966962</v>
      </c>
      <c r="AB257" s="6">
        <f>$K$257*$V$257</f>
        <v>0</v>
      </c>
      <c r="AC257" s="6">
        <f>$M$257*$W$257</f>
        <v>6582.0147800000004</v>
      </c>
      <c r="AD257" s="6">
        <f>$O$257*$X$257</f>
        <v>3277.3081099999999</v>
      </c>
      <c r="AE257" s="6">
        <f>$K$257*$Y$257</f>
        <v>0</v>
      </c>
      <c r="AF257" s="6">
        <f ca="1">$M$257*$Z$257</f>
        <v>8410.7388482567312</v>
      </c>
      <c r="AG257" s="6">
        <f>$O$257*$AA$257</f>
        <v>2807.5035067379881</v>
      </c>
    </row>
    <row r="258" spans="1:33" ht="11.25" customHeight="1" x14ac:dyDescent="0.25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24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4518.8620000000001</v>
      </c>
      <c r="M258" s="6">
        <v>4518.8620000000001</v>
      </c>
      <c r="N258" s="6">
        <v>4518.8620000000001</v>
      </c>
      <c r="O258" s="6">
        <v>4518.8620000000001</v>
      </c>
      <c r="P258" s="6">
        <v>20592</v>
      </c>
      <c r="Q258" s="4" t="s">
        <v>26</v>
      </c>
      <c r="R258" s="4">
        <v>0</v>
      </c>
      <c r="S258" s="6">
        <v>0</v>
      </c>
      <c r="T258" s="6">
        <v>11</v>
      </c>
      <c r="U258" s="6">
        <v>88</v>
      </c>
      <c r="V258" s="6">
        <f>IF(ISERROR(VLOOKUP($S$258,'TAR FIN'!$A$1:$O$91,15,0)),0,VLOOKUP($S$258,'TAR FIN'!$A$1:$O$91,15,0))</f>
        <v>0</v>
      </c>
      <c r="W258" s="6">
        <f>IF(ISERROR(VLOOKUP($T$258,'TAR FIN'!$A$1:$O$91,15,0)),0,VLOOKUP($T$258,'TAR FIN'!$A$1:$O$91,15,0))</f>
        <v>269.06</v>
      </c>
      <c r="X258" s="6">
        <f>IF(ISERROR(VLOOKUP($U$258,'TAR FIN'!$A$1:$O$91,15,0)),0,VLOOKUP($U$258,'TAR FIN'!$A$1:$O$91,15,0))</f>
        <v>133.97</v>
      </c>
      <c r="Y258" s="6"/>
      <c r="Z258" s="6">
        <f ca="1">('TUSD BE'!$AM$24+'TUSD BF'!$AM$24+'TUSD CVA'!$AM$24)*1</f>
        <v>343.81469354767324</v>
      </c>
      <c r="AA258" s="6">
        <f>('TE BE'!$AB$12+'TE BF'!$AB$12+'TE CVA'!$AB$12)*1</f>
        <v>114.76529888966962</v>
      </c>
      <c r="AB258" s="6">
        <f>$K$258*$V$258</f>
        <v>0</v>
      </c>
      <c r="AC258" s="6">
        <f>$M$258*$W$258</f>
        <v>1215845.00972</v>
      </c>
      <c r="AD258" s="6">
        <f>$O$258*$X$258</f>
        <v>605391.94214000006</v>
      </c>
      <c r="AE258" s="6">
        <f>$K$258*$Y$258</f>
        <v>0</v>
      </c>
      <c r="AF258" s="6">
        <f ca="1">$M$258*$Z$258</f>
        <v>1553651.1537142259</v>
      </c>
      <c r="AG258" s="6">
        <f>$O$258*$AA$258</f>
        <v>518608.54807117028</v>
      </c>
    </row>
    <row r="259" spans="1:33" ht="11.25" customHeight="1" x14ac:dyDescent="0.25">
      <c r="A259" s="4" t="s">
        <v>28</v>
      </c>
      <c r="B259" s="4" t="s">
        <v>22</v>
      </c>
      <c r="C259" s="4" t="s">
        <v>23</v>
      </c>
      <c r="D259" s="4" t="s">
        <v>24</v>
      </c>
      <c r="E259" s="4" t="s">
        <v>24</v>
      </c>
      <c r="F259" s="4" t="s">
        <v>25</v>
      </c>
      <c r="G259" s="4" t="s">
        <v>25</v>
      </c>
      <c r="H259" s="4" t="s">
        <v>25</v>
      </c>
      <c r="I259" s="5">
        <v>44713</v>
      </c>
      <c r="J259" s="6">
        <v>0</v>
      </c>
      <c r="K259" s="6">
        <v>0</v>
      </c>
      <c r="L259" s="6">
        <v>39.527000000000001</v>
      </c>
      <c r="M259" s="6">
        <v>39.527000000000001</v>
      </c>
      <c r="N259" s="6">
        <v>39.527000000000001</v>
      </c>
      <c r="O259" s="6">
        <v>39.527000000000001</v>
      </c>
      <c r="P259" s="6">
        <v>82</v>
      </c>
      <c r="Q259" s="4" t="s">
        <v>26</v>
      </c>
      <c r="R259" s="4">
        <v>0</v>
      </c>
      <c r="S259" s="6">
        <v>0</v>
      </c>
      <c r="T259" s="6">
        <v>11</v>
      </c>
      <c r="U259" s="6">
        <v>88</v>
      </c>
      <c r="V259" s="6">
        <f>IF(ISERROR(VLOOKUP($S$259,'TAR FIN'!$A$1:$O$91,15,0)),0,VLOOKUP($S$259,'TAR FIN'!$A$1:$O$91,15,0))</f>
        <v>0</v>
      </c>
      <c r="W259" s="6">
        <f>IF(ISERROR(VLOOKUP($T$259,'TAR FIN'!$A$1:$O$91,15,0)),0,VLOOKUP($T$259,'TAR FIN'!$A$1:$O$91,15,0))</f>
        <v>269.06</v>
      </c>
      <c r="X259" s="6">
        <f>IF(ISERROR(VLOOKUP($U$259,'TAR FIN'!$A$1:$O$91,15,0)),0,VLOOKUP($U$259,'TAR FIN'!$A$1:$O$91,15,0))</f>
        <v>133.97</v>
      </c>
      <c r="Y259" s="6"/>
      <c r="Z259" s="6">
        <f ca="1">('TUSD BE'!$AM$24+'TUSD BF'!$AM$24+'TUSD CVA'!$AM$24)*1</f>
        <v>343.81469354767324</v>
      </c>
      <c r="AA259" s="6">
        <f>('TE BE'!$AB$12+'TE BF'!$AB$12+'TE CVA'!$AB$12)*1</f>
        <v>114.76529888966962</v>
      </c>
      <c r="AB259" s="6">
        <f>$K$259*$V$259</f>
        <v>0</v>
      </c>
      <c r="AC259" s="6">
        <f>$M$259*$W$259</f>
        <v>10635.134620000001</v>
      </c>
      <c r="AD259" s="6">
        <f>$O$259*$X$259</f>
        <v>5295.4321900000004</v>
      </c>
      <c r="AE259" s="6">
        <f>$K$259*$Y$259</f>
        <v>0</v>
      </c>
      <c r="AF259" s="6">
        <f ca="1">$M$259*$Z$259</f>
        <v>13589.963391858881</v>
      </c>
      <c r="AG259" s="6">
        <f>$O$259*$AA$259</f>
        <v>4536.3279692119713</v>
      </c>
    </row>
    <row r="260" spans="1:3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24</v>
      </c>
      <c r="F260" s="4" t="s">
        <v>25</v>
      </c>
      <c r="G260" s="4" t="s">
        <v>25</v>
      </c>
      <c r="H260" s="4" t="s">
        <v>25</v>
      </c>
      <c r="I260" s="5">
        <v>44743</v>
      </c>
      <c r="J260" s="6">
        <v>0</v>
      </c>
      <c r="K260" s="6">
        <v>0</v>
      </c>
      <c r="L260" s="6">
        <v>4603.3459999999995</v>
      </c>
      <c r="M260" s="6">
        <v>4603.3459999999995</v>
      </c>
      <c r="N260" s="6">
        <v>4603.3459999999995</v>
      </c>
      <c r="O260" s="6">
        <v>4603.3459999999995</v>
      </c>
      <c r="P260" s="6">
        <v>20670</v>
      </c>
      <c r="Q260" s="4" t="s">
        <v>26</v>
      </c>
      <c r="R260" s="4">
        <v>0</v>
      </c>
      <c r="S260" s="6">
        <v>0</v>
      </c>
      <c r="T260" s="6">
        <v>11</v>
      </c>
      <c r="U260" s="6">
        <v>88</v>
      </c>
      <c r="V260" s="6">
        <f>IF(ISERROR(VLOOKUP($S$260,'TAR FIN'!$A$1:$O$91,15,0)),0,VLOOKUP($S$260,'TAR FIN'!$A$1:$O$91,15,0))</f>
        <v>0</v>
      </c>
      <c r="W260" s="6">
        <f>IF(ISERROR(VLOOKUP($T$260,'TAR FIN'!$A$1:$O$91,15,0)),0,VLOOKUP($T$260,'TAR FIN'!$A$1:$O$91,15,0))</f>
        <v>269.06</v>
      </c>
      <c r="X260" s="6">
        <f>IF(ISERROR(VLOOKUP($U$260,'TAR FIN'!$A$1:$O$91,15,0)),0,VLOOKUP($U$260,'TAR FIN'!$A$1:$O$91,15,0))</f>
        <v>133.97</v>
      </c>
      <c r="Y260" s="6"/>
      <c r="Z260" s="6">
        <f ca="1">('TUSD BE'!$AM$24+'TUSD BF'!$AM$24+'TUSD CVA'!$AM$24)*1</f>
        <v>343.81469354767324</v>
      </c>
      <c r="AA260" s="6">
        <f>('TE BE'!$AB$12+'TE BF'!$AB$12+'TE CVA'!$AB$12)*1</f>
        <v>114.76529888966962</v>
      </c>
      <c r="AB260" s="6">
        <f>$K$260*$V$260</f>
        <v>0</v>
      </c>
      <c r="AC260" s="6">
        <f>$M$260*$W$260</f>
        <v>1238576.2747599999</v>
      </c>
      <c r="AD260" s="6">
        <f>$O$260*$X$260</f>
        <v>616710.26361999998</v>
      </c>
      <c r="AE260" s="6">
        <f>$K$260*$Y$260</f>
        <v>0</v>
      </c>
      <c r="AF260" s="6">
        <f ca="1">$M$260*$Z$260</f>
        <v>1582697.9942839073</v>
      </c>
      <c r="AG260" s="6">
        <f>$O$260*$AA$260</f>
        <v>528304.37958256504</v>
      </c>
    </row>
    <row r="261" spans="1:3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24</v>
      </c>
      <c r="F261" s="4" t="s">
        <v>25</v>
      </c>
      <c r="G261" s="4" t="s">
        <v>25</v>
      </c>
      <c r="H261" s="4" t="s">
        <v>25</v>
      </c>
      <c r="I261" s="5">
        <v>44743</v>
      </c>
      <c r="J261" s="6">
        <v>0</v>
      </c>
      <c r="K261" s="6">
        <v>0</v>
      </c>
      <c r="L261" s="6">
        <v>-0.36699999999999999</v>
      </c>
      <c r="M261" s="6">
        <v>-0.36699999999999999</v>
      </c>
      <c r="N261" s="6">
        <v>-0.36699999999999999</v>
      </c>
      <c r="O261" s="6">
        <v>-0.36699999999999999</v>
      </c>
      <c r="P261" s="6">
        <v>0</v>
      </c>
      <c r="Q261" s="4" t="s">
        <v>26</v>
      </c>
      <c r="R261" s="4">
        <v>0</v>
      </c>
      <c r="S261" s="6">
        <v>0</v>
      </c>
      <c r="T261" s="6">
        <v>11</v>
      </c>
      <c r="U261" s="6">
        <v>88</v>
      </c>
      <c r="V261" s="6">
        <f>IF(ISERROR(VLOOKUP($S$261,'TAR FIN'!$A$1:$O$91,15,0)),0,VLOOKUP($S$261,'TAR FIN'!$A$1:$O$91,15,0))</f>
        <v>0</v>
      </c>
      <c r="W261" s="6">
        <f>IF(ISERROR(VLOOKUP($T$261,'TAR FIN'!$A$1:$O$91,15,0)),0,VLOOKUP($T$261,'TAR FIN'!$A$1:$O$91,15,0))</f>
        <v>269.06</v>
      </c>
      <c r="X261" s="6">
        <f>IF(ISERROR(VLOOKUP($U$261,'TAR FIN'!$A$1:$O$91,15,0)),0,VLOOKUP($U$261,'TAR FIN'!$A$1:$O$91,15,0))</f>
        <v>133.97</v>
      </c>
      <c r="Y261" s="6"/>
      <c r="Z261" s="6">
        <f ca="1">('TUSD BE'!$AM$24+'TUSD BF'!$AM$24+'TUSD CVA'!$AM$24)*1</f>
        <v>343.81469354767324</v>
      </c>
      <c r="AA261" s="6">
        <f>('TE BE'!$AB$12+'TE BF'!$AB$12+'TE CVA'!$AB$12)*1</f>
        <v>114.76529888966962</v>
      </c>
      <c r="AB261" s="6">
        <f>$K$261*$V$261</f>
        <v>0</v>
      </c>
      <c r="AC261" s="6">
        <f>$M$261*$W$261</f>
        <v>-98.745019999999997</v>
      </c>
      <c r="AD261" s="6">
        <f>$O$261*$X$261</f>
        <v>-49.166989999999998</v>
      </c>
      <c r="AE261" s="6">
        <f>$K$261*$Y$261</f>
        <v>0</v>
      </c>
      <c r="AF261" s="6">
        <f ca="1">$M$261*$Z$261</f>
        <v>-126.17999253199608</v>
      </c>
      <c r="AG261" s="6">
        <f>$O$261*$AA$261</f>
        <v>-42.118864692508751</v>
      </c>
    </row>
    <row r="262" spans="1:33" ht="11.25" customHeight="1" x14ac:dyDescent="0.25">
      <c r="A262" s="4" t="s">
        <v>28</v>
      </c>
      <c r="B262" s="4" t="s">
        <v>22</v>
      </c>
      <c r="C262" s="4" t="s">
        <v>23</v>
      </c>
      <c r="D262" s="4" t="s">
        <v>24</v>
      </c>
      <c r="E262" s="4" t="s">
        <v>24</v>
      </c>
      <c r="F262" s="4" t="s">
        <v>25</v>
      </c>
      <c r="G262" s="4" t="s">
        <v>25</v>
      </c>
      <c r="H262" s="4" t="s">
        <v>25</v>
      </c>
      <c r="I262" s="5">
        <v>44743</v>
      </c>
      <c r="J262" s="6">
        <v>0</v>
      </c>
      <c r="K262" s="6">
        <v>0</v>
      </c>
      <c r="L262" s="6">
        <v>39.75</v>
      </c>
      <c r="M262" s="6">
        <v>39.75</v>
      </c>
      <c r="N262" s="6">
        <v>39.75</v>
      </c>
      <c r="O262" s="6">
        <v>39.75</v>
      </c>
      <c r="P262" s="6">
        <v>92</v>
      </c>
      <c r="Q262" s="4" t="s">
        <v>26</v>
      </c>
      <c r="R262" s="4">
        <v>0</v>
      </c>
      <c r="S262" s="6">
        <v>0</v>
      </c>
      <c r="T262" s="6">
        <v>11</v>
      </c>
      <c r="U262" s="6">
        <v>88</v>
      </c>
      <c r="V262" s="6">
        <f>IF(ISERROR(VLOOKUP($S$262,'TAR FIN'!$A$1:$O$91,15,0)),0,VLOOKUP($S$262,'TAR FIN'!$A$1:$O$91,15,0))</f>
        <v>0</v>
      </c>
      <c r="W262" s="6">
        <f>IF(ISERROR(VLOOKUP($T$262,'TAR FIN'!$A$1:$O$91,15,0)),0,VLOOKUP($T$262,'TAR FIN'!$A$1:$O$91,15,0))</f>
        <v>269.06</v>
      </c>
      <c r="X262" s="6">
        <f>IF(ISERROR(VLOOKUP($U$262,'TAR FIN'!$A$1:$O$91,15,0)),0,VLOOKUP($U$262,'TAR FIN'!$A$1:$O$91,15,0))</f>
        <v>133.97</v>
      </c>
      <c r="Y262" s="6"/>
      <c r="Z262" s="6">
        <f ca="1">('TUSD BE'!$AM$24+'TUSD BF'!$AM$24+'TUSD CVA'!$AM$24)*1</f>
        <v>343.81469354767324</v>
      </c>
      <c r="AA262" s="6">
        <f>('TE BE'!$AB$12+'TE BF'!$AB$12+'TE CVA'!$AB$12)*1</f>
        <v>114.76529888966962</v>
      </c>
      <c r="AB262" s="6">
        <f>$K$262*$V$262</f>
        <v>0</v>
      </c>
      <c r="AC262" s="6">
        <f>$M$262*$W$262</f>
        <v>10695.135</v>
      </c>
      <c r="AD262" s="6">
        <f>$O$262*$X$262</f>
        <v>5325.3074999999999</v>
      </c>
      <c r="AE262" s="6">
        <f>$K$262*$Y$262</f>
        <v>0</v>
      </c>
      <c r="AF262" s="6">
        <f ca="1">$M$262*$Z$262</f>
        <v>13666.634068520012</v>
      </c>
      <c r="AG262" s="6">
        <f>$O$262*$AA$262</f>
        <v>4561.9206308643679</v>
      </c>
    </row>
    <row r="263" spans="1:33" ht="11.25" customHeight="1" x14ac:dyDescent="0.25">
      <c r="A263" s="4" t="s">
        <v>57</v>
      </c>
      <c r="B263" s="4" t="s">
        <v>22</v>
      </c>
      <c r="C263" s="4" t="s">
        <v>23</v>
      </c>
      <c r="D263" s="4" t="s">
        <v>24</v>
      </c>
      <c r="E263" s="4" t="s">
        <v>24</v>
      </c>
      <c r="F263" s="4" t="s">
        <v>25</v>
      </c>
      <c r="G263" s="4" t="s">
        <v>25</v>
      </c>
      <c r="H263" s="4" t="s">
        <v>25</v>
      </c>
      <c r="I263" s="5">
        <v>44774</v>
      </c>
      <c r="J263" s="6">
        <v>0</v>
      </c>
      <c r="K263" s="6">
        <v>0</v>
      </c>
      <c r="L263" s="6">
        <v>4603.3459999999995</v>
      </c>
      <c r="M263" s="6">
        <v>4603.3459999999995</v>
      </c>
      <c r="N263" s="6">
        <v>4603.3459999999995</v>
      </c>
      <c r="O263" s="6">
        <v>4603.3459999999995</v>
      </c>
      <c r="P263" s="6">
        <v>20670</v>
      </c>
      <c r="Q263" s="4" t="s">
        <v>26</v>
      </c>
      <c r="R263" s="4">
        <v>0</v>
      </c>
      <c r="S263" s="6">
        <v>0</v>
      </c>
      <c r="T263" s="6">
        <v>11</v>
      </c>
      <c r="U263" s="6">
        <v>88</v>
      </c>
      <c r="V263" s="6">
        <f>IF(ISERROR(VLOOKUP($S$263,'TAR FIN'!$A$1:$O$91,15,0)),0,VLOOKUP($S$263,'TAR FIN'!$A$1:$O$91,15,0))</f>
        <v>0</v>
      </c>
      <c r="W263" s="6">
        <f>IF(ISERROR(VLOOKUP($T$263,'TAR FIN'!$A$1:$O$91,15,0)),0,VLOOKUP($T$263,'TAR FIN'!$A$1:$O$91,15,0))</f>
        <v>269.06</v>
      </c>
      <c r="X263" s="6">
        <f>IF(ISERROR(VLOOKUP($U$263,'TAR FIN'!$A$1:$O$91,15,0)),0,VLOOKUP($U$263,'TAR FIN'!$A$1:$O$91,15,0))</f>
        <v>133.97</v>
      </c>
      <c r="Y263" s="6"/>
      <c r="Z263" s="6">
        <f ca="1">('TUSD BE'!$AM$24+'TUSD BF'!$AM$24+'TUSD CVA'!$AM$24)*1</f>
        <v>343.81469354767324</v>
      </c>
      <c r="AA263" s="6">
        <f>('TE BE'!$AB$12+'TE BF'!$AB$12+'TE CVA'!$AB$12)*1</f>
        <v>114.76529888966962</v>
      </c>
      <c r="AB263" s="6">
        <f>$K$263*$V$263</f>
        <v>0</v>
      </c>
      <c r="AC263" s="6">
        <f>$M$263*$W$263</f>
        <v>1238576.2747599999</v>
      </c>
      <c r="AD263" s="6">
        <f>$O$263*$X$263</f>
        <v>616710.26361999998</v>
      </c>
      <c r="AE263" s="6">
        <f>$K$263*$Y$263</f>
        <v>0</v>
      </c>
      <c r="AF263" s="6">
        <f ca="1">$M$263*$Z$263</f>
        <v>1582697.9942839073</v>
      </c>
      <c r="AG263" s="6">
        <f>$O$263*$AA$263</f>
        <v>528304.37958256504</v>
      </c>
    </row>
    <row r="264" spans="1:33" ht="11.25" customHeight="1" x14ac:dyDescent="0.25">
      <c r="A264" s="4" t="s">
        <v>57</v>
      </c>
      <c r="B264" s="4" t="s">
        <v>22</v>
      </c>
      <c r="C264" s="4" t="s">
        <v>23</v>
      </c>
      <c r="D264" s="4" t="s">
        <v>24</v>
      </c>
      <c r="E264" s="4" t="s">
        <v>24</v>
      </c>
      <c r="F264" s="4" t="s">
        <v>25</v>
      </c>
      <c r="G264" s="4" t="s">
        <v>25</v>
      </c>
      <c r="H264" s="4" t="s">
        <v>25</v>
      </c>
      <c r="I264" s="5">
        <v>44774</v>
      </c>
      <c r="J264" s="6">
        <v>0</v>
      </c>
      <c r="K264" s="6">
        <v>0</v>
      </c>
      <c r="L264" s="6">
        <v>-0.36699999999999999</v>
      </c>
      <c r="M264" s="6">
        <v>-0.36699999999999999</v>
      </c>
      <c r="N264" s="6">
        <v>-0.36699999999999999</v>
      </c>
      <c r="O264" s="6">
        <v>-0.36699999999999999</v>
      </c>
      <c r="P264" s="6">
        <v>0</v>
      </c>
      <c r="Q264" s="4" t="s">
        <v>26</v>
      </c>
      <c r="R264" s="4">
        <v>0</v>
      </c>
      <c r="S264" s="6">
        <v>0</v>
      </c>
      <c r="T264" s="6">
        <v>11</v>
      </c>
      <c r="U264" s="6">
        <v>88</v>
      </c>
      <c r="V264" s="6">
        <f>IF(ISERROR(VLOOKUP($S$264,'TAR FIN'!$A$1:$O$91,15,0)),0,VLOOKUP($S$264,'TAR FIN'!$A$1:$O$91,15,0))</f>
        <v>0</v>
      </c>
      <c r="W264" s="6">
        <f>IF(ISERROR(VLOOKUP($T$264,'TAR FIN'!$A$1:$O$91,15,0)),0,VLOOKUP($T$264,'TAR FIN'!$A$1:$O$91,15,0))</f>
        <v>269.06</v>
      </c>
      <c r="X264" s="6">
        <f>IF(ISERROR(VLOOKUP($U$264,'TAR FIN'!$A$1:$O$91,15,0)),0,VLOOKUP($U$264,'TAR FIN'!$A$1:$O$91,15,0))</f>
        <v>133.97</v>
      </c>
      <c r="Y264" s="6"/>
      <c r="Z264" s="6">
        <f ca="1">('TUSD BE'!$AM$24+'TUSD BF'!$AM$24+'TUSD CVA'!$AM$24)*1</f>
        <v>343.81469354767324</v>
      </c>
      <c r="AA264" s="6">
        <f>('TE BE'!$AB$12+'TE BF'!$AB$12+'TE CVA'!$AB$12)*1</f>
        <v>114.76529888966962</v>
      </c>
      <c r="AB264" s="6">
        <f>$K$264*$V$264</f>
        <v>0</v>
      </c>
      <c r="AC264" s="6">
        <f>$M$264*$W$264</f>
        <v>-98.745019999999997</v>
      </c>
      <c r="AD264" s="6">
        <f>$O$264*$X$264</f>
        <v>-49.166989999999998</v>
      </c>
      <c r="AE264" s="6">
        <f>$K$264*$Y$264</f>
        <v>0</v>
      </c>
      <c r="AF264" s="6">
        <f ca="1">$M$264*$Z$264</f>
        <v>-126.17999253199608</v>
      </c>
      <c r="AG264" s="6">
        <f>$O$264*$AA$264</f>
        <v>-42.118864692508751</v>
      </c>
    </row>
    <row r="265" spans="1:33" ht="11.25" customHeight="1" x14ac:dyDescent="0.25">
      <c r="A265" s="4" t="s">
        <v>57</v>
      </c>
      <c r="B265" s="4" t="s">
        <v>22</v>
      </c>
      <c r="C265" s="4" t="s">
        <v>23</v>
      </c>
      <c r="D265" s="4" t="s">
        <v>24</v>
      </c>
      <c r="E265" s="4" t="s">
        <v>24</v>
      </c>
      <c r="F265" s="4" t="s">
        <v>25</v>
      </c>
      <c r="G265" s="4" t="s">
        <v>25</v>
      </c>
      <c r="H265" s="4" t="s">
        <v>25</v>
      </c>
      <c r="I265" s="5">
        <v>44774</v>
      </c>
      <c r="J265" s="6">
        <v>0</v>
      </c>
      <c r="K265" s="6">
        <v>0</v>
      </c>
      <c r="L265" s="6">
        <v>39.75</v>
      </c>
      <c r="M265" s="6">
        <v>39.75</v>
      </c>
      <c r="N265" s="6">
        <v>39.75</v>
      </c>
      <c r="O265" s="6">
        <v>39.75</v>
      </c>
      <c r="P265" s="6">
        <v>92</v>
      </c>
      <c r="Q265" s="4" t="s">
        <v>26</v>
      </c>
      <c r="R265" s="4">
        <v>0</v>
      </c>
      <c r="S265" s="6">
        <v>0</v>
      </c>
      <c r="T265" s="6">
        <v>11</v>
      </c>
      <c r="U265" s="6">
        <v>88</v>
      </c>
      <c r="V265" s="6">
        <f>IF(ISERROR(VLOOKUP($S$265,'TAR FIN'!$A$1:$O$91,15,0)),0,VLOOKUP($S$265,'TAR FIN'!$A$1:$O$91,15,0))</f>
        <v>0</v>
      </c>
      <c r="W265" s="6">
        <f>IF(ISERROR(VLOOKUP($T$265,'TAR FIN'!$A$1:$O$91,15,0)),0,VLOOKUP($T$265,'TAR FIN'!$A$1:$O$91,15,0))</f>
        <v>269.06</v>
      </c>
      <c r="X265" s="6">
        <f>IF(ISERROR(VLOOKUP($U$265,'TAR FIN'!$A$1:$O$91,15,0)),0,VLOOKUP($U$265,'TAR FIN'!$A$1:$O$91,15,0))</f>
        <v>133.97</v>
      </c>
      <c r="Y265" s="6"/>
      <c r="Z265" s="6">
        <f ca="1">('TUSD BE'!$AM$24+'TUSD BF'!$AM$24+'TUSD CVA'!$AM$24)*1</f>
        <v>343.81469354767324</v>
      </c>
      <c r="AA265" s="6">
        <f>('TE BE'!$AB$12+'TE BF'!$AB$12+'TE CVA'!$AB$12)*1</f>
        <v>114.76529888966962</v>
      </c>
      <c r="AB265" s="6">
        <f>$K$265*$V$265</f>
        <v>0</v>
      </c>
      <c r="AC265" s="6">
        <f>$M$265*$W$265</f>
        <v>10695.135</v>
      </c>
      <c r="AD265" s="6">
        <f>$O$265*$X$265</f>
        <v>5325.3074999999999</v>
      </c>
      <c r="AE265" s="6">
        <f>$K$265*$Y$265</f>
        <v>0</v>
      </c>
      <c r="AF265" s="6">
        <f ca="1">$M$265*$Z$265</f>
        <v>13666.634068520012</v>
      </c>
      <c r="AG265" s="6">
        <f>$O$265*$AA$265</f>
        <v>4561.9206308643679</v>
      </c>
    </row>
    <row r="266" spans="1:3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29</v>
      </c>
      <c r="F266" s="4" t="s">
        <v>25</v>
      </c>
      <c r="G266" s="4" t="s">
        <v>25</v>
      </c>
      <c r="H266" s="4" t="s">
        <v>25</v>
      </c>
      <c r="I266" s="5">
        <v>44440</v>
      </c>
      <c r="J266" s="6">
        <v>0</v>
      </c>
      <c r="K266" s="6">
        <v>0</v>
      </c>
      <c r="L266" s="6">
        <v>12.63</v>
      </c>
      <c r="M266" s="6">
        <v>12.63</v>
      </c>
      <c r="N266" s="6">
        <v>12.63</v>
      </c>
      <c r="O266" s="6">
        <v>12.63</v>
      </c>
      <c r="P266" s="6">
        <v>10</v>
      </c>
      <c r="Q266" s="4" t="s">
        <v>26</v>
      </c>
      <c r="R266" s="4">
        <v>0</v>
      </c>
      <c r="S266" s="6">
        <v>0</v>
      </c>
      <c r="T266" s="6">
        <v>6</v>
      </c>
      <c r="U266" s="6">
        <v>67</v>
      </c>
      <c r="V266" s="6">
        <f>IF(ISERROR(VLOOKUP($S$266,'TAR FIN'!$A$1:$O$91,15,0)),0,VLOOKUP($S$266,'TAR FIN'!$A$1:$O$91,15,0))</f>
        <v>0</v>
      </c>
      <c r="W266" s="6">
        <f>IF(ISERROR(VLOOKUP($T$266,'TAR FIN'!$A$1:$O$91,15,0)),0,VLOOKUP($T$266,'TAR FIN'!$A$1:$O$91,15,0))</f>
        <v>60.53</v>
      </c>
      <c r="X266" s="6">
        <f>IF(ISERROR(VLOOKUP($U$266,'TAR FIN'!$A$1:$O$91,15,0)),0,VLOOKUP($U$266,'TAR FIN'!$A$1:$O$91,15,0))</f>
        <v>46.89</v>
      </c>
      <c r="Y266" s="6"/>
      <c r="Z266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66" s="6">
        <f>('TE BE'!$AB$13+'TE BF'!$AB$13+'TE CVA'!$AB$13)*(1-CUSTOS!$M$34)</f>
        <v>40.167854611384364</v>
      </c>
      <c r="AB266" s="6">
        <f>$K$266*$V$266</f>
        <v>0</v>
      </c>
      <c r="AC266" s="6">
        <f>$M$266*$W$266</f>
        <v>764.49390000000005</v>
      </c>
      <c r="AD266" s="6">
        <f>$O$266*$X$266</f>
        <v>592.22070000000008</v>
      </c>
      <c r="AE266" s="6">
        <f>$K$266*$Y$266</f>
        <v>0</v>
      </c>
      <c r="AF266" s="6">
        <f ca="1">$M$266*$Z$266</f>
        <v>918.20498303728868</v>
      </c>
      <c r="AG266" s="6">
        <f>$O$266*$AA$266</f>
        <v>507.32000374178455</v>
      </c>
    </row>
    <row r="267" spans="1:3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29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12.9</v>
      </c>
      <c r="M267" s="6">
        <v>12.9</v>
      </c>
      <c r="N267" s="6">
        <v>12.9</v>
      </c>
      <c r="O267" s="6">
        <v>12.9</v>
      </c>
      <c r="P267" s="6">
        <v>9</v>
      </c>
      <c r="Q267" s="4" t="s">
        <v>26</v>
      </c>
      <c r="R267" s="4">
        <v>0</v>
      </c>
      <c r="S267" s="6">
        <v>0</v>
      </c>
      <c r="T267" s="6">
        <v>6</v>
      </c>
      <c r="U267" s="6">
        <v>67</v>
      </c>
      <c r="V267" s="6">
        <f>IF(ISERROR(VLOOKUP($S$267,'TAR FIN'!$A$1:$O$91,15,0)),0,VLOOKUP($S$267,'TAR FIN'!$A$1:$O$91,15,0))</f>
        <v>0</v>
      </c>
      <c r="W267" s="6">
        <f>IF(ISERROR(VLOOKUP($T$267,'TAR FIN'!$A$1:$O$91,15,0)),0,VLOOKUP($T$267,'TAR FIN'!$A$1:$O$91,15,0))</f>
        <v>60.53</v>
      </c>
      <c r="X267" s="6">
        <f>IF(ISERROR(VLOOKUP($U$267,'TAR FIN'!$A$1:$O$91,15,0)),0,VLOOKUP($U$267,'TAR FIN'!$A$1:$O$91,15,0))</f>
        <v>46.89</v>
      </c>
      <c r="Y267" s="6"/>
      <c r="Z267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67" s="6">
        <f>('TE BE'!$AB$13+'TE BF'!$AB$13+'TE CVA'!$AB$13)*(1-CUSTOS!$M$34)</f>
        <v>40.167854611384364</v>
      </c>
      <c r="AB267" s="6">
        <f>$K$267*$V$267</f>
        <v>0</v>
      </c>
      <c r="AC267" s="6">
        <f>$M$267*$W$267</f>
        <v>780.83699999999999</v>
      </c>
      <c r="AD267" s="6">
        <f>$O$267*$X$267</f>
        <v>604.88099999999997</v>
      </c>
      <c r="AE267" s="6">
        <f>$K$267*$Y$267</f>
        <v>0</v>
      </c>
      <c r="AF267" s="6">
        <f ca="1">$M$267*$Z$267</f>
        <v>937.83406818535411</v>
      </c>
      <c r="AG267" s="6">
        <f>$O$267*$AA$267</f>
        <v>518.16532448685825</v>
      </c>
    </row>
    <row r="268" spans="1:3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29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13.145</v>
      </c>
      <c r="M268" s="6">
        <v>13.145</v>
      </c>
      <c r="N268" s="6">
        <v>13.145</v>
      </c>
      <c r="O268" s="6">
        <v>13.145</v>
      </c>
      <c r="P268" s="6">
        <v>10</v>
      </c>
      <c r="Q268" s="4" t="s">
        <v>26</v>
      </c>
      <c r="R268" s="4">
        <v>0</v>
      </c>
      <c r="S268" s="6">
        <v>0</v>
      </c>
      <c r="T268" s="6">
        <v>6</v>
      </c>
      <c r="U268" s="6">
        <v>67</v>
      </c>
      <c r="V268" s="6">
        <f>IF(ISERROR(VLOOKUP($S$268,'TAR FIN'!$A$1:$O$91,15,0)),0,VLOOKUP($S$268,'TAR FIN'!$A$1:$O$91,15,0))</f>
        <v>0</v>
      </c>
      <c r="W268" s="6">
        <f>IF(ISERROR(VLOOKUP($T$268,'TAR FIN'!$A$1:$O$91,15,0)),0,VLOOKUP($T$268,'TAR FIN'!$A$1:$O$91,15,0))</f>
        <v>60.53</v>
      </c>
      <c r="X268" s="6">
        <f>IF(ISERROR(VLOOKUP($U$268,'TAR FIN'!$A$1:$O$91,15,0)),0,VLOOKUP($U$268,'TAR FIN'!$A$1:$O$91,15,0))</f>
        <v>46.89</v>
      </c>
      <c r="Y268" s="6"/>
      <c r="Z268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68" s="6">
        <f>('TE BE'!$AB$13+'TE BF'!$AB$13+'TE CVA'!$AB$13)*(1-CUSTOS!$M$34)</f>
        <v>40.167854611384364</v>
      </c>
      <c r="AB268" s="6">
        <f>$K$268*$V$268</f>
        <v>0</v>
      </c>
      <c r="AC268" s="6">
        <f>$M$268*$W$268</f>
        <v>795.66684999999995</v>
      </c>
      <c r="AD268" s="6">
        <f>$O$268*$X$268</f>
        <v>616.36905000000002</v>
      </c>
      <c r="AE268" s="6">
        <f>$K$268*$Y$268</f>
        <v>0</v>
      </c>
      <c r="AF268" s="6">
        <f ca="1">$M$268*$Z$268</f>
        <v>955.64564544933955</v>
      </c>
      <c r="AG268" s="6">
        <f>$O$268*$AA$268</f>
        <v>528.00644886664747</v>
      </c>
    </row>
    <row r="269" spans="1:3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29</v>
      </c>
      <c r="F269" s="4" t="s">
        <v>25</v>
      </c>
      <c r="G269" s="4" t="s">
        <v>25</v>
      </c>
      <c r="H269" s="4" t="s">
        <v>25</v>
      </c>
      <c r="I269" s="5">
        <v>44531</v>
      </c>
      <c r="J269" s="6">
        <v>0</v>
      </c>
      <c r="K269" s="6">
        <v>0</v>
      </c>
      <c r="L269" s="6">
        <v>13.44</v>
      </c>
      <c r="M269" s="6">
        <v>13.44</v>
      </c>
      <c r="N269" s="6">
        <v>13.44</v>
      </c>
      <c r="O269" s="6">
        <v>13.44</v>
      </c>
      <c r="P269" s="6">
        <v>13</v>
      </c>
      <c r="Q269" s="4" t="s">
        <v>26</v>
      </c>
      <c r="R269" s="4">
        <v>0</v>
      </c>
      <c r="S269" s="6">
        <v>0</v>
      </c>
      <c r="T269" s="6">
        <v>6</v>
      </c>
      <c r="U269" s="6">
        <v>67</v>
      </c>
      <c r="V269" s="6">
        <f>IF(ISERROR(VLOOKUP($S$269,'TAR FIN'!$A$1:$O$91,15,0)),0,VLOOKUP($S$269,'TAR FIN'!$A$1:$O$91,15,0))</f>
        <v>0</v>
      </c>
      <c r="W269" s="6">
        <f>IF(ISERROR(VLOOKUP($T$269,'TAR FIN'!$A$1:$O$91,15,0)),0,VLOOKUP($T$269,'TAR FIN'!$A$1:$O$91,15,0))</f>
        <v>60.53</v>
      </c>
      <c r="X269" s="6">
        <f>IF(ISERROR(VLOOKUP($U$269,'TAR FIN'!$A$1:$O$91,15,0)),0,VLOOKUP($U$269,'TAR FIN'!$A$1:$O$91,15,0))</f>
        <v>46.89</v>
      </c>
      <c r="Y269" s="6"/>
      <c r="Z269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69" s="6">
        <f>('TE BE'!$AB$13+'TE BF'!$AB$13+'TE CVA'!$AB$13)*(1-CUSTOS!$M$34)</f>
        <v>40.167854611384364</v>
      </c>
      <c r="AB269" s="6">
        <f>$K$269*$V$269</f>
        <v>0</v>
      </c>
      <c r="AC269" s="6">
        <f>$M$269*$W$269</f>
        <v>813.52319999999997</v>
      </c>
      <c r="AD269" s="6">
        <f>$O$269*$X$269</f>
        <v>630.20159999999998</v>
      </c>
      <c r="AE269" s="6">
        <f>$K$269*$Y$269</f>
        <v>0</v>
      </c>
      <c r="AF269" s="6">
        <f ca="1">$M$269*$Z$269</f>
        <v>977.0922384814852</v>
      </c>
      <c r="AG269" s="6">
        <f>$O$269*$AA$269</f>
        <v>539.85596597700578</v>
      </c>
    </row>
    <row r="270" spans="1:33" ht="11.25" customHeight="1" x14ac:dyDescent="0.25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29</v>
      </c>
      <c r="F270" s="4" t="s">
        <v>25</v>
      </c>
      <c r="G270" s="4" t="s">
        <v>25</v>
      </c>
      <c r="H270" s="4" t="s">
        <v>25</v>
      </c>
      <c r="I270" s="5">
        <v>44562</v>
      </c>
      <c r="J270" s="6">
        <v>0</v>
      </c>
      <c r="K270" s="6">
        <v>0</v>
      </c>
      <c r="L270" s="6">
        <v>13.53</v>
      </c>
      <c r="M270" s="6">
        <v>13.53</v>
      </c>
      <c r="N270" s="6">
        <v>13.53</v>
      </c>
      <c r="O270" s="6">
        <v>13.53</v>
      </c>
      <c r="P270" s="6">
        <v>7</v>
      </c>
      <c r="Q270" s="4" t="s">
        <v>26</v>
      </c>
      <c r="R270" s="4">
        <v>0</v>
      </c>
      <c r="S270" s="6">
        <v>0</v>
      </c>
      <c r="T270" s="6">
        <v>6</v>
      </c>
      <c r="U270" s="6">
        <v>67</v>
      </c>
      <c r="V270" s="6">
        <f>IF(ISERROR(VLOOKUP($S$270,'TAR FIN'!$A$1:$O$91,15,0)),0,VLOOKUP($S$270,'TAR FIN'!$A$1:$O$91,15,0))</f>
        <v>0</v>
      </c>
      <c r="W270" s="6">
        <f>IF(ISERROR(VLOOKUP($T$270,'TAR FIN'!$A$1:$O$91,15,0)),0,VLOOKUP($T$270,'TAR FIN'!$A$1:$O$91,15,0))</f>
        <v>60.53</v>
      </c>
      <c r="X270" s="6">
        <f>IF(ISERROR(VLOOKUP($U$270,'TAR FIN'!$A$1:$O$91,15,0)),0,VLOOKUP($U$270,'TAR FIN'!$A$1:$O$91,15,0))</f>
        <v>46.89</v>
      </c>
      <c r="Y270" s="6"/>
      <c r="Z270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0" s="6">
        <f>('TE BE'!$AB$13+'TE BF'!$AB$13+'TE CVA'!$AB$13)*(1-CUSTOS!$M$34)</f>
        <v>40.167854611384364</v>
      </c>
      <c r="AB270" s="6">
        <f>$K$270*$V$270</f>
        <v>0</v>
      </c>
      <c r="AC270" s="6">
        <f>$M$270*$W$270</f>
        <v>818.97090000000003</v>
      </c>
      <c r="AD270" s="6">
        <f>$O$270*$X$270</f>
        <v>634.42169999999999</v>
      </c>
      <c r="AE270" s="6">
        <f>$K$270*$Y$270</f>
        <v>0</v>
      </c>
      <c r="AF270" s="6">
        <f ca="1">$M$270*$Z$270</f>
        <v>983.63526686417367</v>
      </c>
      <c r="AG270" s="6">
        <f>$O$270*$AA$270</f>
        <v>543.47107289203041</v>
      </c>
    </row>
    <row r="271" spans="1:3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29</v>
      </c>
      <c r="F271" s="4" t="s">
        <v>25</v>
      </c>
      <c r="G271" s="4" t="s">
        <v>25</v>
      </c>
      <c r="H271" s="4" t="s">
        <v>25</v>
      </c>
      <c r="I271" s="5">
        <v>44593</v>
      </c>
      <c r="J271" s="6">
        <v>0</v>
      </c>
      <c r="K271" s="6">
        <v>0</v>
      </c>
      <c r="L271" s="6">
        <v>14.97</v>
      </c>
      <c r="M271" s="6">
        <v>14.97</v>
      </c>
      <c r="N271" s="6">
        <v>14.97</v>
      </c>
      <c r="O271" s="6">
        <v>14.97</v>
      </c>
      <c r="P271" s="6">
        <v>9</v>
      </c>
      <c r="Q271" s="4" t="s">
        <v>26</v>
      </c>
      <c r="R271" s="4">
        <v>0</v>
      </c>
      <c r="S271" s="6">
        <v>0</v>
      </c>
      <c r="T271" s="6">
        <v>6</v>
      </c>
      <c r="U271" s="6">
        <v>67</v>
      </c>
      <c r="V271" s="6">
        <f>IF(ISERROR(VLOOKUP($S$271,'TAR FIN'!$A$1:$O$91,15,0)),0,VLOOKUP($S$271,'TAR FIN'!$A$1:$O$91,15,0))</f>
        <v>0</v>
      </c>
      <c r="W271" s="6">
        <f>IF(ISERROR(VLOOKUP($T$271,'TAR FIN'!$A$1:$O$91,15,0)),0,VLOOKUP($T$271,'TAR FIN'!$A$1:$O$91,15,0))</f>
        <v>60.53</v>
      </c>
      <c r="X271" s="6">
        <f>IF(ISERROR(VLOOKUP($U$271,'TAR FIN'!$A$1:$O$91,15,0)),0,VLOOKUP($U$271,'TAR FIN'!$A$1:$O$91,15,0))</f>
        <v>46.89</v>
      </c>
      <c r="Y271" s="6"/>
      <c r="Z271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1" s="6">
        <f>('TE BE'!$AB$13+'TE BF'!$AB$13+'TE CVA'!$AB$13)*(1-CUSTOS!$M$34)</f>
        <v>40.167854611384364</v>
      </c>
      <c r="AB271" s="6">
        <f>$K$271*$V$271</f>
        <v>0</v>
      </c>
      <c r="AC271" s="6">
        <f>$M$271*$W$271</f>
        <v>906.1341000000001</v>
      </c>
      <c r="AD271" s="6">
        <f>$O$271*$X$271</f>
        <v>701.94330000000002</v>
      </c>
      <c r="AE271" s="6">
        <f>$K$271*$Y$271</f>
        <v>0</v>
      </c>
      <c r="AF271" s="6">
        <f ca="1">$M$271*$Z$271</f>
        <v>1088.32372098719</v>
      </c>
      <c r="AG271" s="6">
        <f>$O$271*$AA$271</f>
        <v>601.31278353242396</v>
      </c>
    </row>
    <row r="272" spans="1:3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29</v>
      </c>
      <c r="F272" s="4" t="s">
        <v>25</v>
      </c>
      <c r="G272" s="4" t="s">
        <v>25</v>
      </c>
      <c r="H272" s="4" t="s">
        <v>25</v>
      </c>
      <c r="I272" s="5">
        <v>44621</v>
      </c>
      <c r="J272" s="6">
        <v>0</v>
      </c>
      <c r="K272" s="6">
        <v>0</v>
      </c>
      <c r="L272" s="6">
        <v>19.440000000000001</v>
      </c>
      <c r="M272" s="6">
        <v>19.440000000000001</v>
      </c>
      <c r="N272" s="6">
        <v>19.440000000000001</v>
      </c>
      <c r="O272" s="6">
        <v>19.440000000000001</v>
      </c>
      <c r="P272" s="6">
        <v>12</v>
      </c>
      <c r="Q272" s="4" t="s">
        <v>26</v>
      </c>
      <c r="R272" s="4">
        <v>0</v>
      </c>
      <c r="S272" s="6">
        <v>0</v>
      </c>
      <c r="T272" s="6">
        <v>6</v>
      </c>
      <c r="U272" s="6">
        <v>67</v>
      </c>
      <c r="V272" s="6">
        <f>IF(ISERROR(VLOOKUP($S$272,'TAR FIN'!$A$1:$O$91,15,0)),0,VLOOKUP($S$272,'TAR FIN'!$A$1:$O$91,15,0))</f>
        <v>0</v>
      </c>
      <c r="W272" s="6">
        <f>IF(ISERROR(VLOOKUP($T$272,'TAR FIN'!$A$1:$O$91,15,0)),0,VLOOKUP($T$272,'TAR FIN'!$A$1:$O$91,15,0))</f>
        <v>60.53</v>
      </c>
      <c r="X272" s="6">
        <f>IF(ISERROR(VLOOKUP($U$272,'TAR FIN'!$A$1:$O$91,15,0)),0,VLOOKUP($U$272,'TAR FIN'!$A$1:$O$91,15,0))</f>
        <v>46.89</v>
      </c>
      <c r="Y272" s="6"/>
      <c r="Z272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2" s="6">
        <f>('TE BE'!$AB$13+'TE BF'!$AB$13+'TE CVA'!$AB$13)*(1-CUSTOS!$M$34)</f>
        <v>40.167854611384364</v>
      </c>
      <c r="AB272" s="6">
        <f>$K$272*$V$272</f>
        <v>0</v>
      </c>
      <c r="AC272" s="6">
        <f>$M$272*$W$272</f>
        <v>1176.7032000000002</v>
      </c>
      <c r="AD272" s="6">
        <f>$O$272*$X$272</f>
        <v>911.54160000000002</v>
      </c>
      <c r="AE272" s="6">
        <f>$K$272*$Y$272</f>
        <v>0</v>
      </c>
      <c r="AF272" s="6">
        <f ca="1">$M$272*$Z$272</f>
        <v>1413.2941306607197</v>
      </c>
      <c r="AG272" s="6">
        <f>$O$272*$AA$272</f>
        <v>780.86309364531212</v>
      </c>
    </row>
    <row r="273" spans="1:3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29</v>
      </c>
      <c r="F273" s="4" t="s">
        <v>25</v>
      </c>
      <c r="G273" s="4" t="s">
        <v>25</v>
      </c>
      <c r="H273" s="4" t="s">
        <v>25</v>
      </c>
      <c r="I273" s="5">
        <v>44652</v>
      </c>
      <c r="J273" s="6">
        <v>0</v>
      </c>
      <c r="K273" s="6">
        <v>0</v>
      </c>
      <c r="L273" s="6">
        <v>21.99</v>
      </c>
      <c r="M273" s="6">
        <v>21.99</v>
      </c>
      <c r="N273" s="6">
        <v>21.99</v>
      </c>
      <c r="O273" s="6">
        <v>21.99</v>
      </c>
      <c r="P273" s="6">
        <v>17</v>
      </c>
      <c r="Q273" s="4" t="s">
        <v>26</v>
      </c>
      <c r="R273" s="4">
        <v>0</v>
      </c>
      <c r="S273" s="6">
        <v>0</v>
      </c>
      <c r="T273" s="6">
        <v>6</v>
      </c>
      <c r="U273" s="6">
        <v>67</v>
      </c>
      <c r="V273" s="6">
        <f>IF(ISERROR(VLOOKUP($S$273,'TAR FIN'!$A$1:$O$91,15,0)),0,VLOOKUP($S$273,'TAR FIN'!$A$1:$O$91,15,0))</f>
        <v>0</v>
      </c>
      <c r="W273" s="6">
        <f>IF(ISERROR(VLOOKUP($T$273,'TAR FIN'!$A$1:$O$91,15,0)),0,VLOOKUP($T$273,'TAR FIN'!$A$1:$O$91,15,0))</f>
        <v>60.53</v>
      </c>
      <c r="X273" s="6">
        <f>IF(ISERROR(VLOOKUP($U$273,'TAR FIN'!$A$1:$O$91,15,0)),0,VLOOKUP($U$273,'TAR FIN'!$A$1:$O$91,15,0))</f>
        <v>46.89</v>
      </c>
      <c r="Y273" s="6"/>
      <c r="Z273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3" s="6">
        <f>('TE BE'!$AB$13+'TE BF'!$AB$13+'TE CVA'!$AB$13)*(1-CUSTOS!$M$34)</f>
        <v>40.167854611384364</v>
      </c>
      <c r="AB273" s="6">
        <f>$K$273*$V$273</f>
        <v>0</v>
      </c>
      <c r="AC273" s="6">
        <f>$M$273*$W$273</f>
        <v>1331.0546999999999</v>
      </c>
      <c r="AD273" s="6">
        <f>$O$273*$X$273</f>
        <v>1031.1110999999999</v>
      </c>
      <c r="AE273" s="6">
        <f>$K$273*$Y$273</f>
        <v>0</v>
      </c>
      <c r="AF273" s="6">
        <f ca="1">$M$273*$Z$273</f>
        <v>1598.6799348368943</v>
      </c>
      <c r="AG273" s="6">
        <f>$O$273*$AA$273</f>
        <v>883.29112290434205</v>
      </c>
    </row>
    <row r="274" spans="1:3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29</v>
      </c>
      <c r="F274" s="4" t="s">
        <v>25</v>
      </c>
      <c r="G274" s="4" t="s">
        <v>25</v>
      </c>
      <c r="H274" s="4" t="s">
        <v>25</v>
      </c>
      <c r="I274" s="5">
        <v>44682</v>
      </c>
      <c r="J274" s="6">
        <v>0</v>
      </c>
      <c r="K274" s="6">
        <v>0</v>
      </c>
      <c r="L274" s="6">
        <v>22.77</v>
      </c>
      <c r="M274" s="6">
        <v>22.77</v>
      </c>
      <c r="N274" s="6">
        <v>22.77</v>
      </c>
      <c r="O274" s="6">
        <v>22.77</v>
      </c>
      <c r="P274" s="6">
        <v>26</v>
      </c>
      <c r="Q274" s="4" t="s">
        <v>26</v>
      </c>
      <c r="R274" s="4">
        <v>0</v>
      </c>
      <c r="S274" s="6">
        <v>0</v>
      </c>
      <c r="T274" s="6">
        <v>6</v>
      </c>
      <c r="U274" s="6">
        <v>67</v>
      </c>
      <c r="V274" s="6">
        <f>IF(ISERROR(VLOOKUP($S$274,'TAR FIN'!$A$1:$O$91,15,0)),0,VLOOKUP($S$274,'TAR FIN'!$A$1:$O$91,15,0))</f>
        <v>0</v>
      </c>
      <c r="W274" s="6">
        <f>IF(ISERROR(VLOOKUP($T$274,'TAR FIN'!$A$1:$O$91,15,0)),0,VLOOKUP($T$274,'TAR FIN'!$A$1:$O$91,15,0))</f>
        <v>60.53</v>
      </c>
      <c r="X274" s="6">
        <f>IF(ISERROR(VLOOKUP($U$274,'TAR FIN'!$A$1:$O$91,15,0)),0,VLOOKUP($U$274,'TAR FIN'!$A$1:$O$91,15,0))</f>
        <v>46.89</v>
      </c>
      <c r="Y274" s="6"/>
      <c r="Z274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4" s="6">
        <f>('TE BE'!$AB$13+'TE BF'!$AB$13+'TE CVA'!$AB$13)*(1-CUSTOS!$M$34)</f>
        <v>40.167854611384364</v>
      </c>
      <c r="AB274" s="6">
        <f>$K$274*$V$274</f>
        <v>0</v>
      </c>
      <c r="AC274" s="6">
        <f>$M$274*$W$274</f>
        <v>1378.2681</v>
      </c>
      <c r="AD274" s="6">
        <f>$O$274*$X$274</f>
        <v>1067.6853000000001</v>
      </c>
      <c r="AE274" s="6">
        <f>$K$274*$Y$274</f>
        <v>0</v>
      </c>
      <c r="AF274" s="6">
        <f ca="1">$M$274*$Z$274</f>
        <v>1655.3861808201948</v>
      </c>
      <c r="AG274" s="6">
        <f>$O$274*$AA$274</f>
        <v>914.62204950122191</v>
      </c>
    </row>
    <row r="275" spans="1:3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29</v>
      </c>
      <c r="F275" s="4" t="s">
        <v>25</v>
      </c>
      <c r="G275" s="4" t="s">
        <v>25</v>
      </c>
      <c r="H275" s="4" t="s">
        <v>25</v>
      </c>
      <c r="I275" s="5">
        <v>44713</v>
      </c>
      <c r="J275" s="6">
        <v>0</v>
      </c>
      <c r="K275" s="6">
        <v>0</v>
      </c>
      <c r="L275" s="6">
        <v>22.44</v>
      </c>
      <c r="M275" s="6">
        <v>22.44</v>
      </c>
      <c r="N275" s="6">
        <v>22.44</v>
      </c>
      <c r="O275" s="6">
        <v>22.44</v>
      </c>
      <c r="P275" s="6">
        <v>23</v>
      </c>
      <c r="Q275" s="4" t="s">
        <v>26</v>
      </c>
      <c r="R275" s="4">
        <v>0</v>
      </c>
      <c r="S275" s="6">
        <v>0</v>
      </c>
      <c r="T275" s="6">
        <v>6</v>
      </c>
      <c r="U275" s="6">
        <v>67</v>
      </c>
      <c r="V275" s="6">
        <f>IF(ISERROR(VLOOKUP($S$275,'TAR FIN'!$A$1:$O$91,15,0)),0,VLOOKUP($S$275,'TAR FIN'!$A$1:$O$91,15,0))</f>
        <v>0</v>
      </c>
      <c r="W275" s="6">
        <f>IF(ISERROR(VLOOKUP($T$275,'TAR FIN'!$A$1:$O$91,15,0)),0,VLOOKUP($T$275,'TAR FIN'!$A$1:$O$91,15,0))</f>
        <v>60.53</v>
      </c>
      <c r="X275" s="6">
        <f>IF(ISERROR(VLOOKUP($U$275,'TAR FIN'!$A$1:$O$91,15,0)),0,VLOOKUP($U$275,'TAR FIN'!$A$1:$O$91,15,0))</f>
        <v>46.89</v>
      </c>
      <c r="Y275" s="6"/>
      <c r="Z275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5" s="6">
        <f>('TE BE'!$AB$13+'TE BF'!$AB$13+'TE CVA'!$AB$13)*(1-CUSTOS!$M$34)</f>
        <v>40.167854611384364</v>
      </c>
      <c r="AB275" s="6">
        <f>$K$275*$V$275</f>
        <v>0</v>
      </c>
      <c r="AC275" s="6">
        <f>$M$275*$W$275</f>
        <v>1358.2932000000001</v>
      </c>
      <c r="AD275" s="6">
        <f>$O$275*$X$275</f>
        <v>1052.2116000000001</v>
      </c>
      <c r="AE275" s="6">
        <f>$K$275*$Y$275</f>
        <v>0</v>
      </c>
      <c r="AF275" s="6">
        <f ca="1">$M$275*$Z$275</f>
        <v>1631.395076750337</v>
      </c>
      <c r="AG275" s="6">
        <f>$O$275*$AA$275</f>
        <v>901.36665747946518</v>
      </c>
    </row>
    <row r="276" spans="1:3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29</v>
      </c>
      <c r="F276" s="4" t="s">
        <v>25</v>
      </c>
      <c r="G276" s="4" t="s">
        <v>25</v>
      </c>
      <c r="H276" s="4" t="s">
        <v>25</v>
      </c>
      <c r="I276" s="5">
        <v>44743</v>
      </c>
      <c r="J276" s="6">
        <v>0</v>
      </c>
      <c r="K276" s="6">
        <v>0</v>
      </c>
      <c r="L276" s="6">
        <v>21.09</v>
      </c>
      <c r="M276" s="6">
        <v>21.09</v>
      </c>
      <c r="N276" s="6">
        <v>21.09</v>
      </c>
      <c r="O276" s="6">
        <v>21.09</v>
      </c>
      <c r="P276" s="6">
        <v>21</v>
      </c>
      <c r="Q276" s="4" t="s">
        <v>26</v>
      </c>
      <c r="R276" s="4">
        <v>0</v>
      </c>
      <c r="S276" s="6">
        <v>0</v>
      </c>
      <c r="T276" s="6">
        <v>6</v>
      </c>
      <c r="U276" s="6">
        <v>67</v>
      </c>
      <c r="V276" s="6">
        <f>IF(ISERROR(VLOOKUP($S$276,'TAR FIN'!$A$1:$O$91,15,0)),0,VLOOKUP($S$276,'TAR FIN'!$A$1:$O$91,15,0))</f>
        <v>0</v>
      </c>
      <c r="W276" s="6">
        <f>IF(ISERROR(VLOOKUP($T$276,'TAR FIN'!$A$1:$O$91,15,0)),0,VLOOKUP($T$276,'TAR FIN'!$A$1:$O$91,15,0))</f>
        <v>60.53</v>
      </c>
      <c r="X276" s="6">
        <f>IF(ISERROR(VLOOKUP($U$276,'TAR FIN'!$A$1:$O$91,15,0)),0,VLOOKUP($U$276,'TAR FIN'!$A$1:$O$91,15,0))</f>
        <v>46.89</v>
      </c>
      <c r="Y276" s="6"/>
      <c r="Z276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6" s="6">
        <f>('TE BE'!$AB$13+'TE BF'!$AB$13+'TE CVA'!$AB$13)*(1-CUSTOS!$M$34)</f>
        <v>40.167854611384364</v>
      </c>
      <c r="AB276" s="6">
        <f>$K$276*$V$276</f>
        <v>0</v>
      </c>
      <c r="AC276" s="6">
        <f>$M$276*$W$276</f>
        <v>1276.5777</v>
      </c>
      <c r="AD276" s="6">
        <f>$O$276*$X$276</f>
        <v>988.91010000000006</v>
      </c>
      <c r="AE276" s="6">
        <f>$K$276*$Y$276</f>
        <v>0</v>
      </c>
      <c r="AF276" s="6">
        <f ca="1">$M$276*$Z$276</f>
        <v>1533.2496510100091</v>
      </c>
      <c r="AG276" s="6">
        <f>$O$276*$AA$276</f>
        <v>847.14005375409624</v>
      </c>
    </row>
    <row r="277" spans="1:33" ht="11.25" customHeight="1" x14ac:dyDescent="0.25">
      <c r="A277" s="4" t="s">
        <v>57</v>
      </c>
      <c r="B277" s="4" t="s">
        <v>22</v>
      </c>
      <c r="C277" s="4" t="s">
        <v>23</v>
      </c>
      <c r="D277" s="4" t="s">
        <v>24</v>
      </c>
      <c r="E277" s="4" t="s">
        <v>29</v>
      </c>
      <c r="F277" s="4" t="s">
        <v>25</v>
      </c>
      <c r="G277" s="4" t="s">
        <v>25</v>
      </c>
      <c r="H277" s="4" t="s">
        <v>25</v>
      </c>
      <c r="I277" s="5">
        <v>44774</v>
      </c>
      <c r="J277" s="6">
        <v>0</v>
      </c>
      <c r="K277" s="6">
        <v>0</v>
      </c>
      <c r="L277" s="6">
        <v>21.09</v>
      </c>
      <c r="M277" s="6">
        <v>21.09</v>
      </c>
      <c r="N277" s="6">
        <v>21.09</v>
      </c>
      <c r="O277" s="6">
        <v>21.09</v>
      </c>
      <c r="P277" s="6">
        <v>21</v>
      </c>
      <c r="Q277" s="4" t="s">
        <v>26</v>
      </c>
      <c r="R277" s="4">
        <v>0</v>
      </c>
      <c r="S277" s="6">
        <v>0</v>
      </c>
      <c r="T277" s="6">
        <v>6</v>
      </c>
      <c r="U277" s="6">
        <v>67</v>
      </c>
      <c r="V277" s="6">
        <f>IF(ISERROR(VLOOKUP($S$277,'TAR FIN'!$A$1:$O$91,15,0)),0,VLOOKUP($S$277,'TAR FIN'!$A$1:$O$91,15,0))</f>
        <v>0</v>
      </c>
      <c r="W277" s="6">
        <f>IF(ISERROR(VLOOKUP($T$277,'TAR FIN'!$A$1:$O$91,15,0)),0,VLOOKUP($T$277,'TAR FIN'!$A$1:$O$91,15,0))</f>
        <v>60.53</v>
      </c>
      <c r="X277" s="6">
        <f>IF(ISERROR(VLOOKUP($U$277,'TAR FIN'!$A$1:$O$91,15,0)),0,VLOOKUP($U$277,'TAR FIN'!$A$1:$O$91,15,0))</f>
        <v>46.89</v>
      </c>
      <c r="Y277" s="6"/>
      <c r="Z277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7" s="6">
        <f>('TE BE'!$AB$13+'TE BF'!$AB$13+'TE CVA'!$AB$13)*(1-CUSTOS!$M$34)</f>
        <v>40.167854611384364</v>
      </c>
      <c r="AB277" s="6">
        <f>$K$277*$V$277</f>
        <v>0</v>
      </c>
      <c r="AC277" s="6">
        <f>$M$277*$W$277</f>
        <v>1276.5777</v>
      </c>
      <c r="AD277" s="6">
        <f>$O$277*$X$277</f>
        <v>988.91010000000006</v>
      </c>
      <c r="AE277" s="6">
        <f>$K$277*$Y$277</f>
        <v>0</v>
      </c>
      <c r="AF277" s="6">
        <f ca="1">$M$277*$Z$277</f>
        <v>1533.2496510100091</v>
      </c>
      <c r="AG277" s="6">
        <f>$O$277*$AA$277</f>
        <v>847.14005375409624</v>
      </c>
    </row>
    <row r="278" spans="1:3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30</v>
      </c>
      <c r="F278" s="4" t="s">
        <v>25</v>
      </c>
      <c r="G278" s="4" t="s">
        <v>25</v>
      </c>
      <c r="H278" s="4" t="s">
        <v>25</v>
      </c>
      <c r="I278" s="5">
        <v>44440</v>
      </c>
      <c r="J278" s="6">
        <v>0</v>
      </c>
      <c r="K278" s="6">
        <v>0</v>
      </c>
      <c r="L278" s="6">
        <v>27.273</v>
      </c>
      <c r="M278" s="6">
        <v>27.273</v>
      </c>
      <c r="N278" s="6">
        <v>27.273</v>
      </c>
      <c r="O278" s="6">
        <v>27.273</v>
      </c>
      <c r="P278" s="6">
        <v>56</v>
      </c>
      <c r="Q278" s="4" t="s">
        <v>26</v>
      </c>
      <c r="R278" s="4">
        <v>0</v>
      </c>
      <c r="S278" s="6">
        <v>0</v>
      </c>
      <c r="T278" s="6">
        <v>24</v>
      </c>
      <c r="U278" s="6">
        <v>50</v>
      </c>
      <c r="V278" s="6">
        <f>IF(ISERROR(VLOOKUP($S$278,'TAR FIN'!$A$1:$O$91,15,0)),0,VLOOKUP($S$278,'TAR FIN'!$A$1:$O$91,15,0))</f>
        <v>0</v>
      </c>
      <c r="W278" s="6">
        <f>IF(ISERROR(VLOOKUP($T$278,'TAR FIN'!$A$1:$O$91,15,0)),0,VLOOKUP($T$278,'TAR FIN'!$A$1:$O$91,15,0))</f>
        <v>103.76</v>
      </c>
      <c r="X278" s="6">
        <f>IF(ISERROR(VLOOKUP($U$278,'TAR FIN'!$A$1:$O$91,15,0)),0,VLOOKUP($U$278,'TAR FIN'!$A$1:$O$91,15,0))</f>
        <v>80.38</v>
      </c>
      <c r="Y278" s="6"/>
      <c r="Z278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78" s="6">
        <f>('TE BE'!$AB$14+'TE BF'!$AB$14+'TE CVA'!$AB$14)*(1-CUSTOS!$M$35)</f>
        <v>68.859179333801777</v>
      </c>
      <c r="AB278" s="6">
        <f>$K$278*$V$278</f>
        <v>0</v>
      </c>
      <c r="AC278" s="6">
        <f>$M$278*$W$278</f>
        <v>2829.8464800000002</v>
      </c>
      <c r="AD278" s="6">
        <f>$O$278*$X$278</f>
        <v>2192.2037399999999</v>
      </c>
      <c r="AE278" s="6">
        <f>$K$278*$Y$278</f>
        <v>0</v>
      </c>
      <c r="AF278" s="6">
        <f ca="1">$M$278*$Z$278</f>
        <v>3399.0097729726463</v>
      </c>
      <c r="AG278" s="6">
        <f>$O$278*$AA$278</f>
        <v>1877.9963979707759</v>
      </c>
    </row>
    <row r="279" spans="1:3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30</v>
      </c>
      <c r="F279" s="4" t="s">
        <v>25</v>
      </c>
      <c r="G279" s="4" t="s">
        <v>25</v>
      </c>
      <c r="H279" s="4" t="s">
        <v>25</v>
      </c>
      <c r="I279" s="5">
        <v>44470</v>
      </c>
      <c r="J279" s="6">
        <v>0</v>
      </c>
      <c r="K279" s="6">
        <v>0</v>
      </c>
      <c r="L279" s="6">
        <v>27.638999999999999</v>
      </c>
      <c r="M279" s="6">
        <v>27.638999999999999</v>
      </c>
      <c r="N279" s="6">
        <v>27.638999999999999</v>
      </c>
      <c r="O279" s="6">
        <v>27.638999999999999</v>
      </c>
      <c r="P279" s="6">
        <v>63</v>
      </c>
      <c r="Q279" s="4" t="s">
        <v>26</v>
      </c>
      <c r="R279" s="4">
        <v>0</v>
      </c>
      <c r="S279" s="6">
        <v>0</v>
      </c>
      <c r="T279" s="6">
        <v>24</v>
      </c>
      <c r="U279" s="6">
        <v>50</v>
      </c>
      <c r="V279" s="6">
        <f>IF(ISERROR(VLOOKUP($S$279,'TAR FIN'!$A$1:$O$91,15,0)),0,VLOOKUP($S$279,'TAR FIN'!$A$1:$O$91,15,0))</f>
        <v>0</v>
      </c>
      <c r="W279" s="6">
        <f>IF(ISERROR(VLOOKUP($T$279,'TAR FIN'!$A$1:$O$91,15,0)),0,VLOOKUP($T$279,'TAR FIN'!$A$1:$O$91,15,0))</f>
        <v>103.76</v>
      </c>
      <c r="X279" s="6">
        <f>IF(ISERROR(VLOOKUP($U$279,'TAR FIN'!$A$1:$O$91,15,0)),0,VLOOKUP($U$279,'TAR FIN'!$A$1:$O$91,15,0))</f>
        <v>80.38</v>
      </c>
      <c r="Y279" s="6"/>
      <c r="Z279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79" s="6">
        <f>('TE BE'!$AB$14+'TE BF'!$AB$14+'TE CVA'!$AB$14)*(1-CUSTOS!$M$35)</f>
        <v>68.859179333801777</v>
      </c>
      <c r="AB279" s="6">
        <f>$K$279*$V$279</f>
        <v>0</v>
      </c>
      <c r="AC279" s="6">
        <f>$M$279*$W$279</f>
        <v>2867.8226399999999</v>
      </c>
      <c r="AD279" s="6">
        <f>$O$279*$X$279</f>
        <v>2221.62282</v>
      </c>
      <c r="AE279" s="6">
        <f>$K$279*$Y$279</f>
        <v>0</v>
      </c>
      <c r="AF279" s="6">
        <f ca="1">$M$279*$Z$279</f>
        <v>3444.6240279833892</v>
      </c>
      <c r="AG279" s="6">
        <f>$O$279*$AA$279</f>
        <v>1903.1988576069473</v>
      </c>
    </row>
    <row r="280" spans="1:3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30</v>
      </c>
      <c r="F280" s="4" t="s">
        <v>25</v>
      </c>
      <c r="G280" s="4" t="s">
        <v>25</v>
      </c>
      <c r="H280" s="4" t="s">
        <v>25</v>
      </c>
      <c r="I280" s="5">
        <v>44501</v>
      </c>
      <c r="J280" s="6">
        <v>0</v>
      </c>
      <c r="K280" s="6">
        <v>0</v>
      </c>
      <c r="L280" s="6">
        <v>28.382000000000001</v>
      </c>
      <c r="M280" s="6">
        <v>28.382000000000001</v>
      </c>
      <c r="N280" s="6">
        <v>28.382000000000001</v>
      </c>
      <c r="O280" s="6">
        <v>28.382000000000001</v>
      </c>
      <c r="P280" s="6">
        <v>60</v>
      </c>
      <c r="Q280" s="4" t="s">
        <v>26</v>
      </c>
      <c r="R280" s="4">
        <v>0</v>
      </c>
      <c r="S280" s="6">
        <v>0</v>
      </c>
      <c r="T280" s="6">
        <v>24</v>
      </c>
      <c r="U280" s="6">
        <v>50</v>
      </c>
      <c r="V280" s="6">
        <f>IF(ISERROR(VLOOKUP($S$280,'TAR FIN'!$A$1:$O$91,15,0)),0,VLOOKUP($S$280,'TAR FIN'!$A$1:$O$91,15,0))</f>
        <v>0</v>
      </c>
      <c r="W280" s="6">
        <f>IF(ISERROR(VLOOKUP($T$280,'TAR FIN'!$A$1:$O$91,15,0)),0,VLOOKUP($T$280,'TAR FIN'!$A$1:$O$91,15,0))</f>
        <v>103.76</v>
      </c>
      <c r="X280" s="6">
        <f>IF(ISERROR(VLOOKUP($U$280,'TAR FIN'!$A$1:$O$91,15,0)),0,VLOOKUP($U$280,'TAR FIN'!$A$1:$O$91,15,0))</f>
        <v>80.38</v>
      </c>
      <c r="Y280" s="6"/>
      <c r="Z280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0" s="6">
        <f>('TE BE'!$AB$14+'TE BF'!$AB$14+'TE CVA'!$AB$14)*(1-CUSTOS!$M$35)</f>
        <v>68.859179333801777</v>
      </c>
      <c r="AB280" s="6">
        <f>$K$280*$V$280</f>
        <v>0</v>
      </c>
      <c r="AC280" s="6">
        <f>$M$280*$W$280</f>
        <v>2944.9163200000003</v>
      </c>
      <c r="AD280" s="6">
        <f>$O$280*$X$280</f>
        <v>2281.3451599999999</v>
      </c>
      <c r="AE280" s="6">
        <f>$K$280*$Y$280</f>
        <v>0</v>
      </c>
      <c r="AF280" s="6">
        <f ca="1">$M$280*$Z$280</f>
        <v>3537.2234582374385</v>
      </c>
      <c r="AG280" s="6">
        <f>$O$280*$AA$280</f>
        <v>1954.3612278519622</v>
      </c>
    </row>
    <row r="281" spans="1:3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30</v>
      </c>
      <c r="F281" s="4" t="s">
        <v>25</v>
      </c>
      <c r="G281" s="4" t="s">
        <v>25</v>
      </c>
      <c r="H281" s="4" t="s">
        <v>25</v>
      </c>
      <c r="I281" s="5">
        <v>44531</v>
      </c>
      <c r="J281" s="6">
        <v>0</v>
      </c>
      <c r="K281" s="6">
        <v>0</v>
      </c>
      <c r="L281" s="6">
        <v>28.824999999999999</v>
      </c>
      <c r="M281" s="6">
        <v>28.824999999999999</v>
      </c>
      <c r="N281" s="6">
        <v>28.824999999999999</v>
      </c>
      <c r="O281" s="6">
        <v>28.824999999999999</v>
      </c>
      <c r="P281" s="6">
        <v>59</v>
      </c>
      <c r="Q281" s="4" t="s">
        <v>26</v>
      </c>
      <c r="R281" s="4">
        <v>0</v>
      </c>
      <c r="S281" s="6">
        <v>0</v>
      </c>
      <c r="T281" s="6">
        <v>24</v>
      </c>
      <c r="U281" s="6">
        <v>50</v>
      </c>
      <c r="V281" s="6">
        <f>IF(ISERROR(VLOOKUP($S$281,'TAR FIN'!$A$1:$O$91,15,0)),0,VLOOKUP($S$281,'TAR FIN'!$A$1:$O$91,15,0))</f>
        <v>0</v>
      </c>
      <c r="W281" s="6">
        <f>IF(ISERROR(VLOOKUP($T$281,'TAR FIN'!$A$1:$O$91,15,0)),0,VLOOKUP($T$281,'TAR FIN'!$A$1:$O$91,15,0))</f>
        <v>103.76</v>
      </c>
      <c r="X281" s="6">
        <f>IF(ISERROR(VLOOKUP($U$281,'TAR FIN'!$A$1:$O$91,15,0)),0,VLOOKUP($U$281,'TAR FIN'!$A$1:$O$91,15,0))</f>
        <v>80.38</v>
      </c>
      <c r="Y281" s="6"/>
      <c r="Z281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1" s="6">
        <f>('TE BE'!$AB$14+'TE BF'!$AB$14+'TE CVA'!$AB$14)*(1-CUSTOS!$M$35)</f>
        <v>68.859179333801777</v>
      </c>
      <c r="AB281" s="6">
        <f>$K$281*$V$281</f>
        <v>0</v>
      </c>
      <c r="AC281" s="6">
        <f>$M$281*$W$281</f>
        <v>2990.8820000000001</v>
      </c>
      <c r="AD281" s="6">
        <f>$O$281*$X$281</f>
        <v>2316.9534999999996</v>
      </c>
      <c r="AE281" s="6">
        <f>$K$281*$Y$281</f>
        <v>0</v>
      </c>
      <c r="AF281" s="6">
        <f ca="1">$M$281*$Z$281</f>
        <v>3592.434154876124</v>
      </c>
      <c r="AG281" s="6">
        <f>$O$281*$AA$281</f>
        <v>1984.8658442968363</v>
      </c>
    </row>
    <row r="282" spans="1:3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30</v>
      </c>
      <c r="F282" s="4" t="s">
        <v>25</v>
      </c>
      <c r="G282" s="4" t="s">
        <v>25</v>
      </c>
      <c r="H282" s="4" t="s">
        <v>25</v>
      </c>
      <c r="I282" s="5">
        <v>44562</v>
      </c>
      <c r="J282" s="6">
        <v>0</v>
      </c>
      <c r="K282" s="6">
        <v>0</v>
      </c>
      <c r="L282" s="6">
        <v>29.748000000000001</v>
      </c>
      <c r="M282" s="6">
        <v>29.748000000000001</v>
      </c>
      <c r="N282" s="6">
        <v>29.748000000000001</v>
      </c>
      <c r="O282" s="6">
        <v>29.748000000000001</v>
      </c>
      <c r="P282" s="6">
        <v>45</v>
      </c>
      <c r="Q282" s="4" t="s">
        <v>26</v>
      </c>
      <c r="R282" s="4">
        <v>0</v>
      </c>
      <c r="S282" s="6">
        <v>0</v>
      </c>
      <c r="T282" s="6">
        <v>24</v>
      </c>
      <c r="U282" s="6">
        <v>50</v>
      </c>
      <c r="V282" s="6">
        <f>IF(ISERROR(VLOOKUP($S$282,'TAR FIN'!$A$1:$O$91,15,0)),0,VLOOKUP($S$282,'TAR FIN'!$A$1:$O$91,15,0))</f>
        <v>0</v>
      </c>
      <c r="W282" s="6">
        <f>IF(ISERROR(VLOOKUP($T$282,'TAR FIN'!$A$1:$O$91,15,0)),0,VLOOKUP($T$282,'TAR FIN'!$A$1:$O$91,15,0))</f>
        <v>103.76</v>
      </c>
      <c r="X282" s="6">
        <f>IF(ISERROR(VLOOKUP($U$282,'TAR FIN'!$A$1:$O$91,15,0)),0,VLOOKUP($U$282,'TAR FIN'!$A$1:$O$91,15,0))</f>
        <v>80.38</v>
      </c>
      <c r="Y282" s="6"/>
      <c r="Z282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2" s="6">
        <f>('TE BE'!$AB$14+'TE BF'!$AB$14+'TE CVA'!$AB$14)*(1-CUSTOS!$M$35)</f>
        <v>68.859179333801777</v>
      </c>
      <c r="AB282" s="6">
        <f>$K$282*$V$282</f>
        <v>0</v>
      </c>
      <c r="AC282" s="6">
        <f>$M$282*$W$282</f>
        <v>3086.6524800000002</v>
      </c>
      <c r="AD282" s="6">
        <f>$O$282*$X$282</f>
        <v>2391.1442400000001</v>
      </c>
      <c r="AE282" s="6">
        <f>$K$282*$Y$282</f>
        <v>0</v>
      </c>
      <c r="AF282" s="6">
        <f ca="1">$M$282*$Z$282</f>
        <v>3707.4668252993911</v>
      </c>
      <c r="AG282" s="6">
        <f>$O$282*$AA$282</f>
        <v>2048.4228668219353</v>
      </c>
    </row>
    <row r="283" spans="1:3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30</v>
      </c>
      <c r="F283" s="4" t="s">
        <v>25</v>
      </c>
      <c r="G283" s="4" t="s">
        <v>25</v>
      </c>
      <c r="H283" s="4" t="s">
        <v>25</v>
      </c>
      <c r="I283" s="5">
        <v>44593</v>
      </c>
      <c r="J283" s="6">
        <v>0</v>
      </c>
      <c r="K283" s="6">
        <v>0</v>
      </c>
      <c r="L283" s="6">
        <v>33.079000000000001</v>
      </c>
      <c r="M283" s="6">
        <v>33.079000000000001</v>
      </c>
      <c r="N283" s="6">
        <v>33.079000000000001</v>
      </c>
      <c r="O283" s="6">
        <v>33.079000000000001</v>
      </c>
      <c r="P283" s="6">
        <v>54</v>
      </c>
      <c r="Q283" s="4" t="s">
        <v>26</v>
      </c>
      <c r="R283" s="4">
        <v>0</v>
      </c>
      <c r="S283" s="6">
        <v>0</v>
      </c>
      <c r="T283" s="6">
        <v>24</v>
      </c>
      <c r="U283" s="6">
        <v>50</v>
      </c>
      <c r="V283" s="6">
        <f>IF(ISERROR(VLOOKUP($S$283,'TAR FIN'!$A$1:$O$91,15,0)),0,VLOOKUP($S$283,'TAR FIN'!$A$1:$O$91,15,0))</f>
        <v>0</v>
      </c>
      <c r="W283" s="6">
        <f>IF(ISERROR(VLOOKUP($T$283,'TAR FIN'!$A$1:$O$91,15,0)),0,VLOOKUP($T$283,'TAR FIN'!$A$1:$O$91,15,0))</f>
        <v>103.76</v>
      </c>
      <c r="X283" s="6">
        <f>IF(ISERROR(VLOOKUP($U$283,'TAR FIN'!$A$1:$O$91,15,0)),0,VLOOKUP($U$283,'TAR FIN'!$A$1:$O$91,15,0))</f>
        <v>80.38</v>
      </c>
      <c r="Y283" s="6"/>
      <c r="Z283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3" s="6">
        <f>('TE BE'!$AB$14+'TE BF'!$AB$14+'TE CVA'!$AB$14)*(1-CUSTOS!$M$35)</f>
        <v>68.859179333801777</v>
      </c>
      <c r="AB283" s="6">
        <f>$K$283*$V$283</f>
        <v>0</v>
      </c>
      <c r="AC283" s="6">
        <f>$M$283*$W$283</f>
        <v>3432.2770400000004</v>
      </c>
      <c r="AD283" s="6">
        <f>$O$283*$X$283</f>
        <v>2658.8900199999998</v>
      </c>
      <c r="AE283" s="6">
        <f>$K$283*$Y$283</f>
        <v>0</v>
      </c>
      <c r="AF283" s="6">
        <f ca="1">$M$283*$Z$283</f>
        <v>4122.6063975419711</v>
      </c>
      <c r="AG283" s="6">
        <f>$O$283*$AA$283</f>
        <v>2277.792793182829</v>
      </c>
    </row>
    <row r="284" spans="1:3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30</v>
      </c>
      <c r="F284" s="4" t="s">
        <v>25</v>
      </c>
      <c r="G284" s="4" t="s">
        <v>25</v>
      </c>
      <c r="H284" s="4" t="s">
        <v>25</v>
      </c>
      <c r="I284" s="5">
        <v>44621</v>
      </c>
      <c r="J284" s="6">
        <v>0</v>
      </c>
      <c r="K284" s="6">
        <v>0</v>
      </c>
      <c r="L284" s="6">
        <v>42.780999999999999</v>
      </c>
      <c r="M284" s="6">
        <v>42.780999999999999</v>
      </c>
      <c r="N284" s="6">
        <v>42.780999999999999</v>
      </c>
      <c r="O284" s="6">
        <v>42.780999999999999</v>
      </c>
      <c r="P284" s="6">
        <v>66</v>
      </c>
      <c r="Q284" s="4" t="s">
        <v>26</v>
      </c>
      <c r="R284" s="4">
        <v>0</v>
      </c>
      <c r="S284" s="6">
        <v>0</v>
      </c>
      <c r="T284" s="6">
        <v>24</v>
      </c>
      <c r="U284" s="6">
        <v>50</v>
      </c>
      <c r="V284" s="6">
        <f>IF(ISERROR(VLOOKUP($S$284,'TAR FIN'!$A$1:$O$91,15,0)),0,VLOOKUP($S$284,'TAR FIN'!$A$1:$O$91,15,0))</f>
        <v>0</v>
      </c>
      <c r="W284" s="6">
        <f>IF(ISERROR(VLOOKUP($T$284,'TAR FIN'!$A$1:$O$91,15,0)),0,VLOOKUP($T$284,'TAR FIN'!$A$1:$O$91,15,0))</f>
        <v>103.76</v>
      </c>
      <c r="X284" s="6">
        <f>IF(ISERROR(VLOOKUP($U$284,'TAR FIN'!$A$1:$O$91,15,0)),0,VLOOKUP($U$284,'TAR FIN'!$A$1:$O$91,15,0))</f>
        <v>80.38</v>
      </c>
      <c r="Y284" s="6"/>
      <c r="Z284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4" s="6">
        <f>('TE BE'!$AB$14+'TE BF'!$AB$14+'TE CVA'!$AB$14)*(1-CUSTOS!$M$35)</f>
        <v>68.859179333801777</v>
      </c>
      <c r="AB284" s="6">
        <f>$K$284*$V$284</f>
        <v>0</v>
      </c>
      <c r="AC284" s="6">
        <f>$M$284*$W$284</f>
        <v>4438.9565600000005</v>
      </c>
      <c r="AD284" s="6">
        <f>$O$284*$X$284</f>
        <v>3438.7367799999997</v>
      </c>
      <c r="AE284" s="6">
        <f>$K$284*$Y$284</f>
        <v>0</v>
      </c>
      <c r="AF284" s="6">
        <f ca="1">$M$284*$Z$284</f>
        <v>5331.7580426628092</v>
      </c>
      <c r="AG284" s="6">
        <f>$O$284*$AA$284</f>
        <v>2945.8645510793735</v>
      </c>
    </row>
    <row r="285" spans="1:33" ht="11.25" customHeight="1" x14ac:dyDescent="0.25">
      <c r="A285" s="4" t="s">
        <v>21</v>
      </c>
      <c r="B285" s="4" t="s">
        <v>22</v>
      </c>
      <c r="C285" s="4" t="s">
        <v>23</v>
      </c>
      <c r="D285" s="4" t="s">
        <v>24</v>
      </c>
      <c r="E285" s="4" t="s">
        <v>30</v>
      </c>
      <c r="F285" s="4" t="s">
        <v>25</v>
      </c>
      <c r="G285" s="4" t="s">
        <v>25</v>
      </c>
      <c r="H285" s="4" t="s">
        <v>25</v>
      </c>
      <c r="I285" s="5">
        <v>44652</v>
      </c>
      <c r="J285" s="6">
        <v>0</v>
      </c>
      <c r="K285" s="6">
        <v>0</v>
      </c>
      <c r="L285" s="6">
        <v>47.735999999999997</v>
      </c>
      <c r="M285" s="6">
        <v>47.735999999999997</v>
      </c>
      <c r="N285" s="6">
        <v>47.735999999999997</v>
      </c>
      <c r="O285" s="6">
        <v>47.735999999999997</v>
      </c>
      <c r="P285" s="6">
        <v>101</v>
      </c>
      <c r="Q285" s="4" t="s">
        <v>26</v>
      </c>
      <c r="R285" s="4">
        <v>0</v>
      </c>
      <c r="S285" s="6">
        <v>0</v>
      </c>
      <c r="T285" s="6">
        <v>24</v>
      </c>
      <c r="U285" s="6">
        <v>50</v>
      </c>
      <c r="V285" s="6">
        <f>IF(ISERROR(VLOOKUP($S$285,'TAR FIN'!$A$1:$O$91,15,0)),0,VLOOKUP($S$285,'TAR FIN'!$A$1:$O$91,15,0))</f>
        <v>0</v>
      </c>
      <c r="W285" s="6">
        <f>IF(ISERROR(VLOOKUP($T$285,'TAR FIN'!$A$1:$O$91,15,0)),0,VLOOKUP($T$285,'TAR FIN'!$A$1:$O$91,15,0))</f>
        <v>103.76</v>
      </c>
      <c r="X285" s="6">
        <f>IF(ISERROR(VLOOKUP($U$285,'TAR FIN'!$A$1:$O$91,15,0)),0,VLOOKUP($U$285,'TAR FIN'!$A$1:$O$91,15,0))</f>
        <v>80.38</v>
      </c>
      <c r="Y285" s="6"/>
      <c r="Z285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5" s="6">
        <f>('TE BE'!$AB$14+'TE BF'!$AB$14+'TE CVA'!$AB$14)*(1-CUSTOS!$M$35)</f>
        <v>68.859179333801777</v>
      </c>
      <c r="AB285" s="6">
        <f>$K$285*$V$285</f>
        <v>0</v>
      </c>
      <c r="AC285" s="6">
        <f>$M$285*$W$285</f>
        <v>4953.0873599999995</v>
      </c>
      <c r="AD285" s="6">
        <f>$O$285*$X$285</f>
        <v>3837.0196799999994</v>
      </c>
      <c r="AE285" s="6">
        <f>$K$285*$Y$285</f>
        <v>0</v>
      </c>
      <c r="AF285" s="6">
        <f ca="1">$M$285*$Z$285</f>
        <v>5949.2952928765535</v>
      </c>
      <c r="AG285" s="6">
        <f>$O$285*$AA$285</f>
        <v>3287.0617846783616</v>
      </c>
    </row>
    <row r="286" spans="1:33" ht="11.25" customHeight="1" x14ac:dyDescent="0.25">
      <c r="A286" s="4" t="s">
        <v>21</v>
      </c>
      <c r="B286" s="4" t="s">
        <v>22</v>
      </c>
      <c r="C286" s="4" t="s">
        <v>23</v>
      </c>
      <c r="D286" s="4" t="s">
        <v>24</v>
      </c>
      <c r="E286" s="4" t="s">
        <v>30</v>
      </c>
      <c r="F286" s="4" t="s">
        <v>25</v>
      </c>
      <c r="G286" s="4" t="s">
        <v>25</v>
      </c>
      <c r="H286" s="4" t="s">
        <v>25</v>
      </c>
      <c r="I286" s="5">
        <v>44682</v>
      </c>
      <c r="J286" s="6">
        <v>0</v>
      </c>
      <c r="K286" s="6">
        <v>0</v>
      </c>
      <c r="L286" s="6">
        <v>48.088000000000001</v>
      </c>
      <c r="M286" s="6">
        <v>48.088000000000001</v>
      </c>
      <c r="N286" s="6">
        <v>48.088000000000001</v>
      </c>
      <c r="O286" s="6">
        <v>48.088000000000001</v>
      </c>
      <c r="P286" s="6">
        <v>127</v>
      </c>
      <c r="Q286" s="4" t="s">
        <v>26</v>
      </c>
      <c r="R286" s="4">
        <v>0</v>
      </c>
      <c r="S286" s="6">
        <v>0</v>
      </c>
      <c r="T286" s="6">
        <v>24</v>
      </c>
      <c r="U286" s="6">
        <v>50</v>
      </c>
      <c r="V286" s="6">
        <f>IF(ISERROR(VLOOKUP($S$286,'TAR FIN'!$A$1:$O$91,15,0)),0,VLOOKUP($S$286,'TAR FIN'!$A$1:$O$91,15,0))</f>
        <v>0</v>
      </c>
      <c r="W286" s="6">
        <f>IF(ISERROR(VLOOKUP($T$286,'TAR FIN'!$A$1:$O$91,15,0)),0,VLOOKUP($T$286,'TAR FIN'!$A$1:$O$91,15,0))</f>
        <v>103.76</v>
      </c>
      <c r="X286" s="6">
        <f>IF(ISERROR(VLOOKUP($U$286,'TAR FIN'!$A$1:$O$91,15,0)),0,VLOOKUP($U$286,'TAR FIN'!$A$1:$O$91,15,0))</f>
        <v>80.38</v>
      </c>
      <c r="Y286" s="6"/>
      <c r="Z286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6" s="6">
        <f>('TE BE'!$AB$14+'TE BF'!$AB$14+'TE CVA'!$AB$14)*(1-CUSTOS!$M$35)</f>
        <v>68.859179333801777</v>
      </c>
      <c r="AB286" s="6">
        <f>$K$286*$V$286</f>
        <v>0</v>
      </c>
      <c r="AC286" s="6">
        <f>$M$286*$W$286</f>
        <v>4989.6108800000002</v>
      </c>
      <c r="AD286" s="6">
        <f>$O$286*$X$286</f>
        <v>3865.3134399999999</v>
      </c>
      <c r="AE286" s="6">
        <f>$K$286*$Y$286</f>
        <v>0</v>
      </c>
      <c r="AF286" s="6">
        <f ca="1">$M$286*$Z$286</f>
        <v>5993.1647403185798</v>
      </c>
      <c r="AG286" s="6">
        <f>$O$286*$AA$286</f>
        <v>3311.3002158038598</v>
      </c>
    </row>
    <row r="287" spans="1:3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30</v>
      </c>
      <c r="F287" s="4" t="s">
        <v>25</v>
      </c>
      <c r="G287" s="4" t="s">
        <v>25</v>
      </c>
      <c r="H287" s="4" t="s">
        <v>25</v>
      </c>
      <c r="I287" s="5">
        <v>44713</v>
      </c>
      <c r="J287" s="6">
        <v>0</v>
      </c>
      <c r="K287" s="6">
        <v>0</v>
      </c>
      <c r="L287" s="6">
        <v>47.252000000000002</v>
      </c>
      <c r="M287" s="6">
        <v>47.252000000000002</v>
      </c>
      <c r="N287" s="6">
        <v>47.252000000000002</v>
      </c>
      <c r="O287" s="6">
        <v>47.252000000000002</v>
      </c>
      <c r="P287" s="6">
        <v>133</v>
      </c>
      <c r="Q287" s="4" t="s">
        <v>26</v>
      </c>
      <c r="R287" s="4">
        <v>0</v>
      </c>
      <c r="S287" s="6">
        <v>0</v>
      </c>
      <c r="T287" s="6">
        <v>24</v>
      </c>
      <c r="U287" s="6">
        <v>50</v>
      </c>
      <c r="V287" s="6">
        <f>IF(ISERROR(VLOOKUP($S$287,'TAR FIN'!$A$1:$O$91,15,0)),0,VLOOKUP($S$287,'TAR FIN'!$A$1:$O$91,15,0))</f>
        <v>0</v>
      </c>
      <c r="W287" s="6">
        <f>IF(ISERROR(VLOOKUP($T$287,'TAR FIN'!$A$1:$O$91,15,0)),0,VLOOKUP($T$287,'TAR FIN'!$A$1:$O$91,15,0))</f>
        <v>103.76</v>
      </c>
      <c r="X287" s="6">
        <f>IF(ISERROR(VLOOKUP($U$287,'TAR FIN'!$A$1:$O$91,15,0)),0,VLOOKUP($U$287,'TAR FIN'!$A$1:$O$91,15,0))</f>
        <v>80.38</v>
      </c>
      <c r="Y287" s="6"/>
      <c r="Z287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7" s="6">
        <f>('TE BE'!$AB$14+'TE BF'!$AB$14+'TE CVA'!$AB$14)*(1-CUSTOS!$M$35)</f>
        <v>68.859179333801777</v>
      </c>
      <c r="AB287" s="6">
        <f>$K$287*$V$287</f>
        <v>0</v>
      </c>
      <c r="AC287" s="6">
        <f>$M$287*$W$287</f>
        <v>4902.8675200000007</v>
      </c>
      <c r="AD287" s="6">
        <f>$O$287*$X$287</f>
        <v>3798.1157600000001</v>
      </c>
      <c r="AE287" s="6">
        <f>$K$287*$Y$287</f>
        <v>0</v>
      </c>
      <c r="AF287" s="6">
        <f ca="1">$M$287*$Z$287</f>
        <v>5888.9748026437683</v>
      </c>
      <c r="AG287" s="6">
        <f>$O$287*$AA$287</f>
        <v>3253.7339418808019</v>
      </c>
    </row>
    <row r="288" spans="1:3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30</v>
      </c>
      <c r="F288" s="4" t="s">
        <v>25</v>
      </c>
      <c r="G288" s="4" t="s">
        <v>25</v>
      </c>
      <c r="H288" s="4" t="s">
        <v>25</v>
      </c>
      <c r="I288" s="5">
        <v>44743</v>
      </c>
      <c r="J288" s="6">
        <v>0</v>
      </c>
      <c r="K288" s="6">
        <v>0</v>
      </c>
      <c r="L288" s="6">
        <v>44.747999999999998</v>
      </c>
      <c r="M288" s="6">
        <v>44.747999999999998</v>
      </c>
      <c r="N288" s="6">
        <v>44.747999999999998</v>
      </c>
      <c r="O288" s="6">
        <v>44.747999999999998</v>
      </c>
      <c r="P288" s="6">
        <v>109</v>
      </c>
      <c r="Q288" s="4" t="s">
        <v>26</v>
      </c>
      <c r="R288" s="4">
        <v>0</v>
      </c>
      <c r="S288" s="6">
        <v>0</v>
      </c>
      <c r="T288" s="6">
        <v>24</v>
      </c>
      <c r="U288" s="6">
        <v>50</v>
      </c>
      <c r="V288" s="6">
        <f>IF(ISERROR(VLOOKUP($S$288,'TAR FIN'!$A$1:$O$91,15,0)),0,VLOOKUP($S$288,'TAR FIN'!$A$1:$O$91,15,0))</f>
        <v>0</v>
      </c>
      <c r="W288" s="6">
        <f>IF(ISERROR(VLOOKUP($T$288,'TAR FIN'!$A$1:$O$91,15,0)),0,VLOOKUP($T$288,'TAR FIN'!$A$1:$O$91,15,0))</f>
        <v>103.76</v>
      </c>
      <c r="X288" s="6">
        <f>IF(ISERROR(VLOOKUP($U$288,'TAR FIN'!$A$1:$O$91,15,0)),0,VLOOKUP($U$288,'TAR FIN'!$A$1:$O$91,15,0))</f>
        <v>80.38</v>
      </c>
      <c r="Y288" s="6"/>
      <c r="Z288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8" s="6">
        <f>('TE BE'!$AB$14+'TE BF'!$AB$14+'TE CVA'!$AB$14)*(1-CUSTOS!$M$35)</f>
        <v>68.859179333801777</v>
      </c>
      <c r="AB288" s="6">
        <f>$K$288*$V$288</f>
        <v>0</v>
      </c>
      <c r="AC288" s="6">
        <f>$M$288*$W$288</f>
        <v>4643.0524800000003</v>
      </c>
      <c r="AD288" s="6">
        <f>$O$288*$X$288</f>
        <v>3596.8442399999994</v>
      </c>
      <c r="AE288" s="6">
        <f>$K$288*$Y$288</f>
        <v>0</v>
      </c>
      <c r="AF288" s="6">
        <f ca="1">$M$288*$Z$288</f>
        <v>5576.9035060675387</v>
      </c>
      <c r="AG288" s="6">
        <f>$O$288*$AA$288</f>
        <v>3081.3105568289616</v>
      </c>
    </row>
    <row r="289" spans="1:33" ht="11.25" customHeight="1" x14ac:dyDescent="0.25">
      <c r="A289" s="4" t="s">
        <v>57</v>
      </c>
      <c r="B289" s="4" t="s">
        <v>22</v>
      </c>
      <c r="C289" s="4" t="s">
        <v>23</v>
      </c>
      <c r="D289" s="4" t="s">
        <v>24</v>
      </c>
      <c r="E289" s="4" t="s">
        <v>30</v>
      </c>
      <c r="F289" s="4" t="s">
        <v>25</v>
      </c>
      <c r="G289" s="4" t="s">
        <v>25</v>
      </c>
      <c r="H289" s="4" t="s">
        <v>25</v>
      </c>
      <c r="I289" s="5">
        <v>44774</v>
      </c>
      <c r="J289" s="6">
        <v>0</v>
      </c>
      <c r="K289" s="6">
        <v>0</v>
      </c>
      <c r="L289" s="6">
        <v>44.747999999999998</v>
      </c>
      <c r="M289" s="6">
        <v>44.747999999999998</v>
      </c>
      <c r="N289" s="6">
        <v>44.747999999999998</v>
      </c>
      <c r="O289" s="6">
        <v>44.747999999999998</v>
      </c>
      <c r="P289" s="6">
        <v>109</v>
      </c>
      <c r="Q289" s="4" t="s">
        <v>26</v>
      </c>
      <c r="R289" s="4">
        <v>0</v>
      </c>
      <c r="S289" s="6">
        <v>0</v>
      </c>
      <c r="T289" s="6">
        <v>24</v>
      </c>
      <c r="U289" s="6">
        <v>50</v>
      </c>
      <c r="V289" s="6">
        <f>IF(ISERROR(VLOOKUP($S$289,'TAR FIN'!$A$1:$O$91,15,0)),0,VLOOKUP($S$289,'TAR FIN'!$A$1:$O$91,15,0))</f>
        <v>0</v>
      </c>
      <c r="W289" s="6">
        <f>IF(ISERROR(VLOOKUP($T$289,'TAR FIN'!$A$1:$O$91,15,0)),0,VLOOKUP($T$289,'TAR FIN'!$A$1:$O$91,15,0))</f>
        <v>103.76</v>
      </c>
      <c r="X289" s="6">
        <f>IF(ISERROR(VLOOKUP($U$289,'TAR FIN'!$A$1:$O$91,15,0)),0,VLOOKUP($U$289,'TAR FIN'!$A$1:$O$91,15,0))</f>
        <v>80.38</v>
      </c>
      <c r="Y289" s="6"/>
      <c r="Z289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289" s="6">
        <f>('TE BE'!$AB$14+'TE BF'!$AB$14+'TE CVA'!$AB$14)*(1-CUSTOS!$M$35)</f>
        <v>68.859179333801777</v>
      </c>
      <c r="AB289" s="6">
        <f>$K$289*$V$289</f>
        <v>0</v>
      </c>
      <c r="AC289" s="6">
        <f>$M$289*$W$289</f>
        <v>4643.0524800000003</v>
      </c>
      <c r="AD289" s="6">
        <f>$O$289*$X$289</f>
        <v>3596.8442399999994</v>
      </c>
      <c r="AE289" s="6">
        <f>$K$289*$Y$289</f>
        <v>0</v>
      </c>
      <c r="AF289" s="6">
        <f ca="1">$M$289*$Z$289</f>
        <v>5576.9035060675387</v>
      </c>
      <c r="AG289" s="6">
        <f>$O$289*$AA$289</f>
        <v>3081.3105568289616</v>
      </c>
    </row>
    <row r="290" spans="1:3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31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31.975999999999999</v>
      </c>
      <c r="M290" s="6">
        <v>31.975999999999999</v>
      </c>
      <c r="N290" s="6">
        <v>31.975999999999999</v>
      </c>
      <c r="O290" s="6">
        <v>31.975999999999999</v>
      </c>
      <c r="P290" s="6">
        <v>186</v>
      </c>
      <c r="Q290" s="4" t="s">
        <v>26</v>
      </c>
      <c r="R290" s="4">
        <v>0</v>
      </c>
      <c r="S290" s="6">
        <v>0</v>
      </c>
      <c r="T290" s="6">
        <v>29</v>
      </c>
      <c r="U290" s="6">
        <v>46</v>
      </c>
      <c r="V290" s="6">
        <f>IF(ISERROR(VLOOKUP($S$290,'TAR FIN'!$A$1:$O$91,15,0)),0,VLOOKUP($S$290,'TAR FIN'!$A$1:$O$91,15,0))</f>
        <v>0</v>
      </c>
      <c r="W290" s="6">
        <f>IF(ISERROR(VLOOKUP($T$290,'TAR FIN'!$A$1:$O$91,15,0)),0,VLOOKUP($T$290,'TAR FIN'!$A$1:$O$91,15,0))</f>
        <v>155.63999999999999</v>
      </c>
      <c r="X290" s="6">
        <f>IF(ISERROR(VLOOKUP($U$290,'TAR FIN'!$A$1:$O$91,15,0)),0,VLOOKUP($U$290,'TAR FIN'!$A$1:$O$91,15,0))</f>
        <v>120.57</v>
      </c>
      <c r="Y290" s="6"/>
      <c r="Z290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0" s="6">
        <f>('TE BE'!$AB$15+'TE BF'!$AB$15+'TE CVA'!$AB$15)*(1-CUSTOS!$M$36)</f>
        <v>103.28876900070266</v>
      </c>
      <c r="AB290" s="6">
        <f>$K$290*$V$290</f>
        <v>0</v>
      </c>
      <c r="AC290" s="6">
        <f>$M$290*$W$290</f>
        <v>4976.744639999999</v>
      </c>
      <c r="AD290" s="6">
        <f>$O$290*$X$290</f>
        <v>3855.3463199999997</v>
      </c>
      <c r="AE290" s="6">
        <f>$K$290*$Y$290</f>
        <v>0</v>
      </c>
      <c r="AF290" s="6">
        <f ca="1">$M$290*$Z$290</f>
        <v>5977.71073042423</v>
      </c>
      <c r="AG290" s="6">
        <f>$O$290*$AA$290</f>
        <v>3302.7616775664683</v>
      </c>
    </row>
    <row r="291" spans="1:33" ht="11.25" customHeight="1" x14ac:dyDescent="0.25">
      <c r="A291" s="4" t="s">
        <v>21</v>
      </c>
      <c r="B291" s="4" t="s">
        <v>22</v>
      </c>
      <c r="C291" s="4" t="s">
        <v>23</v>
      </c>
      <c r="D291" s="4" t="s">
        <v>24</v>
      </c>
      <c r="E291" s="4" t="s">
        <v>31</v>
      </c>
      <c r="F291" s="4" t="s">
        <v>25</v>
      </c>
      <c r="G291" s="4" t="s">
        <v>25</v>
      </c>
      <c r="H291" s="4" t="s">
        <v>25</v>
      </c>
      <c r="I291" s="5">
        <v>44470</v>
      </c>
      <c r="J291" s="6">
        <v>0</v>
      </c>
      <c r="K291" s="6">
        <v>0</v>
      </c>
      <c r="L291" s="6">
        <v>32.045999999999999</v>
      </c>
      <c r="M291" s="6">
        <v>32.045999999999999</v>
      </c>
      <c r="N291" s="6">
        <v>32.045999999999999</v>
      </c>
      <c r="O291" s="6">
        <v>32.045999999999999</v>
      </c>
      <c r="P291" s="6">
        <v>202</v>
      </c>
      <c r="Q291" s="4" t="s">
        <v>26</v>
      </c>
      <c r="R291" s="4">
        <v>0</v>
      </c>
      <c r="S291" s="6">
        <v>0</v>
      </c>
      <c r="T291" s="6">
        <v>29</v>
      </c>
      <c r="U291" s="6">
        <v>46</v>
      </c>
      <c r="V291" s="6">
        <f>IF(ISERROR(VLOOKUP($S$291,'TAR FIN'!$A$1:$O$91,15,0)),0,VLOOKUP($S$291,'TAR FIN'!$A$1:$O$91,15,0))</f>
        <v>0</v>
      </c>
      <c r="W291" s="6">
        <f>IF(ISERROR(VLOOKUP($T$291,'TAR FIN'!$A$1:$O$91,15,0)),0,VLOOKUP($T$291,'TAR FIN'!$A$1:$O$91,15,0))</f>
        <v>155.63999999999999</v>
      </c>
      <c r="X291" s="6">
        <f>IF(ISERROR(VLOOKUP($U$291,'TAR FIN'!$A$1:$O$91,15,0)),0,VLOOKUP($U$291,'TAR FIN'!$A$1:$O$91,15,0))</f>
        <v>120.57</v>
      </c>
      <c r="Y291" s="6"/>
      <c r="Z291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1" s="6">
        <f>('TE BE'!$AB$15+'TE BF'!$AB$15+'TE CVA'!$AB$15)*(1-CUSTOS!$M$36)</f>
        <v>103.28876900070266</v>
      </c>
      <c r="AB291" s="6">
        <f>$K$291*$V$291</f>
        <v>0</v>
      </c>
      <c r="AC291" s="6">
        <f>$M$291*$W$291</f>
        <v>4987.639439999999</v>
      </c>
      <c r="AD291" s="6">
        <f>$O$291*$X$291</f>
        <v>3863.7862199999995</v>
      </c>
      <c r="AE291" s="6">
        <f>$K$291*$Y$291</f>
        <v>0</v>
      </c>
      <c r="AF291" s="6">
        <f ca="1">$M$291*$Z$291</f>
        <v>5990.7967871896071</v>
      </c>
      <c r="AG291" s="6">
        <f>$O$291*$AA$291</f>
        <v>3309.9918913965175</v>
      </c>
    </row>
    <row r="292" spans="1:3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31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32.201000000000001</v>
      </c>
      <c r="M292" s="6">
        <v>32.201000000000001</v>
      </c>
      <c r="N292" s="6">
        <v>32.201000000000001</v>
      </c>
      <c r="O292" s="6">
        <v>32.201000000000001</v>
      </c>
      <c r="P292" s="6">
        <v>224</v>
      </c>
      <c r="Q292" s="4" t="s">
        <v>26</v>
      </c>
      <c r="R292" s="4">
        <v>0</v>
      </c>
      <c r="S292" s="6">
        <v>0</v>
      </c>
      <c r="T292" s="6">
        <v>29</v>
      </c>
      <c r="U292" s="6">
        <v>46</v>
      </c>
      <c r="V292" s="6">
        <f>IF(ISERROR(VLOOKUP($S$292,'TAR FIN'!$A$1:$O$91,15,0)),0,VLOOKUP($S$292,'TAR FIN'!$A$1:$O$91,15,0))</f>
        <v>0</v>
      </c>
      <c r="W292" s="6">
        <f>IF(ISERROR(VLOOKUP($T$292,'TAR FIN'!$A$1:$O$91,15,0)),0,VLOOKUP($T$292,'TAR FIN'!$A$1:$O$91,15,0))</f>
        <v>155.63999999999999</v>
      </c>
      <c r="X292" s="6">
        <f>IF(ISERROR(VLOOKUP($U$292,'TAR FIN'!$A$1:$O$91,15,0)),0,VLOOKUP($U$292,'TAR FIN'!$A$1:$O$91,15,0))</f>
        <v>120.57</v>
      </c>
      <c r="Y292" s="6"/>
      <c r="Z292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2" s="6">
        <f>('TE BE'!$AB$15+'TE BF'!$AB$15+'TE CVA'!$AB$15)*(1-CUSTOS!$M$36)</f>
        <v>103.28876900070266</v>
      </c>
      <c r="AB292" s="6">
        <f>$K$292*$V$292</f>
        <v>0</v>
      </c>
      <c r="AC292" s="6">
        <f>$M$292*$W$292</f>
        <v>5011.7636399999992</v>
      </c>
      <c r="AD292" s="6">
        <f>$O$292*$X$292</f>
        <v>3882.4745699999999</v>
      </c>
      <c r="AE292" s="6">
        <f>$K$292*$Y$292</f>
        <v>0</v>
      </c>
      <c r="AF292" s="6">
        <f ca="1">$M$292*$Z$292</f>
        <v>6019.7730557415143</v>
      </c>
      <c r="AG292" s="6">
        <f>$O$292*$AA$292</f>
        <v>3326.0016505916265</v>
      </c>
    </row>
    <row r="293" spans="1:3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31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33.396999999999998</v>
      </c>
      <c r="M293" s="6">
        <v>33.396999999999998</v>
      </c>
      <c r="N293" s="6">
        <v>33.396999999999998</v>
      </c>
      <c r="O293" s="6">
        <v>33.396999999999998</v>
      </c>
      <c r="P293" s="6">
        <v>211</v>
      </c>
      <c r="Q293" s="4" t="s">
        <v>26</v>
      </c>
      <c r="R293" s="4">
        <v>0</v>
      </c>
      <c r="S293" s="6">
        <v>0</v>
      </c>
      <c r="T293" s="6">
        <v>29</v>
      </c>
      <c r="U293" s="6">
        <v>46</v>
      </c>
      <c r="V293" s="6">
        <f>IF(ISERROR(VLOOKUP($S$293,'TAR FIN'!$A$1:$O$91,15,0)),0,VLOOKUP($S$293,'TAR FIN'!$A$1:$O$91,15,0))</f>
        <v>0</v>
      </c>
      <c r="W293" s="6">
        <f>IF(ISERROR(VLOOKUP($T$293,'TAR FIN'!$A$1:$O$91,15,0)),0,VLOOKUP($T$293,'TAR FIN'!$A$1:$O$91,15,0))</f>
        <v>155.63999999999999</v>
      </c>
      <c r="X293" s="6">
        <f>IF(ISERROR(VLOOKUP($U$293,'TAR FIN'!$A$1:$O$91,15,0)),0,VLOOKUP($U$293,'TAR FIN'!$A$1:$O$91,15,0))</f>
        <v>120.57</v>
      </c>
      <c r="Y293" s="6"/>
      <c r="Z293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3" s="6">
        <f>('TE BE'!$AB$15+'TE BF'!$AB$15+'TE CVA'!$AB$15)*(1-CUSTOS!$M$36)</f>
        <v>103.28876900070266</v>
      </c>
      <c r="AB293" s="6">
        <f>$K$293*$V$293</f>
        <v>0</v>
      </c>
      <c r="AC293" s="6">
        <f>$M$293*$W$293</f>
        <v>5197.9090799999994</v>
      </c>
      <c r="AD293" s="6">
        <f>$O$293*$X$293</f>
        <v>4026.6762899999994</v>
      </c>
      <c r="AE293" s="6">
        <f>$K$293*$Y$293</f>
        <v>0</v>
      </c>
      <c r="AF293" s="6">
        <f ca="1">$M$293*$Z$293</f>
        <v>6243.3576827613842</v>
      </c>
      <c r="AG293" s="6">
        <f>$O$293*$AA$293</f>
        <v>3449.5350183164664</v>
      </c>
    </row>
    <row r="294" spans="1:3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31</v>
      </c>
      <c r="F294" s="4" t="s">
        <v>25</v>
      </c>
      <c r="G294" s="4" t="s">
        <v>25</v>
      </c>
      <c r="H294" s="4" t="s">
        <v>25</v>
      </c>
      <c r="I294" s="5">
        <v>44562</v>
      </c>
      <c r="J294" s="6">
        <v>0</v>
      </c>
      <c r="K294" s="6">
        <v>0</v>
      </c>
      <c r="L294" s="6">
        <v>39.515000000000001</v>
      </c>
      <c r="M294" s="6">
        <v>39.515000000000001</v>
      </c>
      <c r="N294" s="6">
        <v>39.515000000000001</v>
      </c>
      <c r="O294" s="6">
        <v>39.515000000000001</v>
      </c>
      <c r="P294" s="6">
        <v>156</v>
      </c>
      <c r="Q294" s="4" t="s">
        <v>26</v>
      </c>
      <c r="R294" s="4">
        <v>0</v>
      </c>
      <c r="S294" s="6">
        <v>0</v>
      </c>
      <c r="T294" s="6">
        <v>29</v>
      </c>
      <c r="U294" s="6">
        <v>46</v>
      </c>
      <c r="V294" s="6">
        <f>IF(ISERROR(VLOOKUP($S$294,'TAR FIN'!$A$1:$O$91,15,0)),0,VLOOKUP($S$294,'TAR FIN'!$A$1:$O$91,15,0))</f>
        <v>0</v>
      </c>
      <c r="W294" s="6">
        <f>IF(ISERROR(VLOOKUP($T$294,'TAR FIN'!$A$1:$O$91,15,0)),0,VLOOKUP($T$294,'TAR FIN'!$A$1:$O$91,15,0))</f>
        <v>155.63999999999999</v>
      </c>
      <c r="X294" s="6">
        <f>IF(ISERROR(VLOOKUP($U$294,'TAR FIN'!$A$1:$O$91,15,0)),0,VLOOKUP($U$294,'TAR FIN'!$A$1:$O$91,15,0))</f>
        <v>120.57</v>
      </c>
      <c r="Y294" s="6"/>
      <c r="Z294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4" s="6">
        <f>('TE BE'!$AB$15+'TE BF'!$AB$15+'TE CVA'!$AB$15)*(1-CUSTOS!$M$36)</f>
        <v>103.28876900070266</v>
      </c>
      <c r="AB294" s="6">
        <f>$K$294*$V$294</f>
        <v>0</v>
      </c>
      <c r="AC294" s="6">
        <f>$M$294*$W$294</f>
        <v>6150.1145999999999</v>
      </c>
      <c r="AD294" s="6">
        <f>$O$294*$X$294</f>
        <v>4764.3235500000001</v>
      </c>
      <c r="AE294" s="6">
        <f>$K$294*$Y$294</f>
        <v>0</v>
      </c>
      <c r="AF294" s="6">
        <f ca="1">$M$294*$Z$294</f>
        <v>7387.0790440553374</v>
      </c>
      <c r="AG294" s="6">
        <f>$O$294*$AA$294</f>
        <v>4081.4557070627657</v>
      </c>
    </row>
    <row r="295" spans="1:33" ht="11.25" customHeight="1" x14ac:dyDescent="0.25">
      <c r="A295" s="4" t="s">
        <v>21</v>
      </c>
      <c r="B295" s="4" t="s">
        <v>22</v>
      </c>
      <c r="C295" s="4" t="s">
        <v>23</v>
      </c>
      <c r="D295" s="4" t="s">
        <v>24</v>
      </c>
      <c r="E295" s="4" t="s">
        <v>31</v>
      </c>
      <c r="F295" s="4" t="s">
        <v>25</v>
      </c>
      <c r="G295" s="4" t="s">
        <v>25</v>
      </c>
      <c r="H295" s="4" t="s">
        <v>25</v>
      </c>
      <c r="I295" s="5">
        <v>44593</v>
      </c>
      <c r="J295" s="6">
        <v>0</v>
      </c>
      <c r="K295" s="6">
        <v>0</v>
      </c>
      <c r="L295" s="6">
        <v>42.531999999999996</v>
      </c>
      <c r="M295" s="6">
        <v>42.531999999999996</v>
      </c>
      <c r="N295" s="6">
        <v>42.531999999999996</v>
      </c>
      <c r="O295" s="6">
        <v>42.531999999999996</v>
      </c>
      <c r="P295" s="6">
        <v>178</v>
      </c>
      <c r="Q295" s="4" t="s">
        <v>26</v>
      </c>
      <c r="R295" s="4">
        <v>0</v>
      </c>
      <c r="S295" s="6">
        <v>0</v>
      </c>
      <c r="T295" s="6">
        <v>29</v>
      </c>
      <c r="U295" s="6">
        <v>46</v>
      </c>
      <c r="V295" s="6">
        <f>IF(ISERROR(VLOOKUP($S$295,'TAR FIN'!$A$1:$O$91,15,0)),0,VLOOKUP($S$295,'TAR FIN'!$A$1:$O$91,15,0))</f>
        <v>0</v>
      </c>
      <c r="W295" s="6">
        <f>IF(ISERROR(VLOOKUP($T$295,'TAR FIN'!$A$1:$O$91,15,0)),0,VLOOKUP($T$295,'TAR FIN'!$A$1:$O$91,15,0))</f>
        <v>155.63999999999999</v>
      </c>
      <c r="X295" s="6">
        <f>IF(ISERROR(VLOOKUP($U$295,'TAR FIN'!$A$1:$O$91,15,0)),0,VLOOKUP($U$295,'TAR FIN'!$A$1:$O$91,15,0))</f>
        <v>120.57</v>
      </c>
      <c r="Y295" s="6"/>
      <c r="Z295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5" s="6">
        <f>('TE BE'!$AB$15+'TE BF'!$AB$15+'TE CVA'!$AB$15)*(1-CUSTOS!$M$36)</f>
        <v>103.28876900070266</v>
      </c>
      <c r="AB295" s="6">
        <f>$K$295*$V$295</f>
        <v>0</v>
      </c>
      <c r="AC295" s="6">
        <f>$M$295*$W$295</f>
        <v>6619.6804799999991</v>
      </c>
      <c r="AD295" s="6">
        <f>$O$295*$X$295</f>
        <v>5128.083239999999</v>
      </c>
      <c r="AE295" s="6">
        <f>$K$295*$Y$295</f>
        <v>0</v>
      </c>
      <c r="AF295" s="6">
        <f ca="1">$M$295*$Z$295</f>
        <v>7951.0880906430875</v>
      </c>
      <c r="AG295" s="6">
        <f>$O$295*$AA$295</f>
        <v>4393.0779231378847</v>
      </c>
    </row>
    <row r="296" spans="1:33" ht="11.25" customHeight="1" x14ac:dyDescent="0.25">
      <c r="A296" s="4" t="s">
        <v>27</v>
      </c>
      <c r="B296" s="4" t="s">
        <v>22</v>
      </c>
      <c r="C296" s="4" t="s">
        <v>23</v>
      </c>
      <c r="D296" s="4" t="s">
        <v>24</v>
      </c>
      <c r="E296" s="4" t="s">
        <v>31</v>
      </c>
      <c r="F296" s="4" t="s">
        <v>25</v>
      </c>
      <c r="G296" s="4" t="s">
        <v>25</v>
      </c>
      <c r="H296" s="4" t="s">
        <v>25</v>
      </c>
      <c r="I296" s="5">
        <v>44593</v>
      </c>
      <c r="J296" s="6">
        <v>0</v>
      </c>
      <c r="K296" s="6">
        <v>0</v>
      </c>
      <c r="L296" s="6">
        <v>-2E-3</v>
      </c>
      <c r="M296" s="6">
        <v>-2E-3</v>
      </c>
      <c r="N296" s="6">
        <v>-2E-3</v>
      </c>
      <c r="O296" s="6">
        <v>-2E-3</v>
      </c>
      <c r="P296" s="6">
        <v>0</v>
      </c>
      <c r="Q296" s="4" t="s">
        <v>26</v>
      </c>
      <c r="R296" s="4">
        <v>0</v>
      </c>
      <c r="S296" s="6">
        <v>0</v>
      </c>
      <c r="T296" s="6">
        <v>29</v>
      </c>
      <c r="U296" s="6">
        <v>46</v>
      </c>
      <c r="V296" s="6">
        <f>IF(ISERROR(VLOOKUP($S$296,'TAR FIN'!$A$1:$O$91,15,0)),0,VLOOKUP($S$296,'TAR FIN'!$A$1:$O$91,15,0))</f>
        <v>0</v>
      </c>
      <c r="W296" s="6">
        <f>IF(ISERROR(VLOOKUP($T$296,'TAR FIN'!$A$1:$O$91,15,0)),0,VLOOKUP($T$296,'TAR FIN'!$A$1:$O$91,15,0))</f>
        <v>155.63999999999999</v>
      </c>
      <c r="X296" s="6">
        <f>IF(ISERROR(VLOOKUP($U$296,'TAR FIN'!$A$1:$O$91,15,0)),0,VLOOKUP($U$296,'TAR FIN'!$A$1:$O$91,15,0))</f>
        <v>120.57</v>
      </c>
      <c r="Y296" s="6"/>
      <c r="Z296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6" s="6">
        <f>('TE BE'!$AB$15+'TE BF'!$AB$15+'TE CVA'!$AB$15)*(1-CUSTOS!$M$36)</f>
        <v>103.28876900070266</v>
      </c>
      <c r="AB296" s="6">
        <f>$K$296*$V$296</f>
        <v>0</v>
      </c>
      <c r="AC296" s="6">
        <f>$M$296*$W$296</f>
        <v>-0.31128</v>
      </c>
      <c r="AD296" s="6">
        <f>$O$296*$X$296</f>
        <v>-0.24113999999999999</v>
      </c>
      <c r="AE296" s="6">
        <f>$K$296*$Y$296</f>
        <v>0</v>
      </c>
      <c r="AF296" s="6">
        <f ca="1">$M$296*$Z$296</f>
        <v>-0.37388733615362962</v>
      </c>
      <c r="AG296" s="6">
        <f>$O$296*$AA$296</f>
        <v>-0.20657753800140533</v>
      </c>
    </row>
    <row r="297" spans="1:33" ht="11.25" customHeight="1" x14ac:dyDescent="0.25">
      <c r="A297" s="4" t="s">
        <v>21</v>
      </c>
      <c r="B297" s="4" t="s">
        <v>22</v>
      </c>
      <c r="C297" s="4" t="s">
        <v>23</v>
      </c>
      <c r="D297" s="4" t="s">
        <v>24</v>
      </c>
      <c r="E297" s="4" t="s">
        <v>31</v>
      </c>
      <c r="F297" s="4" t="s">
        <v>25</v>
      </c>
      <c r="G297" s="4" t="s">
        <v>25</v>
      </c>
      <c r="H297" s="4" t="s">
        <v>25</v>
      </c>
      <c r="I297" s="5">
        <v>44621</v>
      </c>
      <c r="J297" s="6">
        <v>0</v>
      </c>
      <c r="K297" s="6">
        <v>0</v>
      </c>
      <c r="L297" s="6">
        <v>53.284999999999997</v>
      </c>
      <c r="M297" s="6">
        <v>53.284999999999997</v>
      </c>
      <c r="N297" s="6">
        <v>53.284999999999997</v>
      </c>
      <c r="O297" s="6">
        <v>53.284999999999997</v>
      </c>
      <c r="P297" s="6">
        <v>261</v>
      </c>
      <c r="Q297" s="4" t="s">
        <v>26</v>
      </c>
      <c r="R297" s="4">
        <v>0</v>
      </c>
      <c r="S297" s="6">
        <v>0</v>
      </c>
      <c r="T297" s="6">
        <v>29</v>
      </c>
      <c r="U297" s="6">
        <v>46</v>
      </c>
      <c r="V297" s="6">
        <f>IF(ISERROR(VLOOKUP($S$297,'TAR FIN'!$A$1:$O$91,15,0)),0,VLOOKUP($S$297,'TAR FIN'!$A$1:$O$91,15,0))</f>
        <v>0</v>
      </c>
      <c r="W297" s="6">
        <f>IF(ISERROR(VLOOKUP($T$297,'TAR FIN'!$A$1:$O$91,15,0)),0,VLOOKUP($T$297,'TAR FIN'!$A$1:$O$91,15,0))</f>
        <v>155.63999999999999</v>
      </c>
      <c r="X297" s="6">
        <f>IF(ISERROR(VLOOKUP($U$297,'TAR FIN'!$A$1:$O$91,15,0)),0,VLOOKUP($U$297,'TAR FIN'!$A$1:$O$91,15,0))</f>
        <v>120.57</v>
      </c>
      <c r="Y297" s="6"/>
      <c r="Z297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7" s="6">
        <f>('TE BE'!$AB$15+'TE BF'!$AB$15+'TE CVA'!$AB$15)*(1-CUSTOS!$M$36)</f>
        <v>103.28876900070266</v>
      </c>
      <c r="AB297" s="6">
        <f>$K$297*$V$297</f>
        <v>0</v>
      </c>
      <c r="AC297" s="6">
        <f>$M$297*$W$297</f>
        <v>8293.277399999999</v>
      </c>
      <c r="AD297" s="6">
        <f>$O$297*$X$297</f>
        <v>6424.5724499999997</v>
      </c>
      <c r="AE297" s="6">
        <f>$K$297*$Y$297</f>
        <v>0</v>
      </c>
      <c r="AF297" s="6">
        <f ca="1">$M$297*$Z$297</f>
        <v>9961.2933534730764</v>
      </c>
      <c r="AG297" s="6">
        <f>$O$297*$AA$297</f>
        <v>5503.7420562024408</v>
      </c>
    </row>
    <row r="298" spans="1:33" ht="11.25" customHeight="1" x14ac:dyDescent="0.25">
      <c r="A298" s="4" t="s">
        <v>21</v>
      </c>
      <c r="B298" s="4" t="s">
        <v>22</v>
      </c>
      <c r="C298" s="4" t="s">
        <v>23</v>
      </c>
      <c r="D298" s="4" t="s">
        <v>24</v>
      </c>
      <c r="E298" s="4" t="s">
        <v>31</v>
      </c>
      <c r="F298" s="4" t="s">
        <v>25</v>
      </c>
      <c r="G298" s="4" t="s">
        <v>25</v>
      </c>
      <c r="H298" s="4" t="s">
        <v>25</v>
      </c>
      <c r="I298" s="5">
        <v>44652</v>
      </c>
      <c r="J298" s="6">
        <v>0</v>
      </c>
      <c r="K298" s="6">
        <v>0</v>
      </c>
      <c r="L298" s="6">
        <v>54.87</v>
      </c>
      <c r="M298" s="6">
        <v>54.87</v>
      </c>
      <c r="N298" s="6">
        <v>54.87</v>
      </c>
      <c r="O298" s="6">
        <v>54.87</v>
      </c>
      <c r="P298" s="6">
        <v>331</v>
      </c>
      <c r="Q298" s="4" t="s">
        <v>26</v>
      </c>
      <c r="R298" s="4">
        <v>0</v>
      </c>
      <c r="S298" s="6">
        <v>0</v>
      </c>
      <c r="T298" s="6">
        <v>29</v>
      </c>
      <c r="U298" s="6">
        <v>46</v>
      </c>
      <c r="V298" s="6">
        <f>IF(ISERROR(VLOOKUP($S$298,'TAR FIN'!$A$1:$O$91,15,0)),0,VLOOKUP($S$298,'TAR FIN'!$A$1:$O$91,15,0))</f>
        <v>0</v>
      </c>
      <c r="W298" s="6">
        <f>IF(ISERROR(VLOOKUP($T$298,'TAR FIN'!$A$1:$O$91,15,0)),0,VLOOKUP($T$298,'TAR FIN'!$A$1:$O$91,15,0))</f>
        <v>155.63999999999999</v>
      </c>
      <c r="X298" s="6">
        <f>IF(ISERROR(VLOOKUP($U$298,'TAR FIN'!$A$1:$O$91,15,0)),0,VLOOKUP($U$298,'TAR FIN'!$A$1:$O$91,15,0))</f>
        <v>120.57</v>
      </c>
      <c r="Y298" s="6"/>
      <c r="Z298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8" s="6">
        <f>('TE BE'!$AB$15+'TE BF'!$AB$15+'TE CVA'!$AB$15)*(1-CUSTOS!$M$36)</f>
        <v>103.28876900070266</v>
      </c>
      <c r="AB298" s="6">
        <f>$K$298*$V$298</f>
        <v>0</v>
      </c>
      <c r="AC298" s="6">
        <f>$M$298*$W$298</f>
        <v>8539.9667999999983</v>
      </c>
      <c r="AD298" s="6">
        <f>$O$298*$X$298</f>
        <v>6615.6758999999993</v>
      </c>
      <c r="AE298" s="6">
        <f>$K$298*$Y$298</f>
        <v>0</v>
      </c>
      <c r="AF298" s="6">
        <f ca="1">$M$298*$Z$298</f>
        <v>10257.599067374829</v>
      </c>
      <c r="AG298" s="6">
        <f>$O$298*$AA$298</f>
        <v>5667.4547550685547</v>
      </c>
    </row>
    <row r="299" spans="1:3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31</v>
      </c>
      <c r="F299" s="4" t="s">
        <v>25</v>
      </c>
      <c r="G299" s="4" t="s">
        <v>25</v>
      </c>
      <c r="H299" s="4" t="s">
        <v>25</v>
      </c>
      <c r="I299" s="5">
        <v>44682</v>
      </c>
      <c r="J299" s="6">
        <v>0</v>
      </c>
      <c r="K299" s="6">
        <v>0</v>
      </c>
      <c r="L299" s="6">
        <v>48.58</v>
      </c>
      <c r="M299" s="6">
        <v>48.58</v>
      </c>
      <c r="N299" s="6">
        <v>48.58</v>
      </c>
      <c r="O299" s="6">
        <v>48.58</v>
      </c>
      <c r="P299" s="6">
        <v>387</v>
      </c>
      <c r="Q299" s="4" t="s">
        <v>26</v>
      </c>
      <c r="R299" s="4">
        <v>0</v>
      </c>
      <c r="S299" s="6">
        <v>0</v>
      </c>
      <c r="T299" s="6">
        <v>29</v>
      </c>
      <c r="U299" s="6">
        <v>46</v>
      </c>
      <c r="V299" s="6">
        <f>IF(ISERROR(VLOOKUP($S$299,'TAR FIN'!$A$1:$O$91,15,0)),0,VLOOKUP($S$299,'TAR FIN'!$A$1:$O$91,15,0))</f>
        <v>0</v>
      </c>
      <c r="W299" s="6">
        <f>IF(ISERROR(VLOOKUP($T$299,'TAR FIN'!$A$1:$O$91,15,0)),0,VLOOKUP($T$299,'TAR FIN'!$A$1:$O$91,15,0))</f>
        <v>155.63999999999999</v>
      </c>
      <c r="X299" s="6">
        <f>IF(ISERROR(VLOOKUP($U$299,'TAR FIN'!$A$1:$O$91,15,0)),0,VLOOKUP($U$299,'TAR FIN'!$A$1:$O$91,15,0))</f>
        <v>120.57</v>
      </c>
      <c r="Y299" s="6"/>
      <c r="Z299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299" s="6">
        <f>('TE BE'!$AB$15+'TE BF'!$AB$15+'TE CVA'!$AB$15)*(1-CUSTOS!$M$36)</f>
        <v>103.28876900070266</v>
      </c>
      <c r="AB299" s="6">
        <f>$K$299*$V$299</f>
        <v>0</v>
      </c>
      <c r="AC299" s="6">
        <f>$M$299*$W$299</f>
        <v>7560.9911999999995</v>
      </c>
      <c r="AD299" s="6">
        <f>$O$299*$X$299</f>
        <v>5857.2905999999994</v>
      </c>
      <c r="AE299" s="6">
        <f>$K$299*$Y$299</f>
        <v>0</v>
      </c>
      <c r="AF299" s="6">
        <f ca="1">$M$299*$Z$299</f>
        <v>9081.7233951716626</v>
      </c>
      <c r="AG299" s="6">
        <f>$O$299*$AA$299</f>
        <v>5017.7683980541351</v>
      </c>
    </row>
    <row r="300" spans="1:3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31</v>
      </c>
      <c r="F300" s="4" t="s">
        <v>25</v>
      </c>
      <c r="G300" s="4" t="s">
        <v>25</v>
      </c>
      <c r="H300" s="4" t="s">
        <v>25</v>
      </c>
      <c r="I300" s="5">
        <v>44713</v>
      </c>
      <c r="J300" s="6">
        <v>0</v>
      </c>
      <c r="K300" s="6">
        <v>0</v>
      </c>
      <c r="L300" s="6">
        <v>49.460999999999999</v>
      </c>
      <c r="M300" s="6">
        <v>49.460999999999999</v>
      </c>
      <c r="N300" s="6">
        <v>49.460999999999999</v>
      </c>
      <c r="O300" s="6">
        <v>49.460999999999999</v>
      </c>
      <c r="P300" s="6">
        <v>349</v>
      </c>
      <c r="Q300" s="4" t="s">
        <v>26</v>
      </c>
      <c r="R300" s="4">
        <v>0</v>
      </c>
      <c r="S300" s="6">
        <v>0</v>
      </c>
      <c r="T300" s="6">
        <v>29</v>
      </c>
      <c r="U300" s="6">
        <v>46</v>
      </c>
      <c r="V300" s="6">
        <f>IF(ISERROR(VLOOKUP($S$300,'TAR FIN'!$A$1:$O$91,15,0)),0,VLOOKUP($S$300,'TAR FIN'!$A$1:$O$91,15,0))</f>
        <v>0</v>
      </c>
      <c r="W300" s="6">
        <f>IF(ISERROR(VLOOKUP($T$300,'TAR FIN'!$A$1:$O$91,15,0)),0,VLOOKUP($T$300,'TAR FIN'!$A$1:$O$91,15,0))</f>
        <v>155.63999999999999</v>
      </c>
      <c r="X300" s="6">
        <f>IF(ISERROR(VLOOKUP($U$300,'TAR FIN'!$A$1:$O$91,15,0)),0,VLOOKUP($U$300,'TAR FIN'!$A$1:$O$91,15,0))</f>
        <v>120.57</v>
      </c>
      <c r="Y300" s="6"/>
      <c r="Z300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300" s="6">
        <f>('TE BE'!$AB$15+'TE BF'!$AB$15+'TE CVA'!$AB$15)*(1-CUSTOS!$M$36)</f>
        <v>103.28876900070266</v>
      </c>
      <c r="AB300" s="6">
        <f>$K$300*$V$300</f>
        <v>0</v>
      </c>
      <c r="AC300" s="6">
        <f>$M$300*$W$300</f>
        <v>7698.1100399999987</v>
      </c>
      <c r="AD300" s="6">
        <f>$O$300*$X$300</f>
        <v>5963.5127699999994</v>
      </c>
      <c r="AE300" s="6">
        <f>$K$300*$Y$300</f>
        <v>0</v>
      </c>
      <c r="AF300" s="6">
        <f ca="1">$M$300*$Z$300</f>
        <v>9246.4207667473365</v>
      </c>
      <c r="AG300" s="6">
        <f>$O$300*$AA$300</f>
        <v>5108.7658035437544</v>
      </c>
    </row>
    <row r="301" spans="1:3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31</v>
      </c>
      <c r="F301" s="4" t="s">
        <v>25</v>
      </c>
      <c r="G301" s="4" t="s">
        <v>25</v>
      </c>
      <c r="H301" s="4" t="s">
        <v>25</v>
      </c>
      <c r="I301" s="5">
        <v>44743</v>
      </c>
      <c r="J301" s="6">
        <v>0</v>
      </c>
      <c r="K301" s="6">
        <v>0</v>
      </c>
      <c r="L301" s="6">
        <v>48.317999999999998</v>
      </c>
      <c r="M301" s="6">
        <v>48.317999999999998</v>
      </c>
      <c r="N301" s="6">
        <v>48.317999999999998</v>
      </c>
      <c r="O301" s="6">
        <v>48.317999999999998</v>
      </c>
      <c r="P301" s="6">
        <v>332</v>
      </c>
      <c r="Q301" s="4" t="s">
        <v>26</v>
      </c>
      <c r="R301" s="4">
        <v>0</v>
      </c>
      <c r="S301" s="6">
        <v>0</v>
      </c>
      <c r="T301" s="6">
        <v>29</v>
      </c>
      <c r="U301" s="6">
        <v>46</v>
      </c>
      <c r="V301" s="6">
        <f>IF(ISERROR(VLOOKUP($S$301,'TAR FIN'!$A$1:$O$91,15,0)),0,VLOOKUP($S$301,'TAR FIN'!$A$1:$O$91,15,0))</f>
        <v>0</v>
      </c>
      <c r="W301" s="6">
        <f>IF(ISERROR(VLOOKUP($T$301,'TAR FIN'!$A$1:$O$91,15,0)),0,VLOOKUP($T$301,'TAR FIN'!$A$1:$O$91,15,0))</f>
        <v>155.63999999999999</v>
      </c>
      <c r="X301" s="6">
        <f>IF(ISERROR(VLOOKUP($U$301,'TAR FIN'!$A$1:$O$91,15,0)),0,VLOOKUP($U$301,'TAR FIN'!$A$1:$O$91,15,0))</f>
        <v>120.57</v>
      </c>
      <c r="Y301" s="6"/>
      <c r="Z301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301" s="6">
        <f>('TE BE'!$AB$15+'TE BF'!$AB$15+'TE CVA'!$AB$15)*(1-CUSTOS!$M$36)</f>
        <v>103.28876900070266</v>
      </c>
      <c r="AB301" s="6">
        <f>$K$301*$V$301</f>
        <v>0</v>
      </c>
      <c r="AC301" s="6">
        <f>$M$301*$W$301</f>
        <v>7520.2135199999993</v>
      </c>
      <c r="AD301" s="6">
        <f>$O$301*$X$301</f>
        <v>5825.7012599999998</v>
      </c>
      <c r="AE301" s="6">
        <f>$K$301*$Y$301</f>
        <v>0</v>
      </c>
      <c r="AF301" s="6">
        <f ca="1">$M$301*$Z$301</f>
        <v>9032.7441541355383</v>
      </c>
      <c r="AG301" s="6">
        <f>$O$301*$AA$301</f>
        <v>4990.7067405759508</v>
      </c>
    </row>
    <row r="302" spans="1:33" ht="11.25" customHeight="1" x14ac:dyDescent="0.25">
      <c r="A302" s="4" t="s">
        <v>57</v>
      </c>
      <c r="B302" s="4" t="s">
        <v>22</v>
      </c>
      <c r="C302" s="4" t="s">
        <v>23</v>
      </c>
      <c r="D302" s="4" t="s">
        <v>24</v>
      </c>
      <c r="E302" s="4" t="s">
        <v>31</v>
      </c>
      <c r="F302" s="4" t="s">
        <v>25</v>
      </c>
      <c r="G302" s="4" t="s">
        <v>25</v>
      </c>
      <c r="H302" s="4" t="s">
        <v>25</v>
      </c>
      <c r="I302" s="5">
        <v>44774</v>
      </c>
      <c r="J302" s="6">
        <v>0</v>
      </c>
      <c r="K302" s="6">
        <v>0</v>
      </c>
      <c r="L302" s="6">
        <v>48.317999999999998</v>
      </c>
      <c r="M302" s="6">
        <v>48.317999999999998</v>
      </c>
      <c r="N302" s="6">
        <v>48.317999999999998</v>
      </c>
      <c r="O302" s="6">
        <v>48.317999999999998</v>
      </c>
      <c r="P302" s="6">
        <v>332</v>
      </c>
      <c r="Q302" s="4" t="s">
        <v>26</v>
      </c>
      <c r="R302" s="4">
        <v>0</v>
      </c>
      <c r="S302" s="6">
        <v>0</v>
      </c>
      <c r="T302" s="6">
        <v>29</v>
      </c>
      <c r="U302" s="6">
        <v>46</v>
      </c>
      <c r="V302" s="6">
        <f>IF(ISERROR(VLOOKUP($S$302,'TAR FIN'!$A$1:$O$91,15,0)),0,VLOOKUP($S$302,'TAR FIN'!$A$1:$O$91,15,0))</f>
        <v>0</v>
      </c>
      <c r="W302" s="6">
        <f>IF(ISERROR(VLOOKUP($T$302,'TAR FIN'!$A$1:$O$91,15,0)),0,VLOOKUP($T$302,'TAR FIN'!$A$1:$O$91,15,0))</f>
        <v>155.63999999999999</v>
      </c>
      <c r="X302" s="6">
        <f>IF(ISERROR(VLOOKUP($U$302,'TAR FIN'!$A$1:$O$91,15,0)),0,VLOOKUP($U$302,'TAR FIN'!$A$1:$O$91,15,0))</f>
        <v>120.57</v>
      </c>
      <c r="Y302" s="6"/>
      <c r="Z302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302" s="6">
        <f>('TE BE'!$AB$15+'TE BF'!$AB$15+'TE CVA'!$AB$15)*(1-CUSTOS!$M$36)</f>
        <v>103.28876900070266</v>
      </c>
      <c r="AB302" s="6">
        <f>$K$302*$V$302</f>
        <v>0</v>
      </c>
      <c r="AC302" s="6">
        <f>$M$302*$W$302</f>
        <v>7520.2135199999993</v>
      </c>
      <c r="AD302" s="6">
        <f>$O$302*$X$302</f>
        <v>5825.7012599999998</v>
      </c>
      <c r="AE302" s="6">
        <f>$K$302*$Y$302</f>
        <v>0</v>
      </c>
      <c r="AF302" s="6">
        <f ca="1">$M$302*$Z$302</f>
        <v>9032.7441541355383</v>
      </c>
      <c r="AG302" s="6">
        <f>$O$302*$AA$302</f>
        <v>4990.7067405759508</v>
      </c>
    </row>
    <row r="303" spans="1:3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32</v>
      </c>
      <c r="F303" s="4" t="s">
        <v>25</v>
      </c>
      <c r="G303" s="4" t="s">
        <v>25</v>
      </c>
      <c r="H303" s="4" t="s">
        <v>25</v>
      </c>
      <c r="I303" s="5">
        <v>44440</v>
      </c>
      <c r="J303" s="6">
        <v>0</v>
      </c>
      <c r="K303" s="6">
        <v>0</v>
      </c>
      <c r="L303" s="6">
        <v>11.452</v>
      </c>
      <c r="M303" s="6">
        <v>11.452</v>
      </c>
      <c r="N303" s="6">
        <v>11.452</v>
      </c>
      <c r="O303" s="6">
        <v>11.452</v>
      </c>
      <c r="P303" s="6">
        <v>169</v>
      </c>
      <c r="Q303" s="4" t="s">
        <v>26</v>
      </c>
      <c r="R303" s="4">
        <v>0</v>
      </c>
      <c r="S303" s="6">
        <v>0</v>
      </c>
      <c r="T303" s="6">
        <v>19</v>
      </c>
      <c r="U303" s="6">
        <v>57</v>
      </c>
      <c r="V303" s="6">
        <f>IF(ISERROR(VLOOKUP($S$303,'TAR FIN'!$A$1:$O$91,15,0)),0,VLOOKUP($S$303,'TAR FIN'!$A$1:$O$91,15,0))</f>
        <v>0</v>
      </c>
      <c r="W303" s="6">
        <f>IF(ISERROR(VLOOKUP($T$303,'TAR FIN'!$A$1:$O$91,15,0)),0,VLOOKUP($T$303,'TAR FIN'!$A$1:$O$91,15,0))</f>
        <v>172.93</v>
      </c>
      <c r="X303" s="6">
        <f>IF(ISERROR(VLOOKUP($U$303,'TAR FIN'!$A$1:$O$91,15,0)),0,VLOOKUP($U$303,'TAR FIN'!$A$1:$O$91,15,0))</f>
        <v>133.97</v>
      </c>
      <c r="Y303" s="6"/>
      <c r="Z303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3" s="6">
        <f>('TE BE'!$AB$16+'TE BF'!$AB$16+'TE CVA'!$AB$16)*(1-CUSTOS!$M$37)</f>
        <v>114.76529888966962</v>
      </c>
      <c r="AB303" s="6">
        <f>$K$303*$V$303</f>
        <v>0</v>
      </c>
      <c r="AC303" s="6">
        <f>$M$303*$W$303</f>
        <v>1980.39436</v>
      </c>
      <c r="AD303" s="6">
        <f>$O$303*$X$303</f>
        <v>1534.22444</v>
      </c>
      <c r="AE303" s="6">
        <f>$K$303*$Y$303</f>
        <v>0</v>
      </c>
      <c r="AF303" s="6">
        <f ca="1">$M$303*$Z$303</f>
        <v>2378.7543186840926</v>
      </c>
      <c r="AG303" s="6">
        <f>$O$303*$AA$303</f>
        <v>1314.2922028844964</v>
      </c>
    </row>
    <row r="304" spans="1:3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32</v>
      </c>
      <c r="F304" s="4" t="s">
        <v>25</v>
      </c>
      <c r="G304" s="4" t="s">
        <v>25</v>
      </c>
      <c r="H304" s="4" t="s">
        <v>25</v>
      </c>
      <c r="I304" s="5">
        <v>44470</v>
      </c>
      <c r="J304" s="6">
        <v>0</v>
      </c>
      <c r="K304" s="6">
        <v>0</v>
      </c>
      <c r="L304" s="6">
        <v>11.125999999999999</v>
      </c>
      <c r="M304" s="6">
        <v>11.125999999999999</v>
      </c>
      <c r="N304" s="6">
        <v>11.125999999999999</v>
      </c>
      <c r="O304" s="6">
        <v>11.125999999999999</v>
      </c>
      <c r="P304" s="6">
        <v>156</v>
      </c>
      <c r="Q304" s="4" t="s">
        <v>26</v>
      </c>
      <c r="R304" s="4">
        <v>0</v>
      </c>
      <c r="S304" s="6">
        <v>0</v>
      </c>
      <c r="T304" s="6">
        <v>19</v>
      </c>
      <c r="U304" s="6">
        <v>57</v>
      </c>
      <c r="V304" s="6">
        <f>IF(ISERROR(VLOOKUP($S$304,'TAR FIN'!$A$1:$O$91,15,0)),0,VLOOKUP($S$304,'TAR FIN'!$A$1:$O$91,15,0))</f>
        <v>0</v>
      </c>
      <c r="W304" s="6">
        <f>IF(ISERROR(VLOOKUP($T$304,'TAR FIN'!$A$1:$O$91,15,0)),0,VLOOKUP($T$304,'TAR FIN'!$A$1:$O$91,15,0))</f>
        <v>172.93</v>
      </c>
      <c r="X304" s="6">
        <f>IF(ISERROR(VLOOKUP($U$304,'TAR FIN'!$A$1:$O$91,15,0)),0,VLOOKUP($U$304,'TAR FIN'!$A$1:$O$91,15,0))</f>
        <v>133.97</v>
      </c>
      <c r="Y304" s="6"/>
      <c r="Z304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4" s="6">
        <f>('TE BE'!$AB$16+'TE BF'!$AB$16+'TE CVA'!$AB$16)*(1-CUSTOS!$M$37)</f>
        <v>114.76529888966962</v>
      </c>
      <c r="AB304" s="6">
        <f>$K$304*$V$304</f>
        <v>0</v>
      </c>
      <c r="AC304" s="6">
        <f>$M$304*$W$304</f>
        <v>1924.01918</v>
      </c>
      <c r="AD304" s="6">
        <f>$O$304*$X$304</f>
        <v>1490.5502199999999</v>
      </c>
      <c r="AE304" s="6">
        <f>$K$304*$Y$304</f>
        <v>0</v>
      </c>
      <c r="AF304" s="6">
        <f ca="1">$M$304*$Z$304</f>
        <v>2311.039167802935</v>
      </c>
      <c r="AG304" s="6">
        <f>$O$304*$AA$304</f>
        <v>1276.8787154464642</v>
      </c>
    </row>
    <row r="305" spans="1:3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32</v>
      </c>
      <c r="F305" s="4" t="s">
        <v>25</v>
      </c>
      <c r="G305" s="4" t="s">
        <v>25</v>
      </c>
      <c r="H305" s="4" t="s">
        <v>25</v>
      </c>
      <c r="I305" s="5">
        <v>44501</v>
      </c>
      <c r="J305" s="6">
        <v>0</v>
      </c>
      <c r="K305" s="6">
        <v>0</v>
      </c>
      <c r="L305" s="6">
        <v>10.77</v>
      </c>
      <c r="M305" s="6">
        <v>10.77</v>
      </c>
      <c r="N305" s="6">
        <v>10.77</v>
      </c>
      <c r="O305" s="6">
        <v>10.77</v>
      </c>
      <c r="P305" s="6">
        <v>144</v>
      </c>
      <c r="Q305" s="4" t="s">
        <v>26</v>
      </c>
      <c r="R305" s="4">
        <v>0</v>
      </c>
      <c r="S305" s="6">
        <v>0</v>
      </c>
      <c r="T305" s="6">
        <v>19</v>
      </c>
      <c r="U305" s="6">
        <v>57</v>
      </c>
      <c r="V305" s="6">
        <f>IF(ISERROR(VLOOKUP($S$305,'TAR FIN'!$A$1:$O$91,15,0)),0,VLOOKUP($S$305,'TAR FIN'!$A$1:$O$91,15,0))</f>
        <v>0</v>
      </c>
      <c r="W305" s="6">
        <f>IF(ISERROR(VLOOKUP($T$305,'TAR FIN'!$A$1:$O$91,15,0)),0,VLOOKUP($T$305,'TAR FIN'!$A$1:$O$91,15,0))</f>
        <v>172.93</v>
      </c>
      <c r="X305" s="6">
        <f>IF(ISERROR(VLOOKUP($U$305,'TAR FIN'!$A$1:$O$91,15,0)),0,VLOOKUP($U$305,'TAR FIN'!$A$1:$O$91,15,0))</f>
        <v>133.97</v>
      </c>
      <c r="Y305" s="6"/>
      <c r="Z305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5" s="6">
        <f>('TE BE'!$AB$16+'TE BF'!$AB$16+'TE CVA'!$AB$16)*(1-CUSTOS!$M$37)</f>
        <v>114.76529888966962</v>
      </c>
      <c r="AB305" s="6">
        <f>$K$305*$V$305</f>
        <v>0</v>
      </c>
      <c r="AC305" s="6">
        <f>$M$305*$W$305</f>
        <v>1862.4561000000001</v>
      </c>
      <c r="AD305" s="6">
        <f>$O$305*$X$305</f>
        <v>1442.8569</v>
      </c>
      <c r="AE305" s="6">
        <f>$K$305*$Y$305</f>
        <v>0</v>
      </c>
      <c r="AF305" s="6">
        <f ca="1">$M$305*$Z$305</f>
        <v>2237.0925613192171</v>
      </c>
      <c r="AG305" s="6">
        <f>$O$305*$AA$305</f>
        <v>1236.0222690417418</v>
      </c>
    </row>
    <row r="306" spans="1:33" ht="11.25" customHeight="1" x14ac:dyDescent="0.25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32</v>
      </c>
      <c r="F306" s="4" t="s">
        <v>25</v>
      </c>
      <c r="G306" s="4" t="s">
        <v>25</v>
      </c>
      <c r="H306" s="4" t="s">
        <v>25</v>
      </c>
      <c r="I306" s="5">
        <v>44501</v>
      </c>
      <c r="J306" s="6">
        <v>0</v>
      </c>
      <c r="K306" s="6">
        <v>0</v>
      </c>
      <c r="L306" s="6">
        <v>0.23300000000000001</v>
      </c>
      <c r="M306" s="6">
        <v>0.23300000000000001</v>
      </c>
      <c r="N306" s="6">
        <v>0.23300000000000001</v>
      </c>
      <c r="O306" s="6">
        <v>0.23300000000000001</v>
      </c>
      <c r="P306" s="6">
        <v>0</v>
      </c>
      <c r="Q306" s="4" t="s">
        <v>26</v>
      </c>
      <c r="R306" s="4">
        <v>0</v>
      </c>
      <c r="S306" s="6">
        <v>0</v>
      </c>
      <c r="T306" s="6">
        <v>19</v>
      </c>
      <c r="U306" s="6">
        <v>57</v>
      </c>
      <c r="V306" s="6">
        <f>IF(ISERROR(VLOOKUP($S$306,'TAR FIN'!$A$1:$O$91,15,0)),0,VLOOKUP($S$306,'TAR FIN'!$A$1:$O$91,15,0))</f>
        <v>0</v>
      </c>
      <c r="W306" s="6">
        <f>IF(ISERROR(VLOOKUP($T$306,'TAR FIN'!$A$1:$O$91,15,0)),0,VLOOKUP($T$306,'TAR FIN'!$A$1:$O$91,15,0))</f>
        <v>172.93</v>
      </c>
      <c r="X306" s="6">
        <f>IF(ISERROR(VLOOKUP($U$306,'TAR FIN'!$A$1:$O$91,15,0)),0,VLOOKUP($U$306,'TAR FIN'!$A$1:$O$91,15,0))</f>
        <v>133.97</v>
      </c>
      <c r="Y306" s="6"/>
      <c r="Z306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6" s="6">
        <f>('TE BE'!$AB$16+'TE BF'!$AB$16+'TE CVA'!$AB$16)*(1-CUSTOS!$M$37)</f>
        <v>114.76529888966962</v>
      </c>
      <c r="AB306" s="6">
        <f>$K$306*$V$306</f>
        <v>0</v>
      </c>
      <c r="AC306" s="6">
        <f>$M$306*$W$306</f>
        <v>40.29269</v>
      </c>
      <c r="AD306" s="6">
        <f>$O$306*$X$306</f>
        <v>31.215010000000003</v>
      </c>
      <c r="AE306" s="6">
        <f>$K$306*$Y$306</f>
        <v>0</v>
      </c>
      <c r="AF306" s="6">
        <f ca="1">$M$306*$Z$306</f>
        <v>48.397638513219839</v>
      </c>
      <c r="AG306" s="6">
        <f>$O$306*$AA$306</f>
        <v>26.740314641293022</v>
      </c>
    </row>
    <row r="307" spans="1:3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32</v>
      </c>
      <c r="F307" s="4" t="s">
        <v>25</v>
      </c>
      <c r="G307" s="4" t="s">
        <v>25</v>
      </c>
      <c r="H307" s="4" t="s">
        <v>25</v>
      </c>
      <c r="I307" s="5">
        <v>44531</v>
      </c>
      <c r="J307" s="6">
        <v>0</v>
      </c>
      <c r="K307" s="6">
        <v>0</v>
      </c>
      <c r="L307" s="6">
        <v>13.891</v>
      </c>
      <c r="M307" s="6">
        <v>13.891</v>
      </c>
      <c r="N307" s="6">
        <v>13.891</v>
      </c>
      <c r="O307" s="6">
        <v>13.891</v>
      </c>
      <c r="P307" s="6">
        <v>165</v>
      </c>
      <c r="Q307" s="4" t="s">
        <v>26</v>
      </c>
      <c r="R307" s="4">
        <v>0</v>
      </c>
      <c r="S307" s="6">
        <v>0</v>
      </c>
      <c r="T307" s="6">
        <v>19</v>
      </c>
      <c r="U307" s="6">
        <v>57</v>
      </c>
      <c r="V307" s="6">
        <f>IF(ISERROR(VLOOKUP($S$307,'TAR FIN'!$A$1:$O$91,15,0)),0,VLOOKUP($S$307,'TAR FIN'!$A$1:$O$91,15,0))</f>
        <v>0</v>
      </c>
      <c r="W307" s="6">
        <f>IF(ISERROR(VLOOKUP($T$307,'TAR FIN'!$A$1:$O$91,15,0)),0,VLOOKUP($T$307,'TAR FIN'!$A$1:$O$91,15,0))</f>
        <v>172.93</v>
      </c>
      <c r="X307" s="6">
        <f>IF(ISERROR(VLOOKUP($U$307,'TAR FIN'!$A$1:$O$91,15,0)),0,VLOOKUP($U$307,'TAR FIN'!$A$1:$O$91,15,0))</f>
        <v>133.97</v>
      </c>
      <c r="Y307" s="6"/>
      <c r="Z307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7" s="6">
        <f>('TE BE'!$AB$16+'TE BF'!$AB$16+'TE CVA'!$AB$16)*(1-CUSTOS!$M$37)</f>
        <v>114.76529888966962</v>
      </c>
      <c r="AB307" s="6">
        <f>$K$307*$V$307</f>
        <v>0</v>
      </c>
      <c r="AC307" s="6">
        <f>$M$307*$W$307</f>
        <v>2402.1706300000001</v>
      </c>
      <c r="AD307" s="6">
        <f>$O$307*$X$307</f>
        <v>1860.9772700000001</v>
      </c>
      <c r="AE307" s="6">
        <f>$K$307*$Y$307</f>
        <v>0</v>
      </c>
      <c r="AF307" s="6">
        <f ca="1">$M$307*$Z$307</f>
        <v>2885.3716591722605</v>
      </c>
      <c r="AG307" s="6">
        <f>$O$307*$AA$307</f>
        <v>1594.2047668764008</v>
      </c>
    </row>
    <row r="308" spans="1:33" ht="11.25" customHeight="1" x14ac:dyDescent="0.25">
      <c r="A308" s="4" t="s">
        <v>21</v>
      </c>
      <c r="B308" s="4" t="s">
        <v>22</v>
      </c>
      <c r="C308" s="4" t="s">
        <v>23</v>
      </c>
      <c r="D308" s="4" t="s">
        <v>24</v>
      </c>
      <c r="E308" s="4" t="s">
        <v>32</v>
      </c>
      <c r="F308" s="4" t="s">
        <v>25</v>
      </c>
      <c r="G308" s="4" t="s">
        <v>25</v>
      </c>
      <c r="H308" s="4" t="s">
        <v>25</v>
      </c>
      <c r="I308" s="5">
        <v>44562</v>
      </c>
      <c r="J308" s="6">
        <v>0</v>
      </c>
      <c r="K308" s="6">
        <v>0</v>
      </c>
      <c r="L308" s="6">
        <v>31.126999999999999</v>
      </c>
      <c r="M308" s="6">
        <v>31.126999999999999</v>
      </c>
      <c r="N308" s="6">
        <v>31.126999999999999</v>
      </c>
      <c r="O308" s="6">
        <v>31.126999999999999</v>
      </c>
      <c r="P308" s="6">
        <v>243</v>
      </c>
      <c r="Q308" s="4" t="s">
        <v>26</v>
      </c>
      <c r="R308" s="4">
        <v>0</v>
      </c>
      <c r="S308" s="6">
        <v>0</v>
      </c>
      <c r="T308" s="6">
        <v>19</v>
      </c>
      <c r="U308" s="6">
        <v>57</v>
      </c>
      <c r="V308" s="6">
        <f>IF(ISERROR(VLOOKUP($S$308,'TAR FIN'!$A$1:$O$91,15,0)),0,VLOOKUP($S$308,'TAR FIN'!$A$1:$O$91,15,0))</f>
        <v>0</v>
      </c>
      <c r="W308" s="6">
        <f>IF(ISERROR(VLOOKUP($T$308,'TAR FIN'!$A$1:$O$91,15,0)),0,VLOOKUP($T$308,'TAR FIN'!$A$1:$O$91,15,0))</f>
        <v>172.93</v>
      </c>
      <c r="X308" s="6">
        <f>IF(ISERROR(VLOOKUP($U$308,'TAR FIN'!$A$1:$O$91,15,0)),0,VLOOKUP($U$308,'TAR FIN'!$A$1:$O$91,15,0))</f>
        <v>133.97</v>
      </c>
      <c r="Y308" s="6"/>
      <c r="Z308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8" s="6">
        <f>('TE BE'!$AB$16+'TE BF'!$AB$16+'TE CVA'!$AB$16)*(1-CUSTOS!$M$37)</f>
        <v>114.76529888966962</v>
      </c>
      <c r="AB308" s="6">
        <f>$K$308*$V$308</f>
        <v>0</v>
      </c>
      <c r="AC308" s="6">
        <f>$M$308*$W$308</f>
        <v>5382.7921100000003</v>
      </c>
      <c r="AD308" s="6">
        <f>$O$308*$X$308</f>
        <v>4170.0841899999996</v>
      </c>
      <c r="AE308" s="6">
        <f>$K$308*$Y$308</f>
        <v>0</v>
      </c>
      <c r="AF308" s="6">
        <f ca="1">$M$308*$Z$308</f>
        <v>6465.5506180300163</v>
      </c>
      <c r="AG308" s="6">
        <f>$O$308*$AA$308</f>
        <v>3572.2994585387464</v>
      </c>
    </row>
    <row r="309" spans="1:3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32</v>
      </c>
      <c r="F309" s="4" t="s">
        <v>25</v>
      </c>
      <c r="G309" s="4" t="s">
        <v>25</v>
      </c>
      <c r="H309" s="4" t="s">
        <v>25</v>
      </c>
      <c r="I309" s="5">
        <v>44593</v>
      </c>
      <c r="J309" s="6">
        <v>0</v>
      </c>
      <c r="K309" s="6">
        <v>0</v>
      </c>
      <c r="L309" s="6">
        <v>35.345999999999997</v>
      </c>
      <c r="M309" s="6">
        <v>35.345999999999997</v>
      </c>
      <c r="N309" s="6">
        <v>35.345999999999997</v>
      </c>
      <c r="O309" s="6">
        <v>35.345999999999997</v>
      </c>
      <c r="P309" s="6">
        <v>258</v>
      </c>
      <c r="Q309" s="4" t="s">
        <v>26</v>
      </c>
      <c r="R309" s="4">
        <v>0</v>
      </c>
      <c r="S309" s="6">
        <v>0</v>
      </c>
      <c r="T309" s="6">
        <v>19</v>
      </c>
      <c r="U309" s="6">
        <v>57</v>
      </c>
      <c r="V309" s="6">
        <f>IF(ISERROR(VLOOKUP($S$309,'TAR FIN'!$A$1:$O$91,15,0)),0,VLOOKUP($S$309,'TAR FIN'!$A$1:$O$91,15,0))</f>
        <v>0</v>
      </c>
      <c r="W309" s="6">
        <f>IF(ISERROR(VLOOKUP($T$309,'TAR FIN'!$A$1:$O$91,15,0)),0,VLOOKUP($T$309,'TAR FIN'!$A$1:$O$91,15,0))</f>
        <v>172.93</v>
      </c>
      <c r="X309" s="6">
        <f>IF(ISERROR(VLOOKUP($U$309,'TAR FIN'!$A$1:$O$91,15,0)),0,VLOOKUP($U$309,'TAR FIN'!$A$1:$O$91,15,0))</f>
        <v>133.97</v>
      </c>
      <c r="Y309" s="6"/>
      <c r="Z309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09" s="6">
        <f>('TE BE'!$AB$16+'TE BF'!$AB$16+'TE CVA'!$AB$16)*(1-CUSTOS!$M$37)</f>
        <v>114.76529888966962</v>
      </c>
      <c r="AB309" s="6">
        <f>$K$309*$V$309</f>
        <v>0</v>
      </c>
      <c r="AC309" s="6">
        <f>$M$309*$W$309</f>
        <v>6112.3837799999992</v>
      </c>
      <c r="AD309" s="6">
        <f>$O$309*$X$309</f>
        <v>4735.3036199999997</v>
      </c>
      <c r="AE309" s="6">
        <f>$K$309*$Y$309</f>
        <v>0</v>
      </c>
      <c r="AF309" s="6">
        <f ca="1">$M$309*$Z$309</f>
        <v>7341.9009909367724</v>
      </c>
      <c r="AG309" s="6">
        <f>$O$309*$AA$309</f>
        <v>4056.4942545542622</v>
      </c>
    </row>
    <row r="310" spans="1:33" ht="11.25" customHeight="1" x14ac:dyDescent="0.25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32</v>
      </c>
      <c r="F310" s="4" t="s">
        <v>25</v>
      </c>
      <c r="G310" s="4" t="s">
        <v>25</v>
      </c>
      <c r="H310" s="4" t="s">
        <v>25</v>
      </c>
      <c r="I310" s="5">
        <v>44593</v>
      </c>
      <c r="J310" s="6">
        <v>0</v>
      </c>
      <c r="K310" s="6">
        <v>0</v>
      </c>
      <c r="L310" s="6">
        <v>-0.26100000000000001</v>
      </c>
      <c r="M310" s="6">
        <v>-0.26100000000000001</v>
      </c>
      <c r="N310" s="6">
        <v>-0.26100000000000001</v>
      </c>
      <c r="O310" s="6">
        <v>-0.26100000000000001</v>
      </c>
      <c r="P310" s="6">
        <v>0</v>
      </c>
      <c r="Q310" s="4" t="s">
        <v>26</v>
      </c>
      <c r="R310" s="4">
        <v>0</v>
      </c>
      <c r="S310" s="6">
        <v>0</v>
      </c>
      <c r="T310" s="6">
        <v>19</v>
      </c>
      <c r="U310" s="6">
        <v>57</v>
      </c>
      <c r="V310" s="6">
        <f>IF(ISERROR(VLOOKUP($S$310,'TAR FIN'!$A$1:$O$91,15,0)),0,VLOOKUP($S$310,'TAR FIN'!$A$1:$O$91,15,0))</f>
        <v>0</v>
      </c>
      <c r="W310" s="6">
        <f>IF(ISERROR(VLOOKUP($T$310,'TAR FIN'!$A$1:$O$91,15,0)),0,VLOOKUP($T$310,'TAR FIN'!$A$1:$O$91,15,0))</f>
        <v>172.93</v>
      </c>
      <c r="X310" s="6">
        <f>IF(ISERROR(VLOOKUP($U$310,'TAR FIN'!$A$1:$O$91,15,0)),0,VLOOKUP($U$310,'TAR FIN'!$A$1:$O$91,15,0))</f>
        <v>133.97</v>
      </c>
      <c r="Y310" s="6"/>
      <c r="Z310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0" s="6">
        <f>('TE BE'!$AB$16+'TE BF'!$AB$16+'TE CVA'!$AB$16)*(1-CUSTOS!$M$37)</f>
        <v>114.76529888966962</v>
      </c>
      <c r="AB310" s="6">
        <f>$K$310*$V$310</f>
        <v>0</v>
      </c>
      <c r="AC310" s="6">
        <f>$M$310*$W$310</f>
        <v>-45.134730000000005</v>
      </c>
      <c r="AD310" s="6">
        <f>$O$310*$X$310</f>
        <v>-34.966169999999998</v>
      </c>
      <c r="AE310" s="6">
        <f>$K$310*$Y$310</f>
        <v>0</v>
      </c>
      <c r="AF310" s="6">
        <f ca="1">$M$310*$Z$310</f>
        <v>-54.213663742276296</v>
      </c>
      <c r="AG310" s="6">
        <f>$O$310*$AA$310</f>
        <v>-29.953743010203773</v>
      </c>
    </row>
    <row r="311" spans="1:3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32</v>
      </c>
      <c r="F311" s="4" t="s">
        <v>25</v>
      </c>
      <c r="G311" s="4" t="s">
        <v>25</v>
      </c>
      <c r="H311" s="4" t="s">
        <v>25</v>
      </c>
      <c r="I311" s="5">
        <v>44621</v>
      </c>
      <c r="J311" s="6">
        <v>0</v>
      </c>
      <c r="K311" s="6">
        <v>0</v>
      </c>
      <c r="L311" s="6">
        <v>40.997999999999998</v>
      </c>
      <c r="M311" s="6">
        <v>40.997999999999998</v>
      </c>
      <c r="N311" s="6">
        <v>40.997999999999998</v>
      </c>
      <c r="O311" s="6">
        <v>40.997999999999998</v>
      </c>
      <c r="P311" s="6">
        <v>309</v>
      </c>
      <c r="Q311" s="4" t="s">
        <v>26</v>
      </c>
      <c r="R311" s="4">
        <v>0</v>
      </c>
      <c r="S311" s="6">
        <v>0</v>
      </c>
      <c r="T311" s="6">
        <v>19</v>
      </c>
      <c r="U311" s="6">
        <v>57</v>
      </c>
      <c r="V311" s="6">
        <f>IF(ISERROR(VLOOKUP($S$311,'TAR FIN'!$A$1:$O$91,15,0)),0,VLOOKUP($S$311,'TAR FIN'!$A$1:$O$91,15,0))</f>
        <v>0</v>
      </c>
      <c r="W311" s="6">
        <f>IF(ISERROR(VLOOKUP($T$311,'TAR FIN'!$A$1:$O$91,15,0)),0,VLOOKUP($T$311,'TAR FIN'!$A$1:$O$91,15,0))</f>
        <v>172.93</v>
      </c>
      <c r="X311" s="6">
        <f>IF(ISERROR(VLOOKUP($U$311,'TAR FIN'!$A$1:$O$91,15,0)),0,VLOOKUP($U$311,'TAR FIN'!$A$1:$O$91,15,0))</f>
        <v>133.97</v>
      </c>
      <c r="Y311" s="6"/>
      <c r="Z311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1" s="6">
        <f>('TE BE'!$AB$16+'TE BF'!$AB$16+'TE CVA'!$AB$16)*(1-CUSTOS!$M$37)</f>
        <v>114.76529888966962</v>
      </c>
      <c r="AB311" s="6">
        <f>$K$311*$V$311</f>
        <v>0</v>
      </c>
      <c r="AC311" s="6">
        <f>$M$311*$W$311</f>
        <v>7089.7841399999998</v>
      </c>
      <c r="AD311" s="6">
        <f>$O$311*$X$311</f>
        <v>5492.5020599999998</v>
      </c>
      <c r="AE311" s="6">
        <f>$K$311*$Y$311</f>
        <v>0</v>
      </c>
      <c r="AF311" s="6">
        <f ca="1">$M$311*$Z$311</f>
        <v>8515.9072264591705</v>
      </c>
      <c r="AG311" s="6">
        <f>$O$311*$AA$311</f>
        <v>4705.1477238786747</v>
      </c>
    </row>
    <row r="312" spans="1:3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32</v>
      </c>
      <c r="F312" s="4" t="s">
        <v>25</v>
      </c>
      <c r="G312" s="4" t="s">
        <v>25</v>
      </c>
      <c r="H312" s="4" t="s">
        <v>25</v>
      </c>
      <c r="I312" s="5">
        <v>44652</v>
      </c>
      <c r="J312" s="6">
        <v>0</v>
      </c>
      <c r="K312" s="6">
        <v>0</v>
      </c>
      <c r="L312" s="6">
        <v>28.201000000000001</v>
      </c>
      <c r="M312" s="6">
        <v>28.201000000000001</v>
      </c>
      <c r="N312" s="6">
        <v>28.201000000000001</v>
      </c>
      <c r="O312" s="6">
        <v>28.201000000000001</v>
      </c>
      <c r="P312" s="6">
        <v>284</v>
      </c>
      <c r="Q312" s="4" t="s">
        <v>26</v>
      </c>
      <c r="R312" s="4">
        <v>0</v>
      </c>
      <c r="S312" s="6">
        <v>0</v>
      </c>
      <c r="T312" s="6">
        <v>19</v>
      </c>
      <c r="U312" s="6">
        <v>57</v>
      </c>
      <c r="V312" s="6">
        <f>IF(ISERROR(VLOOKUP($S$312,'TAR FIN'!$A$1:$O$91,15,0)),0,VLOOKUP($S$312,'TAR FIN'!$A$1:$O$91,15,0))</f>
        <v>0</v>
      </c>
      <c r="W312" s="6">
        <f>IF(ISERROR(VLOOKUP($T$312,'TAR FIN'!$A$1:$O$91,15,0)),0,VLOOKUP($T$312,'TAR FIN'!$A$1:$O$91,15,0))</f>
        <v>172.93</v>
      </c>
      <c r="X312" s="6">
        <f>IF(ISERROR(VLOOKUP($U$312,'TAR FIN'!$A$1:$O$91,15,0)),0,VLOOKUP($U$312,'TAR FIN'!$A$1:$O$91,15,0))</f>
        <v>133.97</v>
      </c>
      <c r="Y312" s="6"/>
      <c r="Z312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2" s="6">
        <f>('TE BE'!$AB$16+'TE BF'!$AB$16+'TE CVA'!$AB$16)*(1-CUSTOS!$M$37)</f>
        <v>114.76529888966962</v>
      </c>
      <c r="AB312" s="6">
        <f>$K$312*$V$312</f>
        <v>0</v>
      </c>
      <c r="AC312" s="6">
        <f>$M$312*$W$312</f>
        <v>4876.7989299999999</v>
      </c>
      <c r="AD312" s="6">
        <f>$O$312*$X$312</f>
        <v>3778.08797</v>
      </c>
      <c r="AE312" s="6">
        <f>$K$312*$Y$312</f>
        <v>0</v>
      </c>
      <c r="AF312" s="6">
        <f ca="1">$M$312*$Z$312</f>
        <v>5857.7759815936161</v>
      </c>
      <c r="AG312" s="6">
        <f>$O$312*$AA$312</f>
        <v>3236.496193987573</v>
      </c>
    </row>
    <row r="313" spans="1:3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32</v>
      </c>
      <c r="F313" s="4" t="s">
        <v>25</v>
      </c>
      <c r="G313" s="4" t="s">
        <v>25</v>
      </c>
      <c r="H313" s="4" t="s">
        <v>25</v>
      </c>
      <c r="I313" s="5">
        <v>44682</v>
      </c>
      <c r="J313" s="6">
        <v>0</v>
      </c>
      <c r="K313" s="6">
        <v>0</v>
      </c>
      <c r="L313" s="6">
        <v>19.608000000000001</v>
      </c>
      <c r="M313" s="6">
        <v>19.608000000000001</v>
      </c>
      <c r="N313" s="6">
        <v>19.608000000000001</v>
      </c>
      <c r="O313" s="6">
        <v>19.608000000000001</v>
      </c>
      <c r="P313" s="6">
        <v>219</v>
      </c>
      <c r="Q313" s="4" t="s">
        <v>26</v>
      </c>
      <c r="R313" s="4">
        <v>0</v>
      </c>
      <c r="S313" s="6">
        <v>0</v>
      </c>
      <c r="T313" s="6">
        <v>19</v>
      </c>
      <c r="U313" s="6">
        <v>57</v>
      </c>
      <c r="V313" s="6">
        <f>IF(ISERROR(VLOOKUP($S$313,'TAR FIN'!$A$1:$O$91,15,0)),0,VLOOKUP($S$313,'TAR FIN'!$A$1:$O$91,15,0))</f>
        <v>0</v>
      </c>
      <c r="W313" s="6">
        <f>IF(ISERROR(VLOOKUP($T$313,'TAR FIN'!$A$1:$O$91,15,0)),0,VLOOKUP($T$313,'TAR FIN'!$A$1:$O$91,15,0))</f>
        <v>172.93</v>
      </c>
      <c r="X313" s="6">
        <f>IF(ISERROR(VLOOKUP($U$313,'TAR FIN'!$A$1:$O$91,15,0)),0,VLOOKUP($U$313,'TAR FIN'!$A$1:$O$91,15,0))</f>
        <v>133.97</v>
      </c>
      <c r="Y313" s="6"/>
      <c r="Z313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3" s="6">
        <f>('TE BE'!$AB$16+'TE BF'!$AB$16+'TE CVA'!$AB$16)*(1-CUSTOS!$M$37)</f>
        <v>114.76529888966962</v>
      </c>
      <c r="AB313" s="6">
        <f>$K$313*$V$313</f>
        <v>0</v>
      </c>
      <c r="AC313" s="6">
        <f>$M$313*$W$313</f>
        <v>3390.8114400000004</v>
      </c>
      <c r="AD313" s="6">
        <f>$O$313*$X$313</f>
        <v>2626.8837600000002</v>
      </c>
      <c r="AE313" s="6">
        <f>$K$313*$Y$313</f>
        <v>0</v>
      </c>
      <c r="AF313" s="6">
        <f ca="1">$M$313*$Z$313</f>
        <v>4072.8793818335384</v>
      </c>
      <c r="AG313" s="6">
        <f>$O$313*$AA$313</f>
        <v>2250.3179806286421</v>
      </c>
    </row>
    <row r="314" spans="1:3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32</v>
      </c>
      <c r="F314" s="4" t="s">
        <v>25</v>
      </c>
      <c r="G314" s="4" t="s">
        <v>25</v>
      </c>
      <c r="H314" s="4" t="s">
        <v>25</v>
      </c>
      <c r="I314" s="5">
        <v>44713</v>
      </c>
      <c r="J314" s="6">
        <v>0</v>
      </c>
      <c r="K314" s="6">
        <v>0</v>
      </c>
      <c r="L314" s="6">
        <v>25.545999999999999</v>
      </c>
      <c r="M314" s="6">
        <v>25.545999999999999</v>
      </c>
      <c r="N314" s="6">
        <v>25.545999999999999</v>
      </c>
      <c r="O314" s="6">
        <v>25.545999999999999</v>
      </c>
      <c r="P314" s="6">
        <v>243</v>
      </c>
      <c r="Q314" s="4" t="s">
        <v>26</v>
      </c>
      <c r="R314" s="4">
        <v>0</v>
      </c>
      <c r="S314" s="6">
        <v>0</v>
      </c>
      <c r="T314" s="6">
        <v>19</v>
      </c>
      <c r="U314" s="6">
        <v>57</v>
      </c>
      <c r="V314" s="6">
        <f>IF(ISERROR(VLOOKUP($S$314,'TAR FIN'!$A$1:$O$91,15,0)),0,VLOOKUP($S$314,'TAR FIN'!$A$1:$O$91,15,0))</f>
        <v>0</v>
      </c>
      <c r="W314" s="6">
        <f>IF(ISERROR(VLOOKUP($T$314,'TAR FIN'!$A$1:$O$91,15,0)),0,VLOOKUP($T$314,'TAR FIN'!$A$1:$O$91,15,0))</f>
        <v>172.93</v>
      </c>
      <c r="X314" s="6">
        <f>IF(ISERROR(VLOOKUP($U$314,'TAR FIN'!$A$1:$O$91,15,0)),0,VLOOKUP($U$314,'TAR FIN'!$A$1:$O$91,15,0))</f>
        <v>133.97</v>
      </c>
      <c r="Y314" s="6"/>
      <c r="Z314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4" s="6">
        <f>('TE BE'!$AB$16+'TE BF'!$AB$16+'TE CVA'!$AB$16)*(1-CUSTOS!$M$37)</f>
        <v>114.76529888966962</v>
      </c>
      <c r="AB314" s="6">
        <f>$K$314*$V$314</f>
        <v>0</v>
      </c>
      <c r="AC314" s="6">
        <f>$M$314*$W$314</f>
        <v>4417.6697800000002</v>
      </c>
      <c r="AD314" s="6">
        <f>$O$314*$X$314</f>
        <v>3422.3976199999997</v>
      </c>
      <c r="AE314" s="6">
        <f>$K$314*$Y$314</f>
        <v>0</v>
      </c>
      <c r="AF314" s="6">
        <f ca="1">$M$314*$Z$314</f>
        <v>5306.2921607670123</v>
      </c>
      <c r="AG314" s="6">
        <f>$O$314*$AA$314</f>
        <v>2931.7943254355</v>
      </c>
    </row>
    <row r="315" spans="1:3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32</v>
      </c>
      <c r="F315" s="4" t="s">
        <v>25</v>
      </c>
      <c r="G315" s="4" t="s">
        <v>25</v>
      </c>
      <c r="H315" s="4" t="s">
        <v>25</v>
      </c>
      <c r="I315" s="5">
        <v>44743</v>
      </c>
      <c r="J315" s="6">
        <v>0</v>
      </c>
      <c r="K315" s="6">
        <v>0</v>
      </c>
      <c r="L315" s="6">
        <v>24.925999999999998</v>
      </c>
      <c r="M315" s="6">
        <v>24.925999999999998</v>
      </c>
      <c r="N315" s="6">
        <v>24.925999999999998</v>
      </c>
      <c r="O315" s="6">
        <v>24.925999999999998</v>
      </c>
      <c r="P315" s="6">
        <v>241</v>
      </c>
      <c r="Q315" s="4" t="s">
        <v>26</v>
      </c>
      <c r="R315" s="4">
        <v>0</v>
      </c>
      <c r="S315" s="6">
        <v>0</v>
      </c>
      <c r="T315" s="6">
        <v>19</v>
      </c>
      <c r="U315" s="6">
        <v>57</v>
      </c>
      <c r="V315" s="6">
        <f>IF(ISERROR(VLOOKUP($S$315,'TAR FIN'!$A$1:$O$91,15,0)),0,VLOOKUP($S$315,'TAR FIN'!$A$1:$O$91,15,0))</f>
        <v>0</v>
      </c>
      <c r="W315" s="6">
        <f>IF(ISERROR(VLOOKUP($T$315,'TAR FIN'!$A$1:$O$91,15,0)),0,VLOOKUP($T$315,'TAR FIN'!$A$1:$O$91,15,0))</f>
        <v>172.93</v>
      </c>
      <c r="X315" s="6">
        <f>IF(ISERROR(VLOOKUP($U$315,'TAR FIN'!$A$1:$O$91,15,0)),0,VLOOKUP($U$315,'TAR FIN'!$A$1:$O$91,15,0))</f>
        <v>133.97</v>
      </c>
      <c r="Y315" s="6"/>
      <c r="Z315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5" s="6">
        <f>('TE BE'!$AB$16+'TE BF'!$AB$16+'TE CVA'!$AB$16)*(1-CUSTOS!$M$37)</f>
        <v>114.76529888966962</v>
      </c>
      <c r="AB315" s="6">
        <f>$K$315*$V$315</f>
        <v>0</v>
      </c>
      <c r="AC315" s="6">
        <f>$M$315*$W$315</f>
        <v>4310.4531799999995</v>
      </c>
      <c r="AD315" s="6">
        <f>$O$315*$X$315</f>
        <v>3339.3362199999997</v>
      </c>
      <c r="AE315" s="6">
        <f>$K$315*$Y$315</f>
        <v>0</v>
      </c>
      <c r="AF315" s="6">
        <f ca="1">$M$315*$Z$315</f>
        <v>5177.5087449807615</v>
      </c>
      <c r="AG315" s="6">
        <f>$O$315*$AA$315</f>
        <v>2860.6398401239048</v>
      </c>
    </row>
    <row r="316" spans="1:33" ht="11.25" customHeight="1" x14ac:dyDescent="0.25">
      <c r="A316" s="4" t="s">
        <v>57</v>
      </c>
      <c r="B316" s="4" t="s">
        <v>22</v>
      </c>
      <c r="C316" s="4" t="s">
        <v>23</v>
      </c>
      <c r="D316" s="4" t="s">
        <v>24</v>
      </c>
      <c r="E316" s="4" t="s">
        <v>32</v>
      </c>
      <c r="F316" s="4" t="s">
        <v>25</v>
      </c>
      <c r="G316" s="4" t="s">
        <v>25</v>
      </c>
      <c r="H316" s="4" t="s">
        <v>25</v>
      </c>
      <c r="I316" s="5">
        <v>44774</v>
      </c>
      <c r="J316" s="6">
        <v>0</v>
      </c>
      <c r="K316" s="6">
        <v>0</v>
      </c>
      <c r="L316" s="6">
        <v>24.925999999999998</v>
      </c>
      <c r="M316" s="6">
        <v>24.925999999999998</v>
      </c>
      <c r="N316" s="6">
        <v>24.925999999999998</v>
      </c>
      <c r="O316" s="6">
        <v>24.925999999999998</v>
      </c>
      <c r="P316" s="6">
        <v>241</v>
      </c>
      <c r="Q316" s="4" t="s">
        <v>26</v>
      </c>
      <c r="R316" s="4">
        <v>0</v>
      </c>
      <c r="S316" s="6">
        <v>0</v>
      </c>
      <c r="T316" s="6">
        <v>19</v>
      </c>
      <c r="U316" s="6">
        <v>57</v>
      </c>
      <c r="V316" s="6">
        <f>IF(ISERROR(VLOOKUP($S$316,'TAR FIN'!$A$1:$O$91,15,0)),0,VLOOKUP($S$316,'TAR FIN'!$A$1:$O$91,15,0))</f>
        <v>0</v>
      </c>
      <c r="W316" s="6">
        <f>IF(ISERROR(VLOOKUP($T$316,'TAR FIN'!$A$1:$O$91,15,0)),0,VLOOKUP($T$316,'TAR FIN'!$A$1:$O$91,15,0))</f>
        <v>172.93</v>
      </c>
      <c r="X316" s="6">
        <f>IF(ISERROR(VLOOKUP($U$316,'TAR FIN'!$A$1:$O$91,15,0)),0,VLOOKUP($U$316,'TAR FIN'!$A$1:$O$91,15,0))</f>
        <v>133.97</v>
      </c>
      <c r="Y316" s="6"/>
      <c r="Z316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316" s="6">
        <f>('TE BE'!$AB$16+'TE BF'!$AB$16+'TE CVA'!$AB$16)*(1-CUSTOS!$M$37)</f>
        <v>114.76529888966962</v>
      </c>
      <c r="AB316" s="6">
        <f>$K$316*$V$316</f>
        <v>0</v>
      </c>
      <c r="AC316" s="6">
        <f>$M$316*$W$316</f>
        <v>4310.4531799999995</v>
      </c>
      <c r="AD316" s="6">
        <f>$O$316*$X$316</f>
        <v>3339.3362199999997</v>
      </c>
      <c r="AE316" s="6">
        <f>$K$316*$Y$316</f>
        <v>0</v>
      </c>
      <c r="AF316" s="6">
        <f ca="1">$M$316*$Z$316</f>
        <v>5177.5087449807615</v>
      </c>
      <c r="AG316" s="6">
        <f>$O$316*$AA$316</f>
        <v>2860.6398401239048</v>
      </c>
    </row>
    <row r="317" spans="1:33" ht="11.25" customHeight="1" x14ac:dyDescent="0.25">
      <c r="A317" s="4" t="s">
        <v>21</v>
      </c>
      <c r="B317" s="4" t="s">
        <v>42</v>
      </c>
      <c r="C317" s="4" t="s">
        <v>23</v>
      </c>
      <c r="D317" s="4" t="s">
        <v>43</v>
      </c>
      <c r="E317" s="4" t="s">
        <v>51</v>
      </c>
      <c r="F317" s="4" t="s">
        <v>52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218.55099999999999</v>
      </c>
      <c r="M317" s="6">
        <v>218.55099999999999</v>
      </c>
      <c r="N317" s="6">
        <v>218.55099999999999</v>
      </c>
      <c r="O317" s="6">
        <v>218.55099999999999</v>
      </c>
      <c r="P317" s="6">
        <v>0</v>
      </c>
      <c r="Q317" s="4" t="s">
        <v>26</v>
      </c>
      <c r="R317" s="4">
        <v>0</v>
      </c>
      <c r="S317" s="6">
        <v>0</v>
      </c>
      <c r="T317" s="6">
        <v>30</v>
      </c>
      <c r="U317" s="6">
        <v>74</v>
      </c>
      <c r="V317" s="6">
        <f>IF(ISERROR(VLOOKUP($S$317,'TAR FIN'!$A$1:$O$91,15,0)),0,VLOOKUP($S$317,'TAR FIN'!$A$1:$O$91,15,0))</f>
        <v>0</v>
      </c>
      <c r="W317" s="6">
        <f>IF(ISERROR(VLOOKUP($T$317,'TAR FIN'!$A$1:$O$91,15,0)),0,VLOOKUP($T$317,'TAR FIN'!$A$1:$O$91,15,0))</f>
        <v>236.77</v>
      </c>
      <c r="X317" s="6">
        <f>IF(ISERROR(VLOOKUP($U$317,'TAR FIN'!$A$1:$O$91,15,0)),0,VLOOKUP($U$317,'TAR FIN'!$A$1:$O$91,15,0))</f>
        <v>117.89</v>
      </c>
      <c r="Y317" s="6"/>
      <c r="Z317" s="6">
        <f ca="1">('TUSD BE'!$AM$37+'TUSD BF'!$AM$37+'TUSD CVA'!$AM$37)*(1-CUSTOS!$M$38)</f>
        <v>323.18581193481282</v>
      </c>
      <c r="AA317" s="6">
        <f>('TE BE'!$AB$25+'TE BF'!$AB$25+'TE CVA'!$AB$25)*(1-CUSTOS!$M$38)</f>
        <v>107.87938095628944</v>
      </c>
      <c r="AB317" s="6">
        <f>$K$317*$V$317</f>
        <v>0</v>
      </c>
      <c r="AC317" s="6">
        <f>$M$317*$W$317</f>
        <v>51746.320269999997</v>
      </c>
      <c r="AD317" s="6">
        <f>$O$317*$X$317</f>
        <v>25764.97739</v>
      </c>
      <c r="AE317" s="6">
        <f>$K$317*$Y$317</f>
        <v>0</v>
      </c>
      <c r="AF317" s="6">
        <f ca="1">$M$317*$Z$317</f>
        <v>70632.582384165275</v>
      </c>
      <c r="AG317" s="6">
        <f>$O$317*$AA$317</f>
        <v>23577.146587378011</v>
      </c>
    </row>
    <row r="318" spans="1:33" ht="11.25" customHeight="1" x14ac:dyDescent="0.25">
      <c r="A318" s="4" t="s">
        <v>21</v>
      </c>
      <c r="B318" s="4" t="s">
        <v>42</v>
      </c>
      <c r="C318" s="4" t="s">
        <v>23</v>
      </c>
      <c r="D318" s="4" t="s">
        <v>43</v>
      </c>
      <c r="E318" s="4" t="s">
        <v>51</v>
      </c>
      <c r="F318" s="4" t="s">
        <v>52</v>
      </c>
      <c r="G318" s="4" t="s">
        <v>25</v>
      </c>
      <c r="H318" s="4" t="s">
        <v>25</v>
      </c>
      <c r="I318" s="5">
        <v>44470</v>
      </c>
      <c r="J318" s="6">
        <v>0</v>
      </c>
      <c r="K318" s="6">
        <v>0</v>
      </c>
      <c r="L318" s="6">
        <v>139.84200000000001</v>
      </c>
      <c r="M318" s="6">
        <v>139.84200000000001</v>
      </c>
      <c r="N318" s="6">
        <v>139.84200000000001</v>
      </c>
      <c r="O318" s="6">
        <v>139.84200000000001</v>
      </c>
      <c r="P318" s="6">
        <v>0</v>
      </c>
      <c r="Q318" s="4" t="s">
        <v>26</v>
      </c>
      <c r="R318" s="4">
        <v>0</v>
      </c>
      <c r="S318" s="6">
        <v>0</v>
      </c>
      <c r="T318" s="6">
        <v>30</v>
      </c>
      <c r="U318" s="6">
        <v>74</v>
      </c>
      <c r="V318" s="6">
        <f>IF(ISERROR(VLOOKUP($S$318,'TAR FIN'!$A$1:$O$91,15,0)),0,VLOOKUP($S$318,'TAR FIN'!$A$1:$O$91,15,0))</f>
        <v>0</v>
      </c>
      <c r="W318" s="6">
        <f>IF(ISERROR(VLOOKUP($T$318,'TAR FIN'!$A$1:$O$91,15,0)),0,VLOOKUP($T$318,'TAR FIN'!$A$1:$O$91,15,0))</f>
        <v>236.77</v>
      </c>
      <c r="X318" s="6">
        <f>IF(ISERROR(VLOOKUP($U$318,'TAR FIN'!$A$1:$O$91,15,0)),0,VLOOKUP($U$318,'TAR FIN'!$A$1:$O$91,15,0))</f>
        <v>117.89</v>
      </c>
      <c r="Y318" s="6"/>
      <c r="Z318" s="6">
        <f ca="1">('TUSD BE'!$AM$37+'TUSD BF'!$AM$37+'TUSD CVA'!$AM$37)*(1-CUSTOS!$M$38)</f>
        <v>323.18581193481282</v>
      </c>
      <c r="AA318" s="6">
        <f>('TE BE'!$AB$25+'TE BF'!$AB$25+'TE CVA'!$AB$25)*(1-CUSTOS!$M$38)</f>
        <v>107.87938095628944</v>
      </c>
      <c r="AB318" s="6">
        <f>$K$318*$V$318</f>
        <v>0</v>
      </c>
      <c r="AC318" s="6">
        <f>$M$318*$W$318</f>
        <v>33110.390340000005</v>
      </c>
      <c r="AD318" s="6">
        <f>$O$318*$X$318</f>
        <v>16485.973380000003</v>
      </c>
      <c r="AE318" s="6">
        <f>$K$318*$Y$318</f>
        <v>0</v>
      </c>
      <c r="AF318" s="6">
        <f ca="1">$M$318*$Z$318</f>
        <v>45194.950312588102</v>
      </c>
      <c r="AG318" s="6">
        <f>$O$318*$AA$318</f>
        <v>15086.068391689429</v>
      </c>
    </row>
    <row r="319" spans="1:33" ht="11.25" customHeight="1" x14ac:dyDescent="0.25">
      <c r="A319" s="4" t="s">
        <v>21</v>
      </c>
      <c r="B319" s="4" t="s">
        <v>42</v>
      </c>
      <c r="C319" s="4" t="s">
        <v>23</v>
      </c>
      <c r="D319" s="4" t="s">
        <v>43</v>
      </c>
      <c r="E319" s="4" t="s">
        <v>51</v>
      </c>
      <c r="F319" s="4" t="s">
        <v>52</v>
      </c>
      <c r="G319" s="4" t="s">
        <v>25</v>
      </c>
      <c r="H319" s="4" t="s">
        <v>25</v>
      </c>
      <c r="I319" s="5">
        <v>44501</v>
      </c>
      <c r="J319" s="6">
        <v>0</v>
      </c>
      <c r="K319" s="6">
        <v>0</v>
      </c>
      <c r="L319" s="6">
        <v>171.75</v>
      </c>
      <c r="M319" s="6">
        <v>171.75</v>
      </c>
      <c r="N319" s="6">
        <v>171.75</v>
      </c>
      <c r="O319" s="6">
        <v>171.75</v>
      </c>
      <c r="P319" s="6">
        <v>0</v>
      </c>
      <c r="Q319" s="4" t="s">
        <v>26</v>
      </c>
      <c r="R319" s="4">
        <v>0</v>
      </c>
      <c r="S319" s="6">
        <v>0</v>
      </c>
      <c r="T319" s="6">
        <v>30</v>
      </c>
      <c r="U319" s="6">
        <v>74</v>
      </c>
      <c r="V319" s="6">
        <f>IF(ISERROR(VLOOKUP($S$319,'TAR FIN'!$A$1:$O$91,15,0)),0,VLOOKUP($S$319,'TAR FIN'!$A$1:$O$91,15,0))</f>
        <v>0</v>
      </c>
      <c r="W319" s="6">
        <f>IF(ISERROR(VLOOKUP($T$319,'TAR FIN'!$A$1:$O$91,15,0)),0,VLOOKUP($T$319,'TAR FIN'!$A$1:$O$91,15,0))</f>
        <v>236.77</v>
      </c>
      <c r="X319" s="6">
        <f>IF(ISERROR(VLOOKUP($U$319,'TAR FIN'!$A$1:$O$91,15,0)),0,VLOOKUP($U$319,'TAR FIN'!$A$1:$O$91,15,0))</f>
        <v>117.89</v>
      </c>
      <c r="Y319" s="6"/>
      <c r="Z319" s="6">
        <f ca="1">('TUSD BE'!$AM$37+'TUSD BF'!$AM$37+'TUSD CVA'!$AM$37)*(1-CUSTOS!$M$38)</f>
        <v>323.18581193481282</v>
      </c>
      <c r="AA319" s="6">
        <f>('TE BE'!$AB$25+'TE BF'!$AB$25+'TE CVA'!$AB$25)*(1-CUSTOS!$M$38)</f>
        <v>107.87938095628944</v>
      </c>
      <c r="AB319" s="6">
        <f>$K$319*$V$319</f>
        <v>0</v>
      </c>
      <c r="AC319" s="6">
        <f>$M$319*$W$319</f>
        <v>40665.247500000005</v>
      </c>
      <c r="AD319" s="6">
        <f>$O$319*$X$319</f>
        <v>20247.607500000002</v>
      </c>
      <c r="AE319" s="6">
        <f>$K$319*$Y$319</f>
        <v>0</v>
      </c>
      <c r="AF319" s="6">
        <f ca="1">$M$319*$Z$319</f>
        <v>55507.163199804105</v>
      </c>
      <c r="AG319" s="6">
        <f>$O$319*$AA$319</f>
        <v>18528.283679242712</v>
      </c>
    </row>
    <row r="320" spans="1:33" ht="11.25" customHeight="1" x14ac:dyDescent="0.25">
      <c r="A320" s="4" t="s">
        <v>21</v>
      </c>
      <c r="B320" s="4" t="s">
        <v>42</v>
      </c>
      <c r="C320" s="4" t="s">
        <v>23</v>
      </c>
      <c r="D320" s="4" t="s">
        <v>43</v>
      </c>
      <c r="E320" s="4" t="s">
        <v>51</v>
      </c>
      <c r="F320" s="4" t="s">
        <v>52</v>
      </c>
      <c r="G320" s="4" t="s">
        <v>25</v>
      </c>
      <c r="H320" s="4" t="s">
        <v>25</v>
      </c>
      <c r="I320" s="5">
        <v>44531</v>
      </c>
      <c r="J320" s="6">
        <v>0</v>
      </c>
      <c r="K320" s="6">
        <v>0</v>
      </c>
      <c r="L320" s="6">
        <v>163.185</v>
      </c>
      <c r="M320" s="6">
        <v>163.185</v>
      </c>
      <c r="N320" s="6">
        <v>163.185</v>
      </c>
      <c r="O320" s="6">
        <v>163.185</v>
      </c>
      <c r="P320" s="6">
        <v>0</v>
      </c>
      <c r="Q320" s="4" t="s">
        <v>26</v>
      </c>
      <c r="R320" s="4">
        <v>0</v>
      </c>
      <c r="S320" s="6">
        <v>0</v>
      </c>
      <c r="T320" s="6">
        <v>30</v>
      </c>
      <c r="U320" s="6">
        <v>74</v>
      </c>
      <c r="V320" s="6">
        <f>IF(ISERROR(VLOOKUP($S$320,'TAR FIN'!$A$1:$O$91,15,0)),0,VLOOKUP($S$320,'TAR FIN'!$A$1:$O$91,15,0))</f>
        <v>0</v>
      </c>
      <c r="W320" s="6">
        <f>IF(ISERROR(VLOOKUP($T$320,'TAR FIN'!$A$1:$O$91,15,0)),0,VLOOKUP($T$320,'TAR FIN'!$A$1:$O$91,15,0))</f>
        <v>236.77</v>
      </c>
      <c r="X320" s="6">
        <f>IF(ISERROR(VLOOKUP($U$320,'TAR FIN'!$A$1:$O$91,15,0)),0,VLOOKUP($U$320,'TAR FIN'!$A$1:$O$91,15,0))</f>
        <v>117.89</v>
      </c>
      <c r="Y320" s="6"/>
      <c r="Z320" s="6">
        <f ca="1">('TUSD BE'!$AM$37+'TUSD BF'!$AM$37+'TUSD CVA'!$AM$37)*(1-CUSTOS!$M$38)</f>
        <v>323.18581193481282</v>
      </c>
      <c r="AA320" s="6">
        <f>('TE BE'!$AB$25+'TE BF'!$AB$25+'TE CVA'!$AB$25)*(1-CUSTOS!$M$38)</f>
        <v>107.87938095628944</v>
      </c>
      <c r="AB320" s="6">
        <f>$K$320*$V$320</f>
        <v>0</v>
      </c>
      <c r="AC320" s="6">
        <f>$M$320*$W$320</f>
        <v>38637.312450000005</v>
      </c>
      <c r="AD320" s="6">
        <f>$O$320*$X$320</f>
        <v>19237.879649999999</v>
      </c>
      <c r="AE320" s="6">
        <f>$K$320*$Y$320</f>
        <v>0</v>
      </c>
      <c r="AF320" s="6">
        <f ca="1">$M$320*$Z$320</f>
        <v>52739.07672058243</v>
      </c>
      <c r="AG320" s="6">
        <f>$O$320*$AA$320</f>
        <v>17604.296781352092</v>
      </c>
    </row>
    <row r="321" spans="1:33" ht="11.25" customHeight="1" x14ac:dyDescent="0.25">
      <c r="A321" s="4" t="s">
        <v>21</v>
      </c>
      <c r="B321" s="4" t="s">
        <v>42</v>
      </c>
      <c r="C321" s="4" t="s">
        <v>23</v>
      </c>
      <c r="D321" s="4" t="s">
        <v>43</v>
      </c>
      <c r="E321" s="4" t="s">
        <v>51</v>
      </c>
      <c r="F321" s="4" t="s">
        <v>52</v>
      </c>
      <c r="G321" s="4" t="s">
        <v>25</v>
      </c>
      <c r="H321" s="4" t="s">
        <v>25</v>
      </c>
      <c r="I321" s="5">
        <v>44562</v>
      </c>
      <c r="J321" s="6">
        <v>0</v>
      </c>
      <c r="K321" s="6">
        <v>0</v>
      </c>
      <c r="L321" s="6">
        <v>200.428</v>
      </c>
      <c r="M321" s="6">
        <v>200.428</v>
      </c>
      <c r="N321" s="6">
        <v>200.428</v>
      </c>
      <c r="O321" s="6">
        <v>200.428</v>
      </c>
      <c r="P321" s="6">
        <v>0</v>
      </c>
      <c r="Q321" s="4" t="s">
        <v>26</v>
      </c>
      <c r="R321" s="4">
        <v>0</v>
      </c>
      <c r="S321" s="6">
        <v>0</v>
      </c>
      <c r="T321" s="6">
        <v>30</v>
      </c>
      <c r="U321" s="6">
        <v>74</v>
      </c>
      <c r="V321" s="6">
        <f>IF(ISERROR(VLOOKUP($S$321,'TAR FIN'!$A$1:$O$91,15,0)),0,VLOOKUP($S$321,'TAR FIN'!$A$1:$O$91,15,0))</f>
        <v>0</v>
      </c>
      <c r="W321" s="6">
        <f>IF(ISERROR(VLOOKUP($T$321,'TAR FIN'!$A$1:$O$91,15,0)),0,VLOOKUP($T$321,'TAR FIN'!$A$1:$O$91,15,0))</f>
        <v>236.77</v>
      </c>
      <c r="X321" s="6">
        <f>IF(ISERROR(VLOOKUP($U$321,'TAR FIN'!$A$1:$O$91,15,0)),0,VLOOKUP($U$321,'TAR FIN'!$A$1:$O$91,15,0))</f>
        <v>117.89</v>
      </c>
      <c r="Y321" s="6"/>
      <c r="Z321" s="6">
        <f ca="1">('TUSD BE'!$AM$37+'TUSD BF'!$AM$37+'TUSD CVA'!$AM$37)*(1-CUSTOS!$M$38)</f>
        <v>323.18581193481282</v>
      </c>
      <c r="AA321" s="6">
        <f>('TE BE'!$AB$25+'TE BF'!$AB$25+'TE CVA'!$AB$25)*(1-CUSTOS!$M$38)</f>
        <v>107.87938095628944</v>
      </c>
      <c r="AB321" s="6">
        <f>$K$321*$V$321</f>
        <v>0</v>
      </c>
      <c r="AC321" s="6">
        <f>$M$321*$W$321</f>
        <v>47455.33756</v>
      </c>
      <c r="AD321" s="6">
        <f>$O$321*$X$321</f>
        <v>23628.456920000001</v>
      </c>
      <c r="AE321" s="6">
        <f>$K$321*$Y$321</f>
        <v>0</v>
      </c>
      <c r="AF321" s="6">
        <f ca="1">$M$321*$Z$321</f>
        <v>64775.485914470664</v>
      </c>
      <c r="AG321" s="6">
        <f>$O$321*$AA$321</f>
        <v>21622.048566307178</v>
      </c>
    </row>
    <row r="322" spans="1:33" ht="11.25" customHeight="1" x14ac:dyDescent="0.25">
      <c r="A322" s="4" t="s">
        <v>21</v>
      </c>
      <c r="B322" s="4" t="s">
        <v>42</v>
      </c>
      <c r="C322" s="4" t="s">
        <v>23</v>
      </c>
      <c r="D322" s="4" t="s">
        <v>43</v>
      </c>
      <c r="E322" s="4" t="s">
        <v>51</v>
      </c>
      <c r="F322" s="4" t="s">
        <v>52</v>
      </c>
      <c r="G322" s="4" t="s">
        <v>25</v>
      </c>
      <c r="H322" s="4" t="s">
        <v>25</v>
      </c>
      <c r="I322" s="5">
        <v>44593</v>
      </c>
      <c r="J322" s="6">
        <v>0</v>
      </c>
      <c r="K322" s="6">
        <v>0</v>
      </c>
      <c r="L322" s="6">
        <v>50.792999999999999</v>
      </c>
      <c r="M322" s="6">
        <v>50.792999999999999</v>
      </c>
      <c r="N322" s="6">
        <v>50.792999999999999</v>
      </c>
      <c r="O322" s="6">
        <v>50.792999999999999</v>
      </c>
      <c r="P322" s="6">
        <v>0</v>
      </c>
      <c r="Q322" s="4" t="s">
        <v>26</v>
      </c>
      <c r="R322" s="4">
        <v>0</v>
      </c>
      <c r="S322" s="6">
        <v>0</v>
      </c>
      <c r="T322" s="6">
        <v>30</v>
      </c>
      <c r="U322" s="6">
        <v>74</v>
      </c>
      <c r="V322" s="6">
        <f>IF(ISERROR(VLOOKUP($S$322,'TAR FIN'!$A$1:$O$91,15,0)),0,VLOOKUP($S$322,'TAR FIN'!$A$1:$O$91,15,0))</f>
        <v>0</v>
      </c>
      <c r="W322" s="6">
        <f>IF(ISERROR(VLOOKUP($T$322,'TAR FIN'!$A$1:$O$91,15,0)),0,VLOOKUP($T$322,'TAR FIN'!$A$1:$O$91,15,0))</f>
        <v>236.77</v>
      </c>
      <c r="X322" s="6">
        <f>IF(ISERROR(VLOOKUP($U$322,'TAR FIN'!$A$1:$O$91,15,0)),0,VLOOKUP($U$322,'TAR FIN'!$A$1:$O$91,15,0))</f>
        <v>117.89</v>
      </c>
      <c r="Y322" s="6"/>
      <c r="Z322" s="6">
        <f ca="1">('TUSD BE'!$AM$37+'TUSD BF'!$AM$37+'TUSD CVA'!$AM$37)*(1-CUSTOS!$M$38)</f>
        <v>323.18581193481282</v>
      </c>
      <c r="AA322" s="6">
        <f>('TE BE'!$AB$25+'TE BF'!$AB$25+'TE CVA'!$AB$25)*(1-CUSTOS!$M$38)</f>
        <v>107.87938095628944</v>
      </c>
      <c r="AB322" s="6">
        <f>$K$322*$V$322</f>
        <v>0</v>
      </c>
      <c r="AC322" s="6">
        <f>$M$322*$W$322</f>
        <v>12026.258610000001</v>
      </c>
      <c r="AD322" s="6">
        <f>$O$322*$X$322</f>
        <v>5987.9867699999995</v>
      </c>
      <c r="AE322" s="6">
        <f>$K$322*$Y$322</f>
        <v>0</v>
      </c>
      <c r="AF322" s="6">
        <f ca="1">$M$322*$Z$322</f>
        <v>16415.576945604946</v>
      </c>
      <c r="AG322" s="6">
        <f>$O$322*$AA$322</f>
        <v>5479.5173969128091</v>
      </c>
    </row>
    <row r="323" spans="1:33" ht="11.25" customHeight="1" x14ac:dyDescent="0.25">
      <c r="A323" s="4" t="s">
        <v>28</v>
      </c>
      <c r="B323" s="4" t="s">
        <v>42</v>
      </c>
      <c r="C323" s="4" t="s">
        <v>23</v>
      </c>
      <c r="D323" s="4" t="s">
        <v>43</v>
      </c>
      <c r="E323" s="4" t="s">
        <v>51</v>
      </c>
      <c r="F323" s="4" t="s">
        <v>52</v>
      </c>
      <c r="G323" s="4" t="s">
        <v>25</v>
      </c>
      <c r="H323" s="4" t="s">
        <v>25</v>
      </c>
      <c r="I323" s="5">
        <v>44593</v>
      </c>
      <c r="J323" s="6">
        <v>0</v>
      </c>
      <c r="K323" s="6">
        <v>0</v>
      </c>
      <c r="L323" s="6">
        <v>0.1</v>
      </c>
      <c r="M323" s="6">
        <v>0.1</v>
      </c>
      <c r="N323" s="6">
        <v>0.1</v>
      </c>
      <c r="O323" s="6">
        <v>0.1</v>
      </c>
      <c r="P323" s="6">
        <v>0</v>
      </c>
      <c r="Q323" s="4" t="s">
        <v>26</v>
      </c>
      <c r="R323" s="4">
        <v>0</v>
      </c>
      <c r="S323" s="6">
        <v>0</v>
      </c>
      <c r="T323" s="6">
        <v>30</v>
      </c>
      <c r="U323" s="6">
        <v>74</v>
      </c>
      <c r="V323" s="6">
        <f>IF(ISERROR(VLOOKUP($S$323,'TAR FIN'!$A$1:$O$91,15,0)),0,VLOOKUP($S$323,'TAR FIN'!$A$1:$O$91,15,0))</f>
        <v>0</v>
      </c>
      <c r="W323" s="6">
        <f>IF(ISERROR(VLOOKUP($T$323,'TAR FIN'!$A$1:$O$91,15,0)),0,VLOOKUP($T$323,'TAR FIN'!$A$1:$O$91,15,0))</f>
        <v>236.77</v>
      </c>
      <c r="X323" s="6">
        <f>IF(ISERROR(VLOOKUP($U$323,'TAR FIN'!$A$1:$O$91,15,0)),0,VLOOKUP($U$323,'TAR FIN'!$A$1:$O$91,15,0))</f>
        <v>117.89</v>
      </c>
      <c r="Y323" s="6"/>
      <c r="Z323" s="6">
        <f ca="1">('TUSD BE'!$AM$37+'TUSD BF'!$AM$37+'TUSD CVA'!$AM$37)*(1-CUSTOS!$M$38)</f>
        <v>323.18581193481282</v>
      </c>
      <c r="AA323" s="6">
        <f>('TE BE'!$AB$25+'TE BF'!$AB$25+'TE CVA'!$AB$25)*(1-CUSTOS!$M$38)</f>
        <v>107.87938095628944</v>
      </c>
      <c r="AB323" s="6">
        <f>$K$323*$V$323</f>
        <v>0</v>
      </c>
      <c r="AC323" s="6">
        <f>$M$323*$W$323</f>
        <v>23.677000000000003</v>
      </c>
      <c r="AD323" s="6">
        <f>$O$323*$X$323</f>
        <v>11.789000000000001</v>
      </c>
      <c r="AE323" s="6">
        <f>$K$323*$Y$323</f>
        <v>0</v>
      </c>
      <c r="AF323" s="6">
        <f ca="1">$M$323*$Z$323</f>
        <v>32.318581193481286</v>
      </c>
      <c r="AG323" s="6">
        <f>$O$323*$AA$323</f>
        <v>10.787938095628945</v>
      </c>
    </row>
    <row r="324" spans="1:33" ht="11.25" customHeight="1" x14ac:dyDescent="0.25">
      <c r="A324" s="4" t="s">
        <v>21</v>
      </c>
      <c r="B324" s="4" t="s">
        <v>42</v>
      </c>
      <c r="C324" s="4" t="s">
        <v>23</v>
      </c>
      <c r="D324" s="4" t="s">
        <v>43</v>
      </c>
      <c r="E324" s="4" t="s">
        <v>51</v>
      </c>
      <c r="F324" s="4" t="s">
        <v>52</v>
      </c>
      <c r="G324" s="4" t="s">
        <v>25</v>
      </c>
      <c r="H324" s="4" t="s">
        <v>25</v>
      </c>
      <c r="I324" s="5">
        <v>44621</v>
      </c>
      <c r="J324" s="6">
        <v>0</v>
      </c>
      <c r="K324" s="6">
        <v>0</v>
      </c>
      <c r="L324" s="6">
        <v>23.201000000000001</v>
      </c>
      <c r="M324" s="6">
        <v>23.201000000000001</v>
      </c>
      <c r="N324" s="6">
        <v>23.201000000000001</v>
      </c>
      <c r="O324" s="6">
        <v>23.201000000000001</v>
      </c>
      <c r="P324" s="6">
        <v>0</v>
      </c>
      <c r="Q324" s="4" t="s">
        <v>26</v>
      </c>
      <c r="R324" s="4">
        <v>0</v>
      </c>
      <c r="S324" s="6">
        <v>0</v>
      </c>
      <c r="T324" s="6">
        <v>30</v>
      </c>
      <c r="U324" s="6">
        <v>74</v>
      </c>
      <c r="V324" s="6">
        <f>IF(ISERROR(VLOOKUP($S$324,'TAR FIN'!$A$1:$O$91,15,0)),0,VLOOKUP($S$324,'TAR FIN'!$A$1:$O$91,15,0))</f>
        <v>0</v>
      </c>
      <c r="W324" s="6">
        <f>IF(ISERROR(VLOOKUP($T$324,'TAR FIN'!$A$1:$O$91,15,0)),0,VLOOKUP($T$324,'TAR FIN'!$A$1:$O$91,15,0))</f>
        <v>236.77</v>
      </c>
      <c r="X324" s="6">
        <f>IF(ISERROR(VLOOKUP($U$324,'TAR FIN'!$A$1:$O$91,15,0)),0,VLOOKUP($U$324,'TAR FIN'!$A$1:$O$91,15,0))</f>
        <v>117.89</v>
      </c>
      <c r="Y324" s="6"/>
      <c r="Z324" s="6">
        <f ca="1">('TUSD BE'!$AM$37+'TUSD BF'!$AM$37+'TUSD CVA'!$AM$37)*(1-CUSTOS!$M$38)</f>
        <v>323.18581193481282</v>
      </c>
      <c r="AA324" s="6">
        <f>('TE BE'!$AB$25+'TE BF'!$AB$25+'TE CVA'!$AB$25)*(1-CUSTOS!$M$38)</f>
        <v>107.87938095628944</v>
      </c>
      <c r="AB324" s="6">
        <f>$K$324*$V$324</f>
        <v>0</v>
      </c>
      <c r="AC324" s="6">
        <f>$M$324*$W$324</f>
        <v>5493.3007700000007</v>
      </c>
      <c r="AD324" s="6">
        <f>$O$324*$X$324</f>
        <v>2735.1658900000002</v>
      </c>
      <c r="AE324" s="6">
        <f>$K$324*$Y$324</f>
        <v>0</v>
      </c>
      <c r="AF324" s="6">
        <f ca="1">$M$324*$Z$324</f>
        <v>7498.2340226995921</v>
      </c>
      <c r="AG324" s="6">
        <f>$O$324*$AA$324</f>
        <v>2502.9095175668713</v>
      </c>
    </row>
    <row r="325" spans="1:33" ht="11.25" customHeight="1" x14ac:dyDescent="0.25">
      <c r="A325" s="4" t="s">
        <v>28</v>
      </c>
      <c r="B325" s="4" t="s">
        <v>42</v>
      </c>
      <c r="C325" s="4" t="s">
        <v>23</v>
      </c>
      <c r="D325" s="4" t="s">
        <v>43</v>
      </c>
      <c r="E325" s="4" t="s">
        <v>51</v>
      </c>
      <c r="F325" s="4" t="s">
        <v>52</v>
      </c>
      <c r="G325" s="4" t="s">
        <v>25</v>
      </c>
      <c r="H325" s="4" t="s">
        <v>25</v>
      </c>
      <c r="I325" s="5">
        <v>44621</v>
      </c>
      <c r="J325" s="6">
        <v>0</v>
      </c>
      <c r="K325" s="6">
        <v>0</v>
      </c>
      <c r="L325" s="6">
        <v>0.1</v>
      </c>
      <c r="M325" s="6">
        <v>0.1</v>
      </c>
      <c r="N325" s="6">
        <v>0.1</v>
      </c>
      <c r="O325" s="6">
        <v>0.1</v>
      </c>
      <c r="P325" s="6">
        <v>0</v>
      </c>
      <c r="Q325" s="4" t="s">
        <v>26</v>
      </c>
      <c r="R325" s="4">
        <v>0</v>
      </c>
      <c r="S325" s="6">
        <v>0</v>
      </c>
      <c r="T325" s="6">
        <v>30</v>
      </c>
      <c r="U325" s="6">
        <v>74</v>
      </c>
      <c r="V325" s="6">
        <f>IF(ISERROR(VLOOKUP($S$325,'TAR FIN'!$A$1:$O$91,15,0)),0,VLOOKUP($S$325,'TAR FIN'!$A$1:$O$91,15,0))</f>
        <v>0</v>
      </c>
      <c r="W325" s="6">
        <f>IF(ISERROR(VLOOKUP($T$325,'TAR FIN'!$A$1:$O$91,15,0)),0,VLOOKUP($T$325,'TAR FIN'!$A$1:$O$91,15,0))</f>
        <v>236.77</v>
      </c>
      <c r="X325" s="6">
        <f>IF(ISERROR(VLOOKUP($U$325,'TAR FIN'!$A$1:$O$91,15,0)),0,VLOOKUP($U$325,'TAR FIN'!$A$1:$O$91,15,0))</f>
        <v>117.89</v>
      </c>
      <c r="Y325" s="6"/>
      <c r="Z325" s="6">
        <f ca="1">('TUSD BE'!$AM$37+'TUSD BF'!$AM$37+'TUSD CVA'!$AM$37)*(1-CUSTOS!$M$38)</f>
        <v>323.18581193481282</v>
      </c>
      <c r="AA325" s="6">
        <f>('TE BE'!$AB$25+'TE BF'!$AB$25+'TE CVA'!$AB$25)*(1-CUSTOS!$M$38)</f>
        <v>107.87938095628944</v>
      </c>
      <c r="AB325" s="6">
        <f>$K$325*$V$325</f>
        <v>0</v>
      </c>
      <c r="AC325" s="6">
        <f>$M$325*$W$325</f>
        <v>23.677000000000003</v>
      </c>
      <c r="AD325" s="6">
        <f>$O$325*$X$325</f>
        <v>11.789000000000001</v>
      </c>
      <c r="AE325" s="6">
        <f>$K$325*$Y$325</f>
        <v>0</v>
      </c>
      <c r="AF325" s="6">
        <f ca="1">$M$325*$Z$325</f>
        <v>32.318581193481286</v>
      </c>
      <c r="AG325" s="6">
        <f>$O$325*$AA$325</f>
        <v>10.787938095628945</v>
      </c>
    </row>
    <row r="326" spans="1:33" ht="11.25" customHeight="1" x14ac:dyDescent="0.25">
      <c r="A326" s="4" t="s">
        <v>21</v>
      </c>
      <c r="B326" s="4" t="s">
        <v>42</v>
      </c>
      <c r="C326" s="4" t="s">
        <v>23</v>
      </c>
      <c r="D326" s="4" t="s">
        <v>43</v>
      </c>
      <c r="E326" s="4" t="s">
        <v>51</v>
      </c>
      <c r="F326" s="4" t="s">
        <v>52</v>
      </c>
      <c r="G326" s="4" t="s">
        <v>25</v>
      </c>
      <c r="H326" s="4" t="s">
        <v>25</v>
      </c>
      <c r="I326" s="5">
        <v>44652</v>
      </c>
      <c r="J326" s="6">
        <v>0</v>
      </c>
      <c r="K326" s="6">
        <v>0</v>
      </c>
      <c r="L326" s="6">
        <v>20.023</v>
      </c>
      <c r="M326" s="6">
        <v>20.023</v>
      </c>
      <c r="N326" s="6">
        <v>20.023</v>
      </c>
      <c r="O326" s="6">
        <v>20.023</v>
      </c>
      <c r="P326" s="6">
        <v>0</v>
      </c>
      <c r="Q326" s="4" t="s">
        <v>26</v>
      </c>
      <c r="R326" s="4">
        <v>0</v>
      </c>
      <c r="S326" s="6">
        <v>0</v>
      </c>
      <c r="T326" s="6">
        <v>30</v>
      </c>
      <c r="U326" s="6">
        <v>74</v>
      </c>
      <c r="V326" s="6">
        <f>IF(ISERROR(VLOOKUP($S$326,'TAR FIN'!$A$1:$O$91,15,0)),0,VLOOKUP($S$326,'TAR FIN'!$A$1:$O$91,15,0))</f>
        <v>0</v>
      </c>
      <c r="W326" s="6">
        <f>IF(ISERROR(VLOOKUP($T$326,'TAR FIN'!$A$1:$O$91,15,0)),0,VLOOKUP($T$326,'TAR FIN'!$A$1:$O$91,15,0))</f>
        <v>236.77</v>
      </c>
      <c r="X326" s="6">
        <f>IF(ISERROR(VLOOKUP($U$326,'TAR FIN'!$A$1:$O$91,15,0)),0,VLOOKUP($U$326,'TAR FIN'!$A$1:$O$91,15,0))</f>
        <v>117.89</v>
      </c>
      <c r="Y326" s="6"/>
      <c r="Z326" s="6">
        <f ca="1">('TUSD BE'!$AM$37+'TUSD BF'!$AM$37+'TUSD CVA'!$AM$37)*(1-CUSTOS!$M$38)</f>
        <v>323.18581193481282</v>
      </c>
      <c r="AA326" s="6">
        <f>('TE BE'!$AB$25+'TE BF'!$AB$25+'TE CVA'!$AB$25)*(1-CUSTOS!$M$38)</f>
        <v>107.87938095628944</v>
      </c>
      <c r="AB326" s="6">
        <f>$K$326*$V$326</f>
        <v>0</v>
      </c>
      <c r="AC326" s="6">
        <f>$M$326*$W$326</f>
        <v>4740.8457100000005</v>
      </c>
      <c r="AD326" s="6">
        <f>$O$326*$X$326</f>
        <v>2360.5114699999999</v>
      </c>
      <c r="AE326" s="6">
        <f>$K$326*$Y$326</f>
        <v>0</v>
      </c>
      <c r="AF326" s="6">
        <f ca="1">$M$326*$Z$326</f>
        <v>6471.1495123707573</v>
      </c>
      <c r="AG326" s="6">
        <f>$O$326*$AA$326</f>
        <v>2160.0688448877836</v>
      </c>
    </row>
    <row r="327" spans="1:33" ht="11.25" customHeight="1" x14ac:dyDescent="0.25">
      <c r="A327" s="4" t="s">
        <v>21</v>
      </c>
      <c r="B327" s="4" t="s">
        <v>42</v>
      </c>
      <c r="C327" s="4" t="s">
        <v>23</v>
      </c>
      <c r="D327" s="4" t="s">
        <v>43</v>
      </c>
      <c r="E327" s="4" t="s">
        <v>51</v>
      </c>
      <c r="F327" s="4" t="s">
        <v>52</v>
      </c>
      <c r="G327" s="4" t="s">
        <v>25</v>
      </c>
      <c r="H327" s="4" t="s">
        <v>25</v>
      </c>
      <c r="I327" s="5">
        <v>44682</v>
      </c>
      <c r="J327" s="6">
        <v>0</v>
      </c>
      <c r="K327" s="6">
        <v>0</v>
      </c>
      <c r="L327" s="6">
        <v>10.407999999999999</v>
      </c>
      <c r="M327" s="6">
        <v>10.407999999999999</v>
      </c>
      <c r="N327" s="6">
        <v>10.407999999999999</v>
      </c>
      <c r="O327" s="6">
        <v>10.407999999999999</v>
      </c>
      <c r="P327" s="6">
        <v>0</v>
      </c>
      <c r="Q327" s="4" t="s">
        <v>26</v>
      </c>
      <c r="R327" s="4">
        <v>0</v>
      </c>
      <c r="S327" s="6">
        <v>0</v>
      </c>
      <c r="T327" s="6">
        <v>30</v>
      </c>
      <c r="U327" s="6">
        <v>74</v>
      </c>
      <c r="V327" s="6">
        <f>IF(ISERROR(VLOOKUP($S$327,'TAR FIN'!$A$1:$O$91,15,0)),0,VLOOKUP($S$327,'TAR FIN'!$A$1:$O$91,15,0))</f>
        <v>0</v>
      </c>
      <c r="W327" s="6">
        <f>IF(ISERROR(VLOOKUP($T$327,'TAR FIN'!$A$1:$O$91,15,0)),0,VLOOKUP($T$327,'TAR FIN'!$A$1:$O$91,15,0))</f>
        <v>236.77</v>
      </c>
      <c r="X327" s="6">
        <f>IF(ISERROR(VLOOKUP($U$327,'TAR FIN'!$A$1:$O$91,15,0)),0,VLOOKUP($U$327,'TAR FIN'!$A$1:$O$91,15,0))</f>
        <v>117.89</v>
      </c>
      <c r="Y327" s="6"/>
      <c r="Z327" s="6">
        <f ca="1">('TUSD BE'!$AM$37+'TUSD BF'!$AM$37+'TUSD CVA'!$AM$37)*(1-CUSTOS!$M$38)</f>
        <v>323.18581193481282</v>
      </c>
      <c r="AA327" s="6">
        <f>('TE BE'!$AB$25+'TE BF'!$AB$25+'TE CVA'!$AB$25)*(1-CUSTOS!$M$38)</f>
        <v>107.87938095628944</v>
      </c>
      <c r="AB327" s="6">
        <f>$K$327*$V$327</f>
        <v>0</v>
      </c>
      <c r="AC327" s="6">
        <f>$M$327*$W$327</f>
        <v>2464.3021600000002</v>
      </c>
      <c r="AD327" s="6">
        <f>$O$327*$X$327</f>
        <v>1226.9991199999999</v>
      </c>
      <c r="AE327" s="6">
        <f>$K$327*$Y$327</f>
        <v>0</v>
      </c>
      <c r="AF327" s="6">
        <f ca="1">$M$327*$Z$327</f>
        <v>3363.7179306175317</v>
      </c>
      <c r="AG327" s="6">
        <f>$O$327*$AA$327</f>
        <v>1122.8085969930605</v>
      </c>
    </row>
    <row r="328" spans="1:33" ht="11.25" customHeight="1" x14ac:dyDescent="0.25">
      <c r="A328" s="4" t="s">
        <v>27</v>
      </c>
      <c r="B328" s="4" t="s">
        <v>42</v>
      </c>
      <c r="C328" s="4" t="s">
        <v>23</v>
      </c>
      <c r="D328" s="4" t="s">
        <v>43</v>
      </c>
      <c r="E328" s="4" t="s">
        <v>51</v>
      </c>
      <c r="F328" s="4" t="s">
        <v>52</v>
      </c>
      <c r="G328" s="4" t="s">
        <v>25</v>
      </c>
      <c r="H328" s="4" t="s">
        <v>25</v>
      </c>
      <c r="I328" s="5">
        <v>44682</v>
      </c>
      <c r="J328" s="6">
        <v>0</v>
      </c>
      <c r="K328" s="6">
        <v>0</v>
      </c>
      <c r="L328" s="6">
        <v>-9.6920000000000002</v>
      </c>
      <c r="M328" s="6">
        <v>-9.6920000000000002</v>
      </c>
      <c r="N328" s="6">
        <v>-9.6920000000000002</v>
      </c>
      <c r="O328" s="6">
        <v>-9.6920000000000002</v>
      </c>
      <c r="P328" s="6">
        <v>0</v>
      </c>
      <c r="Q328" s="4" t="s">
        <v>26</v>
      </c>
      <c r="R328" s="4">
        <v>0</v>
      </c>
      <c r="S328" s="6">
        <v>0</v>
      </c>
      <c r="T328" s="6">
        <v>30</v>
      </c>
      <c r="U328" s="6">
        <v>74</v>
      </c>
      <c r="V328" s="6">
        <f>IF(ISERROR(VLOOKUP($S$328,'TAR FIN'!$A$1:$O$91,15,0)),0,VLOOKUP($S$328,'TAR FIN'!$A$1:$O$91,15,0))</f>
        <v>0</v>
      </c>
      <c r="W328" s="6">
        <f>IF(ISERROR(VLOOKUP($T$328,'TAR FIN'!$A$1:$O$91,15,0)),0,VLOOKUP($T$328,'TAR FIN'!$A$1:$O$91,15,0))</f>
        <v>236.77</v>
      </c>
      <c r="X328" s="6">
        <f>IF(ISERROR(VLOOKUP($U$328,'TAR FIN'!$A$1:$O$91,15,0)),0,VLOOKUP($U$328,'TAR FIN'!$A$1:$O$91,15,0))</f>
        <v>117.89</v>
      </c>
      <c r="Y328" s="6"/>
      <c r="Z328" s="6">
        <f ca="1">('TUSD BE'!$AM$37+'TUSD BF'!$AM$37+'TUSD CVA'!$AM$37)*(1-CUSTOS!$M$38)</f>
        <v>323.18581193481282</v>
      </c>
      <c r="AA328" s="6">
        <f>('TE BE'!$AB$25+'TE BF'!$AB$25+'TE CVA'!$AB$25)*(1-CUSTOS!$M$38)</f>
        <v>107.87938095628944</v>
      </c>
      <c r="AB328" s="6">
        <f>$K$328*$V$328</f>
        <v>0</v>
      </c>
      <c r="AC328" s="6">
        <f>$M$328*$W$328</f>
        <v>-2294.77484</v>
      </c>
      <c r="AD328" s="6">
        <f>$O$328*$X$328</f>
        <v>-1142.58988</v>
      </c>
      <c r="AE328" s="6">
        <f>$K$328*$Y$328</f>
        <v>0</v>
      </c>
      <c r="AF328" s="6">
        <f ca="1">$M$328*$Z$328</f>
        <v>-3132.316889272206</v>
      </c>
      <c r="AG328" s="6">
        <f>$O$328*$AA$328</f>
        <v>-1045.5669602283572</v>
      </c>
    </row>
    <row r="329" spans="1:33" ht="11.25" customHeight="1" x14ac:dyDescent="0.25">
      <c r="A329" s="4" t="s">
        <v>21</v>
      </c>
      <c r="B329" s="4" t="s">
        <v>42</v>
      </c>
      <c r="C329" s="4" t="s">
        <v>23</v>
      </c>
      <c r="D329" s="4" t="s">
        <v>43</v>
      </c>
      <c r="E329" s="4" t="s">
        <v>51</v>
      </c>
      <c r="F329" s="4" t="s">
        <v>52</v>
      </c>
      <c r="G329" s="4" t="s">
        <v>25</v>
      </c>
      <c r="H329" s="4" t="s">
        <v>25</v>
      </c>
      <c r="I329" s="5">
        <v>44713</v>
      </c>
      <c r="J329" s="6">
        <v>0</v>
      </c>
      <c r="K329" s="6">
        <v>0</v>
      </c>
      <c r="L329" s="6">
        <v>9.1449999999999996</v>
      </c>
      <c r="M329" s="6">
        <v>9.1449999999999996</v>
      </c>
      <c r="N329" s="6">
        <v>9.1449999999999996</v>
      </c>
      <c r="O329" s="6">
        <v>9.1449999999999996</v>
      </c>
      <c r="P329" s="6">
        <v>0</v>
      </c>
      <c r="Q329" s="4" t="s">
        <v>26</v>
      </c>
      <c r="R329" s="4">
        <v>0</v>
      </c>
      <c r="S329" s="6">
        <v>0</v>
      </c>
      <c r="T329" s="6">
        <v>30</v>
      </c>
      <c r="U329" s="6">
        <v>74</v>
      </c>
      <c r="V329" s="6">
        <f>IF(ISERROR(VLOOKUP($S$329,'TAR FIN'!$A$1:$O$91,15,0)),0,VLOOKUP($S$329,'TAR FIN'!$A$1:$O$91,15,0))</f>
        <v>0</v>
      </c>
      <c r="W329" s="6">
        <f>IF(ISERROR(VLOOKUP($T$329,'TAR FIN'!$A$1:$O$91,15,0)),0,VLOOKUP($T$329,'TAR FIN'!$A$1:$O$91,15,0))</f>
        <v>236.77</v>
      </c>
      <c r="X329" s="6">
        <f>IF(ISERROR(VLOOKUP($U$329,'TAR FIN'!$A$1:$O$91,15,0)),0,VLOOKUP($U$329,'TAR FIN'!$A$1:$O$91,15,0))</f>
        <v>117.89</v>
      </c>
      <c r="Y329" s="6"/>
      <c r="Z329" s="6">
        <f ca="1">('TUSD BE'!$AM$37+'TUSD BF'!$AM$37+'TUSD CVA'!$AM$37)*(1-CUSTOS!$M$38)</f>
        <v>323.18581193481282</v>
      </c>
      <c r="AA329" s="6">
        <f>('TE BE'!$AB$25+'TE BF'!$AB$25+'TE CVA'!$AB$25)*(1-CUSTOS!$M$38)</f>
        <v>107.87938095628944</v>
      </c>
      <c r="AB329" s="6">
        <f>$K$329*$V$329</f>
        <v>0</v>
      </c>
      <c r="AC329" s="6">
        <f>$M$329*$W$329</f>
        <v>2165.2616499999999</v>
      </c>
      <c r="AD329" s="6">
        <f>$O$329*$X$329</f>
        <v>1078.1040499999999</v>
      </c>
      <c r="AE329" s="6">
        <f>$K$329*$Y$329</f>
        <v>0</v>
      </c>
      <c r="AF329" s="6">
        <f ca="1">$M$329*$Z$329</f>
        <v>2955.5342501438631</v>
      </c>
      <c r="AG329" s="6">
        <f>$O$329*$AA$329</f>
        <v>986.55693884526681</v>
      </c>
    </row>
    <row r="330" spans="1:33" ht="11.25" customHeight="1" x14ac:dyDescent="0.25">
      <c r="A330" s="4" t="s">
        <v>21</v>
      </c>
      <c r="B330" s="4" t="s">
        <v>42</v>
      </c>
      <c r="C330" s="4" t="s">
        <v>23</v>
      </c>
      <c r="D330" s="4" t="s">
        <v>43</v>
      </c>
      <c r="E330" s="4" t="s">
        <v>51</v>
      </c>
      <c r="F330" s="4" t="s">
        <v>52</v>
      </c>
      <c r="G330" s="4" t="s">
        <v>25</v>
      </c>
      <c r="H330" s="4" t="s">
        <v>25</v>
      </c>
      <c r="I330" s="5">
        <v>44743</v>
      </c>
      <c r="J330" s="6">
        <v>0</v>
      </c>
      <c r="K330" s="6">
        <v>0</v>
      </c>
      <c r="L330" s="6">
        <v>13.619</v>
      </c>
      <c r="M330" s="6">
        <v>13.619</v>
      </c>
      <c r="N330" s="6">
        <v>13.619</v>
      </c>
      <c r="O330" s="6">
        <v>13.619</v>
      </c>
      <c r="P330" s="6">
        <v>0</v>
      </c>
      <c r="Q330" s="4" t="s">
        <v>26</v>
      </c>
      <c r="R330" s="4">
        <v>0</v>
      </c>
      <c r="S330" s="6">
        <v>0</v>
      </c>
      <c r="T330" s="6">
        <v>30</v>
      </c>
      <c r="U330" s="6">
        <v>74</v>
      </c>
      <c r="V330" s="6">
        <f>IF(ISERROR(VLOOKUP($S$330,'TAR FIN'!$A$1:$O$91,15,0)),0,VLOOKUP($S$330,'TAR FIN'!$A$1:$O$91,15,0))</f>
        <v>0</v>
      </c>
      <c r="W330" s="6">
        <f>IF(ISERROR(VLOOKUP($T$330,'TAR FIN'!$A$1:$O$91,15,0)),0,VLOOKUP($T$330,'TAR FIN'!$A$1:$O$91,15,0))</f>
        <v>236.77</v>
      </c>
      <c r="X330" s="6">
        <f>IF(ISERROR(VLOOKUP($U$330,'TAR FIN'!$A$1:$O$91,15,0)),0,VLOOKUP($U$330,'TAR FIN'!$A$1:$O$91,15,0))</f>
        <v>117.89</v>
      </c>
      <c r="Y330" s="6"/>
      <c r="Z330" s="6">
        <f ca="1">('TUSD BE'!$AM$37+'TUSD BF'!$AM$37+'TUSD CVA'!$AM$37)*(1-CUSTOS!$M$38)</f>
        <v>323.18581193481282</v>
      </c>
      <c r="AA330" s="6">
        <f>('TE BE'!$AB$25+'TE BF'!$AB$25+'TE CVA'!$AB$25)*(1-CUSTOS!$M$38)</f>
        <v>107.87938095628944</v>
      </c>
      <c r="AB330" s="6">
        <f>$K$330*$V$330</f>
        <v>0</v>
      </c>
      <c r="AC330" s="6">
        <f>$M$330*$W$330</f>
        <v>3224.5706300000002</v>
      </c>
      <c r="AD330" s="6">
        <f>$O$330*$X$330</f>
        <v>1605.5439099999999</v>
      </c>
      <c r="AE330" s="6">
        <f>$K$330*$Y$330</f>
        <v>0</v>
      </c>
      <c r="AF330" s="6">
        <f ca="1">$M$330*$Z$330</f>
        <v>4401.4675727402155</v>
      </c>
      <c r="AG330" s="6">
        <f>$O$330*$AA$330</f>
        <v>1469.2092892437058</v>
      </c>
    </row>
    <row r="331" spans="1:33" ht="11.25" customHeight="1" x14ac:dyDescent="0.25">
      <c r="A331" s="4" t="s">
        <v>57</v>
      </c>
      <c r="B331" s="4" t="s">
        <v>42</v>
      </c>
      <c r="C331" s="4" t="s">
        <v>23</v>
      </c>
      <c r="D331" s="4" t="s">
        <v>43</v>
      </c>
      <c r="E331" s="4" t="s">
        <v>51</v>
      </c>
      <c r="F331" s="4" t="s">
        <v>52</v>
      </c>
      <c r="G331" s="4" t="s">
        <v>25</v>
      </c>
      <c r="H331" s="4" t="s">
        <v>25</v>
      </c>
      <c r="I331" s="5">
        <v>44774</v>
      </c>
      <c r="J331" s="6">
        <v>0</v>
      </c>
      <c r="K331" s="6">
        <v>0</v>
      </c>
      <c r="L331" s="6">
        <v>13.619</v>
      </c>
      <c r="M331" s="6">
        <v>13.619</v>
      </c>
      <c r="N331" s="6">
        <v>13.619</v>
      </c>
      <c r="O331" s="6">
        <v>13.619</v>
      </c>
      <c r="P331" s="6">
        <v>0</v>
      </c>
      <c r="Q331" s="4" t="s">
        <v>26</v>
      </c>
      <c r="R331" s="4">
        <v>0</v>
      </c>
      <c r="S331" s="6">
        <v>0</v>
      </c>
      <c r="T331" s="6">
        <v>30</v>
      </c>
      <c r="U331" s="6">
        <v>74</v>
      </c>
      <c r="V331" s="6">
        <f>IF(ISERROR(VLOOKUP($S$331,'TAR FIN'!$A$1:$O$91,15,0)),0,VLOOKUP($S$331,'TAR FIN'!$A$1:$O$91,15,0))</f>
        <v>0</v>
      </c>
      <c r="W331" s="6">
        <f>IF(ISERROR(VLOOKUP($T$331,'TAR FIN'!$A$1:$O$91,15,0)),0,VLOOKUP($T$331,'TAR FIN'!$A$1:$O$91,15,0))</f>
        <v>236.77</v>
      </c>
      <c r="X331" s="6">
        <f>IF(ISERROR(VLOOKUP($U$331,'TAR FIN'!$A$1:$O$91,15,0)),0,VLOOKUP($U$331,'TAR FIN'!$A$1:$O$91,15,0))</f>
        <v>117.89</v>
      </c>
      <c r="Y331" s="6"/>
      <c r="Z331" s="6">
        <f ca="1">('TUSD BE'!$AM$37+'TUSD BF'!$AM$37+'TUSD CVA'!$AM$37)*(1-CUSTOS!$M$38)</f>
        <v>323.18581193481282</v>
      </c>
      <c r="AA331" s="6">
        <f>('TE BE'!$AB$25+'TE BF'!$AB$25+'TE CVA'!$AB$25)*(1-CUSTOS!$M$38)</f>
        <v>107.87938095628944</v>
      </c>
      <c r="AB331" s="6">
        <f>$K$331*$V$331</f>
        <v>0</v>
      </c>
      <c r="AC331" s="6">
        <f>$M$331*$W$331</f>
        <v>3224.5706300000002</v>
      </c>
      <c r="AD331" s="6">
        <f>$O$331*$X$331</f>
        <v>1605.5439099999999</v>
      </c>
      <c r="AE331" s="6">
        <f>$K$331*$Y$331</f>
        <v>0</v>
      </c>
      <c r="AF331" s="6">
        <f ca="1">$M$331*$Z$331</f>
        <v>4401.4675727402155</v>
      </c>
      <c r="AG331" s="6">
        <f>$O$331*$AA$331</f>
        <v>1469.2092892437058</v>
      </c>
    </row>
    <row r="332" spans="1:33" ht="11.25" customHeight="1" x14ac:dyDescent="0.25">
      <c r="A332" s="4" t="s">
        <v>21</v>
      </c>
      <c r="B332" s="4" t="s">
        <v>42</v>
      </c>
      <c r="C332" s="4" t="s">
        <v>23</v>
      </c>
      <c r="D332" s="4" t="s">
        <v>43</v>
      </c>
      <c r="E332" s="4" t="s">
        <v>51</v>
      </c>
      <c r="F332" s="4" t="s">
        <v>53</v>
      </c>
      <c r="G332" s="4" t="s">
        <v>25</v>
      </c>
      <c r="H332" s="4" t="s">
        <v>25</v>
      </c>
      <c r="I332" s="5">
        <v>44440</v>
      </c>
      <c r="J332" s="6">
        <v>0</v>
      </c>
      <c r="K332" s="6">
        <v>0</v>
      </c>
      <c r="L332" s="6">
        <v>103.145</v>
      </c>
      <c r="M332" s="6">
        <v>41.258000000000003</v>
      </c>
      <c r="N332" s="6">
        <v>103.145</v>
      </c>
      <c r="O332" s="6">
        <v>41.258000000000003</v>
      </c>
      <c r="P332" s="6">
        <v>0</v>
      </c>
      <c r="Q332" s="4" t="s">
        <v>26</v>
      </c>
      <c r="R332" s="4">
        <v>0</v>
      </c>
      <c r="S332" s="6">
        <v>0</v>
      </c>
      <c r="T332" s="6">
        <v>30</v>
      </c>
      <c r="U332" s="6">
        <v>74</v>
      </c>
      <c r="V332" s="6">
        <f>IF(ISERROR(VLOOKUP($S$332,'TAR FIN'!$A$1:$O$91,15,0)),0,VLOOKUP($S$332,'TAR FIN'!$A$1:$O$91,15,0))</f>
        <v>0</v>
      </c>
      <c r="W332" s="6">
        <f>IF(ISERROR(VLOOKUP($T$332,'TAR FIN'!$A$1:$O$91,15,0)),0,VLOOKUP($T$332,'TAR FIN'!$A$1:$O$91,15,0))</f>
        <v>236.77</v>
      </c>
      <c r="X332" s="6">
        <f>IF(ISERROR(VLOOKUP($U$332,'TAR FIN'!$A$1:$O$91,15,0)),0,VLOOKUP($U$332,'TAR FIN'!$A$1:$O$91,15,0))</f>
        <v>117.89</v>
      </c>
      <c r="Y332" s="6"/>
      <c r="Z332" s="6">
        <f ca="1">('TUSD BE'!$AM$37+'TUSD BF'!$AM$37+'TUSD CVA'!$AM$37)*(1-CUSTOS!$M$38)</f>
        <v>323.18581193481282</v>
      </c>
      <c r="AA332" s="6">
        <f>('TE BE'!$AB$25+'TE BF'!$AB$25+'TE CVA'!$AB$25)*(1-CUSTOS!$M$38)</f>
        <v>107.87938095628944</v>
      </c>
      <c r="AB332" s="6">
        <f>$K$332*$V$332</f>
        <v>0</v>
      </c>
      <c r="AC332" s="6">
        <f>$M$332*$W$332</f>
        <v>9768.6566600000006</v>
      </c>
      <c r="AD332" s="6">
        <f>$O$332*$X$332</f>
        <v>4863.9056200000005</v>
      </c>
      <c r="AE332" s="6">
        <f>$K$332*$Y$332</f>
        <v>0</v>
      </c>
      <c r="AF332" s="6">
        <f ca="1">$M$332*$Z$332</f>
        <v>13334.000228806508</v>
      </c>
      <c r="AG332" s="6">
        <f>$O$332*$AA$332</f>
        <v>4450.88749949459</v>
      </c>
    </row>
    <row r="333" spans="1:33" ht="11.25" customHeight="1" x14ac:dyDescent="0.25">
      <c r="A333" s="4" t="s">
        <v>21</v>
      </c>
      <c r="B333" s="4" t="s">
        <v>42</v>
      </c>
      <c r="C333" s="4" t="s">
        <v>23</v>
      </c>
      <c r="D333" s="4" t="s">
        <v>43</v>
      </c>
      <c r="E333" s="4" t="s">
        <v>51</v>
      </c>
      <c r="F333" s="4" t="s">
        <v>53</v>
      </c>
      <c r="G333" s="4" t="s">
        <v>25</v>
      </c>
      <c r="H333" s="4" t="s">
        <v>25</v>
      </c>
      <c r="I333" s="5">
        <v>44470</v>
      </c>
      <c r="J333" s="6">
        <v>0</v>
      </c>
      <c r="K333" s="6">
        <v>0</v>
      </c>
      <c r="L333" s="6">
        <v>79.552000000000007</v>
      </c>
      <c r="M333" s="6">
        <v>31.820799999999998</v>
      </c>
      <c r="N333" s="6">
        <v>79.552000000000007</v>
      </c>
      <c r="O333" s="6">
        <v>31.820799999999998</v>
      </c>
      <c r="P333" s="6">
        <v>0</v>
      </c>
      <c r="Q333" s="4" t="s">
        <v>26</v>
      </c>
      <c r="R333" s="4">
        <v>0</v>
      </c>
      <c r="S333" s="6">
        <v>0</v>
      </c>
      <c r="T333" s="6">
        <v>30</v>
      </c>
      <c r="U333" s="6">
        <v>74</v>
      </c>
      <c r="V333" s="6">
        <f>IF(ISERROR(VLOOKUP($S$333,'TAR FIN'!$A$1:$O$91,15,0)),0,VLOOKUP($S$333,'TAR FIN'!$A$1:$O$91,15,0))</f>
        <v>0</v>
      </c>
      <c r="W333" s="6">
        <f>IF(ISERROR(VLOOKUP($T$333,'TAR FIN'!$A$1:$O$91,15,0)),0,VLOOKUP($T$333,'TAR FIN'!$A$1:$O$91,15,0))</f>
        <v>236.77</v>
      </c>
      <c r="X333" s="6">
        <f>IF(ISERROR(VLOOKUP($U$333,'TAR FIN'!$A$1:$O$91,15,0)),0,VLOOKUP($U$333,'TAR FIN'!$A$1:$O$91,15,0))</f>
        <v>117.89</v>
      </c>
      <c r="Y333" s="6"/>
      <c r="Z333" s="6">
        <f ca="1">('TUSD BE'!$AM$37+'TUSD BF'!$AM$37+'TUSD CVA'!$AM$37)*(1-CUSTOS!$M$38)</f>
        <v>323.18581193481282</v>
      </c>
      <c r="AA333" s="6">
        <f>('TE BE'!$AB$25+'TE BF'!$AB$25+'TE CVA'!$AB$25)*(1-CUSTOS!$M$38)</f>
        <v>107.87938095628944</v>
      </c>
      <c r="AB333" s="6">
        <f>$K$333*$V$333</f>
        <v>0</v>
      </c>
      <c r="AC333" s="6">
        <f>$M$333*$W$333</f>
        <v>7534.2108159999998</v>
      </c>
      <c r="AD333" s="6">
        <f>$O$333*$X$333</f>
        <v>3751.354112</v>
      </c>
      <c r="AE333" s="6">
        <f>$K$333*$Y$333</f>
        <v>0</v>
      </c>
      <c r="AF333" s="6">
        <f ca="1">$M$333*$Z$333</f>
        <v>10284.031084415292</v>
      </c>
      <c r="AG333" s="6">
        <f>$O$333*$AA$333</f>
        <v>3432.8082055338946</v>
      </c>
    </row>
    <row r="334" spans="1:33" ht="11.25" customHeight="1" x14ac:dyDescent="0.25">
      <c r="A334" s="4" t="s">
        <v>21</v>
      </c>
      <c r="B334" s="4" t="s">
        <v>42</v>
      </c>
      <c r="C334" s="4" t="s">
        <v>23</v>
      </c>
      <c r="D334" s="4" t="s">
        <v>43</v>
      </c>
      <c r="E334" s="4" t="s">
        <v>51</v>
      </c>
      <c r="F334" s="4" t="s">
        <v>53</v>
      </c>
      <c r="G334" s="4" t="s">
        <v>25</v>
      </c>
      <c r="H334" s="4" t="s">
        <v>25</v>
      </c>
      <c r="I334" s="5">
        <v>44501</v>
      </c>
      <c r="J334" s="6">
        <v>0</v>
      </c>
      <c r="K334" s="6">
        <v>0</v>
      </c>
      <c r="L334" s="6">
        <v>108.729</v>
      </c>
      <c r="M334" s="6">
        <v>43.491599999999998</v>
      </c>
      <c r="N334" s="6">
        <v>108.729</v>
      </c>
      <c r="O334" s="6">
        <v>43.491599999999998</v>
      </c>
      <c r="P334" s="6">
        <v>0</v>
      </c>
      <c r="Q334" s="4" t="s">
        <v>26</v>
      </c>
      <c r="R334" s="4">
        <v>0</v>
      </c>
      <c r="S334" s="6">
        <v>0</v>
      </c>
      <c r="T334" s="6">
        <v>30</v>
      </c>
      <c r="U334" s="6">
        <v>74</v>
      </c>
      <c r="V334" s="6">
        <f>IF(ISERROR(VLOOKUP($S$334,'TAR FIN'!$A$1:$O$91,15,0)),0,VLOOKUP($S$334,'TAR FIN'!$A$1:$O$91,15,0))</f>
        <v>0</v>
      </c>
      <c r="W334" s="6">
        <f>IF(ISERROR(VLOOKUP($T$334,'TAR FIN'!$A$1:$O$91,15,0)),0,VLOOKUP($T$334,'TAR FIN'!$A$1:$O$91,15,0))</f>
        <v>236.77</v>
      </c>
      <c r="X334" s="6">
        <f>IF(ISERROR(VLOOKUP($U$334,'TAR FIN'!$A$1:$O$91,15,0)),0,VLOOKUP($U$334,'TAR FIN'!$A$1:$O$91,15,0))</f>
        <v>117.89</v>
      </c>
      <c r="Y334" s="6"/>
      <c r="Z334" s="6">
        <f ca="1">('TUSD BE'!$AM$37+'TUSD BF'!$AM$37+'TUSD CVA'!$AM$37)*(1-CUSTOS!$M$38)</f>
        <v>323.18581193481282</v>
      </c>
      <c r="AA334" s="6">
        <f>('TE BE'!$AB$25+'TE BF'!$AB$25+'TE CVA'!$AB$25)*(1-CUSTOS!$M$38)</f>
        <v>107.87938095628944</v>
      </c>
      <c r="AB334" s="6">
        <f>$K$334*$V$334</f>
        <v>0</v>
      </c>
      <c r="AC334" s="6">
        <f>$M$334*$W$334</f>
        <v>10297.506132</v>
      </c>
      <c r="AD334" s="6">
        <f>$O$334*$X$334</f>
        <v>5127.2247239999997</v>
      </c>
      <c r="AE334" s="6">
        <f>$K$334*$Y$334</f>
        <v>0</v>
      </c>
      <c r="AF334" s="6">
        <f ca="1">$M$334*$Z$334</f>
        <v>14055.868058344106</v>
      </c>
      <c r="AG334" s="6">
        <f>$O$334*$AA$334</f>
        <v>4691.8468847985578</v>
      </c>
    </row>
    <row r="335" spans="1:33" ht="11.25" customHeight="1" x14ac:dyDescent="0.25">
      <c r="A335" s="4" t="s">
        <v>21</v>
      </c>
      <c r="B335" s="4" t="s">
        <v>42</v>
      </c>
      <c r="C335" s="4" t="s">
        <v>23</v>
      </c>
      <c r="D335" s="4" t="s">
        <v>43</v>
      </c>
      <c r="E335" s="4" t="s">
        <v>51</v>
      </c>
      <c r="F335" s="4" t="s">
        <v>53</v>
      </c>
      <c r="G335" s="4" t="s">
        <v>25</v>
      </c>
      <c r="H335" s="4" t="s">
        <v>25</v>
      </c>
      <c r="I335" s="5">
        <v>44531</v>
      </c>
      <c r="J335" s="6">
        <v>0</v>
      </c>
      <c r="K335" s="6">
        <v>0</v>
      </c>
      <c r="L335" s="6">
        <v>128.13900000000001</v>
      </c>
      <c r="M335" s="6">
        <v>51.255600000000001</v>
      </c>
      <c r="N335" s="6">
        <v>128.13900000000001</v>
      </c>
      <c r="O335" s="6">
        <v>51.255600000000001</v>
      </c>
      <c r="P335" s="6">
        <v>0</v>
      </c>
      <c r="Q335" s="4" t="s">
        <v>26</v>
      </c>
      <c r="R335" s="4">
        <v>0</v>
      </c>
      <c r="S335" s="6">
        <v>0</v>
      </c>
      <c r="T335" s="6">
        <v>30</v>
      </c>
      <c r="U335" s="6">
        <v>74</v>
      </c>
      <c r="V335" s="6">
        <f>IF(ISERROR(VLOOKUP($S$335,'TAR FIN'!$A$1:$O$91,15,0)),0,VLOOKUP($S$335,'TAR FIN'!$A$1:$O$91,15,0))</f>
        <v>0</v>
      </c>
      <c r="W335" s="6">
        <f>IF(ISERROR(VLOOKUP($T$335,'TAR FIN'!$A$1:$O$91,15,0)),0,VLOOKUP($T$335,'TAR FIN'!$A$1:$O$91,15,0))</f>
        <v>236.77</v>
      </c>
      <c r="X335" s="6">
        <f>IF(ISERROR(VLOOKUP($U$335,'TAR FIN'!$A$1:$O$91,15,0)),0,VLOOKUP($U$335,'TAR FIN'!$A$1:$O$91,15,0))</f>
        <v>117.89</v>
      </c>
      <c r="Y335" s="6"/>
      <c r="Z335" s="6">
        <f ca="1">('TUSD BE'!$AM$37+'TUSD BF'!$AM$37+'TUSD CVA'!$AM$37)*(1-CUSTOS!$M$38)</f>
        <v>323.18581193481282</v>
      </c>
      <c r="AA335" s="6">
        <f>('TE BE'!$AB$25+'TE BF'!$AB$25+'TE CVA'!$AB$25)*(1-CUSTOS!$M$38)</f>
        <v>107.87938095628944</v>
      </c>
      <c r="AB335" s="6">
        <f>$K$335*$V$335</f>
        <v>0</v>
      </c>
      <c r="AC335" s="6">
        <f>$M$335*$W$335</f>
        <v>12135.788412000002</v>
      </c>
      <c r="AD335" s="6">
        <f>$O$335*$X$335</f>
        <v>6042.5226840000005</v>
      </c>
      <c r="AE335" s="6">
        <f>$K$335*$Y$335</f>
        <v>0</v>
      </c>
      <c r="AF335" s="6">
        <f ca="1">$M$335*$Z$335</f>
        <v>16565.082702205993</v>
      </c>
      <c r="AG335" s="6">
        <f>$O$335*$AA$335</f>
        <v>5529.422398543189</v>
      </c>
    </row>
    <row r="336" spans="1:33" ht="11.25" customHeight="1" x14ac:dyDescent="0.25">
      <c r="A336" s="4" t="s">
        <v>21</v>
      </c>
      <c r="B336" s="4" t="s">
        <v>42</v>
      </c>
      <c r="C336" s="4" t="s">
        <v>23</v>
      </c>
      <c r="D336" s="4" t="s">
        <v>43</v>
      </c>
      <c r="E336" s="4" t="s">
        <v>51</v>
      </c>
      <c r="F336" s="4" t="s">
        <v>53</v>
      </c>
      <c r="G336" s="4" t="s">
        <v>25</v>
      </c>
      <c r="H336" s="4" t="s">
        <v>25</v>
      </c>
      <c r="I336" s="5">
        <v>44562</v>
      </c>
      <c r="J336" s="6">
        <v>0</v>
      </c>
      <c r="K336" s="6">
        <v>0</v>
      </c>
      <c r="L336" s="6">
        <v>145.27600000000001</v>
      </c>
      <c r="M336" s="6">
        <v>58.110399999999998</v>
      </c>
      <c r="N336" s="6">
        <v>145.27600000000001</v>
      </c>
      <c r="O336" s="6">
        <v>58.110399999999998</v>
      </c>
      <c r="P336" s="6">
        <v>0</v>
      </c>
      <c r="Q336" s="4" t="s">
        <v>26</v>
      </c>
      <c r="R336" s="4">
        <v>0</v>
      </c>
      <c r="S336" s="6">
        <v>0</v>
      </c>
      <c r="T336" s="6">
        <v>30</v>
      </c>
      <c r="U336" s="6">
        <v>74</v>
      </c>
      <c r="V336" s="6">
        <f>IF(ISERROR(VLOOKUP($S$336,'TAR FIN'!$A$1:$O$91,15,0)),0,VLOOKUP($S$336,'TAR FIN'!$A$1:$O$91,15,0))</f>
        <v>0</v>
      </c>
      <c r="W336" s="6">
        <f>IF(ISERROR(VLOOKUP($T$336,'TAR FIN'!$A$1:$O$91,15,0)),0,VLOOKUP($T$336,'TAR FIN'!$A$1:$O$91,15,0))</f>
        <v>236.77</v>
      </c>
      <c r="X336" s="6">
        <f>IF(ISERROR(VLOOKUP($U$336,'TAR FIN'!$A$1:$O$91,15,0)),0,VLOOKUP($U$336,'TAR FIN'!$A$1:$O$91,15,0))</f>
        <v>117.89</v>
      </c>
      <c r="Y336" s="6"/>
      <c r="Z336" s="6">
        <f ca="1">('TUSD BE'!$AM$37+'TUSD BF'!$AM$37+'TUSD CVA'!$AM$37)*(1-CUSTOS!$M$38)</f>
        <v>323.18581193481282</v>
      </c>
      <c r="AA336" s="6">
        <f>('TE BE'!$AB$25+'TE BF'!$AB$25+'TE CVA'!$AB$25)*(1-CUSTOS!$M$38)</f>
        <v>107.87938095628944</v>
      </c>
      <c r="AB336" s="6">
        <f>$K$336*$V$336</f>
        <v>0</v>
      </c>
      <c r="AC336" s="6">
        <f>$M$336*$W$336</f>
        <v>13758.799408000001</v>
      </c>
      <c r="AD336" s="6">
        <f>$O$336*$X$336</f>
        <v>6850.6350560000001</v>
      </c>
      <c r="AE336" s="6">
        <f>$K$336*$Y$336</f>
        <v>0</v>
      </c>
      <c r="AF336" s="6">
        <f ca="1">$M$336*$Z$336</f>
        <v>18780.456805856746</v>
      </c>
      <c r="AG336" s="6">
        <f>$O$336*$AA$336</f>
        <v>6268.9139791223615</v>
      </c>
    </row>
    <row r="337" spans="1:33" ht="11.25" customHeight="1" x14ac:dyDescent="0.25">
      <c r="A337" s="4" t="s">
        <v>21</v>
      </c>
      <c r="B337" s="4" t="s">
        <v>42</v>
      </c>
      <c r="C337" s="4" t="s">
        <v>23</v>
      </c>
      <c r="D337" s="4" t="s">
        <v>43</v>
      </c>
      <c r="E337" s="4" t="s">
        <v>51</v>
      </c>
      <c r="F337" s="4" t="s">
        <v>53</v>
      </c>
      <c r="G337" s="4" t="s">
        <v>25</v>
      </c>
      <c r="H337" s="4" t="s">
        <v>25</v>
      </c>
      <c r="I337" s="5">
        <v>44593</v>
      </c>
      <c r="J337" s="6">
        <v>0</v>
      </c>
      <c r="K337" s="6">
        <v>0</v>
      </c>
      <c r="L337" s="6">
        <v>41.22</v>
      </c>
      <c r="M337" s="6">
        <v>16.488</v>
      </c>
      <c r="N337" s="6">
        <v>41.22</v>
      </c>
      <c r="O337" s="6">
        <v>16.488</v>
      </c>
      <c r="P337" s="6">
        <v>0</v>
      </c>
      <c r="Q337" s="4" t="s">
        <v>26</v>
      </c>
      <c r="R337" s="4">
        <v>0</v>
      </c>
      <c r="S337" s="6">
        <v>0</v>
      </c>
      <c r="T337" s="6">
        <v>30</v>
      </c>
      <c r="U337" s="6">
        <v>74</v>
      </c>
      <c r="V337" s="6">
        <f>IF(ISERROR(VLOOKUP($S$337,'TAR FIN'!$A$1:$O$91,15,0)),0,VLOOKUP($S$337,'TAR FIN'!$A$1:$O$91,15,0))</f>
        <v>0</v>
      </c>
      <c r="W337" s="6">
        <f>IF(ISERROR(VLOOKUP($T$337,'TAR FIN'!$A$1:$O$91,15,0)),0,VLOOKUP($T$337,'TAR FIN'!$A$1:$O$91,15,0))</f>
        <v>236.77</v>
      </c>
      <c r="X337" s="6">
        <f>IF(ISERROR(VLOOKUP($U$337,'TAR FIN'!$A$1:$O$91,15,0)),0,VLOOKUP($U$337,'TAR FIN'!$A$1:$O$91,15,0))</f>
        <v>117.89</v>
      </c>
      <c r="Y337" s="6"/>
      <c r="Z337" s="6">
        <f ca="1">('TUSD BE'!$AM$37+'TUSD BF'!$AM$37+'TUSD CVA'!$AM$37)*(1-CUSTOS!$M$38)</f>
        <v>323.18581193481282</v>
      </c>
      <c r="AA337" s="6">
        <f>('TE BE'!$AB$25+'TE BF'!$AB$25+'TE CVA'!$AB$25)*(1-CUSTOS!$M$38)</f>
        <v>107.87938095628944</v>
      </c>
      <c r="AB337" s="6">
        <f>$K$337*$V$337</f>
        <v>0</v>
      </c>
      <c r="AC337" s="6">
        <f>$M$337*$W$337</f>
        <v>3903.8637600000002</v>
      </c>
      <c r="AD337" s="6">
        <f>$O$337*$X$337</f>
        <v>1943.7703199999999</v>
      </c>
      <c r="AE337" s="6">
        <f>$K$337*$Y$337</f>
        <v>0</v>
      </c>
      <c r="AF337" s="6">
        <f ca="1">$M$337*$Z$337</f>
        <v>5328.6876671811933</v>
      </c>
      <c r="AG337" s="6">
        <f>$O$337*$AA$337</f>
        <v>1778.7152332073001</v>
      </c>
    </row>
    <row r="338" spans="1:33" ht="11.25" customHeight="1" x14ac:dyDescent="0.25">
      <c r="A338" s="4" t="s">
        <v>21</v>
      </c>
      <c r="B338" s="4" t="s">
        <v>42</v>
      </c>
      <c r="C338" s="4" t="s">
        <v>23</v>
      </c>
      <c r="D338" s="4" t="s">
        <v>43</v>
      </c>
      <c r="E338" s="4" t="s">
        <v>51</v>
      </c>
      <c r="F338" s="4" t="s">
        <v>53</v>
      </c>
      <c r="G338" s="4" t="s">
        <v>25</v>
      </c>
      <c r="H338" s="4" t="s">
        <v>25</v>
      </c>
      <c r="I338" s="5">
        <v>44621</v>
      </c>
      <c r="J338" s="6">
        <v>0</v>
      </c>
      <c r="K338" s="6">
        <v>0</v>
      </c>
      <c r="L338" s="6">
        <v>14.337</v>
      </c>
      <c r="M338" s="6">
        <v>5.7347999999999999</v>
      </c>
      <c r="N338" s="6">
        <v>14.337</v>
      </c>
      <c r="O338" s="6">
        <v>5.7347999999999999</v>
      </c>
      <c r="P338" s="6">
        <v>0</v>
      </c>
      <c r="Q338" s="4" t="s">
        <v>26</v>
      </c>
      <c r="R338" s="4">
        <v>0</v>
      </c>
      <c r="S338" s="6">
        <v>0</v>
      </c>
      <c r="T338" s="6">
        <v>30</v>
      </c>
      <c r="U338" s="6">
        <v>74</v>
      </c>
      <c r="V338" s="6">
        <f>IF(ISERROR(VLOOKUP($S$338,'TAR FIN'!$A$1:$O$91,15,0)),0,VLOOKUP($S$338,'TAR FIN'!$A$1:$O$91,15,0))</f>
        <v>0</v>
      </c>
      <c r="W338" s="6">
        <f>IF(ISERROR(VLOOKUP($T$338,'TAR FIN'!$A$1:$O$91,15,0)),0,VLOOKUP($T$338,'TAR FIN'!$A$1:$O$91,15,0))</f>
        <v>236.77</v>
      </c>
      <c r="X338" s="6">
        <f>IF(ISERROR(VLOOKUP($U$338,'TAR FIN'!$A$1:$O$91,15,0)),0,VLOOKUP($U$338,'TAR FIN'!$A$1:$O$91,15,0))</f>
        <v>117.89</v>
      </c>
      <c r="Y338" s="6"/>
      <c r="Z338" s="6">
        <f ca="1">('TUSD BE'!$AM$37+'TUSD BF'!$AM$37+'TUSD CVA'!$AM$37)*(1-CUSTOS!$M$38)</f>
        <v>323.18581193481282</v>
      </c>
      <c r="AA338" s="6">
        <f>('TE BE'!$AB$25+'TE BF'!$AB$25+'TE CVA'!$AB$25)*(1-CUSTOS!$M$38)</f>
        <v>107.87938095628944</v>
      </c>
      <c r="AB338" s="6">
        <f>$K$338*$V$338</f>
        <v>0</v>
      </c>
      <c r="AC338" s="6">
        <f>$M$338*$W$338</f>
        <v>1357.8285960000001</v>
      </c>
      <c r="AD338" s="6">
        <f>$O$338*$X$338</f>
        <v>676.07557199999997</v>
      </c>
      <c r="AE338" s="6">
        <f>$K$338*$Y$338</f>
        <v>0</v>
      </c>
      <c r="AF338" s="6">
        <f ca="1">$M$338*$Z$338</f>
        <v>1853.4059942837646</v>
      </c>
      <c r="AG338" s="6">
        <f>$O$338*$AA$338</f>
        <v>618.6666739081287</v>
      </c>
    </row>
    <row r="339" spans="1:33" ht="11.25" customHeight="1" x14ac:dyDescent="0.25">
      <c r="A339" s="4" t="s">
        <v>21</v>
      </c>
      <c r="B339" s="4" t="s">
        <v>42</v>
      </c>
      <c r="C339" s="4" t="s">
        <v>23</v>
      </c>
      <c r="D339" s="4" t="s">
        <v>43</v>
      </c>
      <c r="E339" s="4" t="s">
        <v>51</v>
      </c>
      <c r="F339" s="4" t="s">
        <v>53</v>
      </c>
      <c r="G339" s="4" t="s">
        <v>25</v>
      </c>
      <c r="H339" s="4" t="s">
        <v>25</v>
      </c>
      <c r="I339" s="5">
        <v>44652</v>
      </c>
      <c r="J339" s="6">
        <v>0</v>
      </c>
      <c r="K339" s="6">
        <v>0</v>
      </c>
      <c r="L339" s="6">
        <v>1.601</v>
      </c>
      <c r="M339" s="6">
        <v>0.64039999999999997</v>
      </c>
      <c r="N339" s="6">
        <v>1.601</v>
      </c>
      <c r="O339" s="6">
        <v>0.64039999999999997</v>
      </c>
      <c r="P339" s="6">
        <v>0</v>
      </c>
      <c r="Q339" s="4" t="s">
        <v>26</v>
      </c>
      <c r="R339" s="4">
        <v>0</v>
      </c>
      <c r="S339" s="6">
        <v>0</v>
      </c>
      <c r="T339" s="6">
        <v>30</v>
      </c>
      <c r="U339" s="6">
        <v>74</v>
      </c>
      <c r="V339" s="6">
        <f>IF(ISERROR(VLOOKUP($S$339,'TAR FIN'!$A$1:$O$91,15,0)),0,VLOOKUP($S$339,'TAR FIN'!$A$1:$O$91,15,0))</f>
        <v>0</v>
      </c>
      <c r="W339" s="6">
        <f>IF(ISERROR(VLOOKUP($T$339,'TAR FIN'!$A$1:$O$91,15,0)),0,VLOOKUP($T$339,'TAR FIN'!$A$1:$O$91,15,0))</f>
        <v>236.77</v>
      </c>
      <c r="X339" s="6">
        <f>IF(ISERROR(VLOOKUP($U$339,'TAR FIN'!$A$1:$O$91,15,0)),0,VLOOKUP($U$339,'TAR FIN'!$A$1:$O$91,15,0))</f>
        <v>117.89</v>
      </c>
      <c r="Y339" s="6"/>
      <c r="Z339" s="6">
        <f ca="1">('TUSD BE'!$AM$37+'TUSD BF'!$AM$37+'TUSD CVA'!$AM$37)*(1-CUSTOS!$M$38)</f>
        <v>323.18581193481282</v>
      </c>
      <c r="AA339" s="6">
        <f>('TE BE'!$AB$25+'TE BF'!$AB$25+'TE CVA'!$AB$25)*(1-CUSTOS!$M$38)</f>
        <v>107.87938095628944</v>
      </c>
      <c r="AB339" s="6">
        <f>$K$339*$V$339</f>
        <v>0</v>
      </c>
      <c r="AC339" s="6">
        <f>$M$339*$W$339</f>
        <v>151.62750800000001</v>
      </c>
      <c r="AD339" s="6">
        <f>$O$339*$X$339</f>
        <v>75.496755999999991</v>
      </c>
      <c r="AE339" s="6">
        <f>$K$339*$Y$339</f>
        <v>0</v>
      </c>
      <c r="AF339" s="6">
        <f ca="1">$M$339*$Z$339</f>
        <v>206.96819396305412</v>
      </c>
      <c r="AG339" s="6">
        <f>$O$339*$AA$339</f>
        <v>69.085955564407755</v>
      </c>
    </row>
    <row r="340" spans="1:33" ht="11.25" customHeight="1" x14ac:dyDescent="0.25">
      <c r="A340" s="4" t="s">
        <v>21</v>
      </c>
      <c r="B340" s="4" t="s">
        <v>42</v>
      </c>
      <c r="C340" s="4" t="s">
        <v>23</v>
      </c>
      <c r="D340" s="4" t="s">
        <v>43</v>
      </c>
      <c r="E340" s="4" t="s">
        <v>51</v>
      </c>
      <c r="F340" s="4" t="s">
        <v>53</v>
      </c>
      <c r="G340" s="4" t="s">
        <v>25</v>
      </c>
      <c r="H340" s="4" t="s">
        <v>25</v>
      </c>
      <c r="I340" s="5">
        <v>44682</v>
      </c>
      <c r="J340" s="6">
        <v>0</v>
      </c>
      <c r="K340" s="6">
        <v>0</v>
      </c>
      <c r="L340" s="6">
        <v>1.242</v>
      </c>
      <c r="M340" s="6">
        <v>0.49680000000000002</v>
      </c>
      <c r="N340" s="6">
        <v>1.242</v>
      </c>
      <c r="O340" s="6">
        <v>0.49680000000000002</v>
      </c>
      <c r="P340" s="6">
        <v>0</v>
      </c>
      <c r="Q340" s="4" t="s">
        <v>26</v>
      </c>
      <c r="R340" s="4">
        <v>0</v>
      </c>
      <c r="S340" s="6">
        <v>0</v>
      </c>
      <c r="T340" s="6">
        <v>30</v>
      </c>
      <c r="U340" s="6">
        <v>74</v>
      </c>
      <c r="V340" s="6">
        <f>IF(ISERROR(VLOOKUP($S$340,'TAR FIN'!$A$1:$O$91,15,0)),0,VLOOKUP($S$340,'TAR FIN'!$A$1:$O$91,15,0))</f>
        <v>0</v>
      </c>
      <c r="W340" s="6">
        <f>IF(ISERROR(VLOOKUP($T$340,'TAR FIN'!$A$1:$O$91,15,0)),0,VLOOKUP($T$340,'TAR FIN'!$A$1:$O$91,15,0))</f>
        <v>236.77</v>
      </c>
      <c r="X340" s="6">
        <f>IF(ISERROR(VLOOKUP($U$340,'TAR FIN'!$A$1:$O$91,15,0)),0,VLOOKUP($U$340,'TAR FIN'!$A$1:$O$91,15,0))</f>
        <v>117.89</v>
      </c>
      <c r="Y340" s="6"/>
      <c r="Z340" s="6">
        <f ca="1">('TUSD BE'!$AM$37+'TUSD BF'!$AM$37+'TUSD CVA'!$AM$37)*(1-CUSTOS!$M$38)</f>
        <v>323.18581193481282</v>
      </c>
      <c r="AA340" s="6">
        <f>('TE BE'!$AB$25+'TE BF'!$AB$25+'TE CVA'!$AB$25)*(1-CUSTOS!$M$38)</f>
        <v>107.87938095628944</v>
      </c>
      <c r="AB340" s="6">
        <f>$K$340*$V$340</f>
        <v>0</v>
      </c>
      <c r="AC340" s="6">
        <f>$M$340*$W$340</f>
        <v>117.62733600000001</v>
      </c>
      <c r="AD340" s="6">
        <f>$O$340*$X$340</f>
        <v>58.567752000000006</v>
      </c>
      <c r="AE340" s="6">
        <f>$K$340*$Y$340</f>
        <v>0</v>
      </c>
      <c r="AF340" s="6">
        <f ca="1">$M$340*$Z$340</f>
        <v>160.55871136921502</v>
      </c>
      <c r="AG340" s="6">
        <f>$O$340*$AA$340</f>
        <v>53.594476459084596</v>
      </c>
    </row>
    <row r="341" spans="1:33" ht="11.25" customHeight="1" x14ac:dyDescent="0.25">
      <c r="A341" s="4" t="s">
        <v>21</v>
      </c>
      <c r="B341" s="4" t="s">
        <v>42</v>
      </c>
      <c r="C341" s="4" t="s">
        <v>23</v>
      </c>
      <c r="D341" s="4" t="s">
        <v>43</v>
      </c>
      <c r="E341" s="4" t="s">
        <v>51</v>
      </c>
      <c r="F341" s="4" t="s">
        <v>53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0.64200000000000002</v>
      </c>
      <c r="M341" s="6">
        <v>0.25679999999999997</v>
      </c>
      <c r="N341" s="6">
        <v>0.64200000000000002</v>
      </c>
      <c r="O341" s="6">
        <v>0.25679999999999997</v>
      </c>
      <c r="P341" s="6">
        <v>0</v>
      </c>
      <c r="Q341" s="4" t="s">
        <v>26</v>
      </c>
      <c r="R341" s="4">
        <v>0</v>
      </c>
      <c r="S341" s="6">
        <v>0</v>
      </c>
      <c r="T341" s="6">
        <v>30</v>
      </c>
      <c r="U341" s="6">
        <v>74</v>
      </c>
      <c r="V341" s="6">
        <f>IF(ISERROR(VLOOKUP($S$341,'TAR FIN'!$A$1:$O$91,15,0)),0,VLOOKUP($S$341,'TAR FIN'!$A$1:$O$91,15,0))</f>
        <v>0</v>
      </c>
      <c r="W341" s="6">
        <f>IF(ISERROR(VLOOKUP($T$341,'TAR FIN'!$A$1:$O$91,15,0)),0,VLOOKUP($T$341,'TAR FIN'!$A$1:$O$91,15,0))</f>
        <v>236.77</v>
      </c>
      <c r="X341" s="6">
        <f>IF(ISERROR(VLOOKUP($U$341,'TAR FIN'!$A$1:$O$91,15,0)),0,VLOOKUP($U$341,'TAR FIN'!$A$1:$O$91,15,0))</f>
        <v>117.89</v>
      </c>
      <c r="Y341" s="6"/>
      <c r="Z341" s="6">
        <f ca="1">('TUSD BE'!$AM$37+'TUSD BF'!$AM$37+'TUSD CVA'!$AM$37)*(1-CUSTOS!$M$38)</f>
        <v>323.18581193481282</v>
      </c>
      <c r="AA341" s="6">
        <f>('TE BE'!$AB$25+'TE BF'!$AB$25+'TE CVA'!$AB$25)*(1-CUSTOS!$M$38)</f>
        <v>107.87938095628944</v>
      </c>
      <c r="AB341" s="6">
        <f>$K$341*$V$341</f>
        <v>0</v>
      </c>
      <c r="AC341" s="6">
        <f>$M$341*$W$341</f>
        <v>60.802535999999996</v>
      </c>
      <c r="AD341" s="6">
        <f>$O$341*$X$341</f>
        <v>30.274151999999997</v>
      </c>
      <c r="AE341" s="6">
        <f>$K$341*$Y$341</f>
        <v>0</v>
      </c>
      <c r="AF341" s="6">
        <f ca="1">$M$341*$Z$341</f>
        <v>82.994116504859917</v>
      </c>
      <c r="AG341" s="6">
        <f>$O$341*$AA$341</f>
        <v>27.703425029575126</v>
      </c>
    </row>
    <row r="342" spans="1:33" ht="11.25" customHeight="1" x14ac:dyDescent="0.25">
      <c r="A342" s="4" t="s">
        <v>21</v>
      </c>
      <c r="B342" s="4" t="s">
        <v>42</v>
      </c>
      <c r="C342" s="4" t="s">
        <v>23</v>
      </c>
      <c r="D342" s="4" t="s">
        <v>43</v>
      </c>
      <c r="E342" s="4" t="s">
        <v>51</v>
      </c>
      <c r="F342" s="4" t="s">
        <v>53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3.4420000000000002</v>
      </c>
      <c r="M342" s="6">
        <v>1.3768</v>
      </c>
      <c r="N342" s="6">
        <v>3.4420000000000002</v>
      </c>
      <c r="O342" s="6">
        <v>1.3768</v>
      </c>
      <c r="P342" s="6">
        <v>0</v>
      </c>
      <c r="Q342" s="4" t="s">
        <v>26</v>
      </c>
      <c r="R342" s="4">
        <v>0</v>
      </c>
      <c r="S342" s="6">
        <v>0</v>
      </c>
      <c r="T342" s="6">
        <v>30</v>
      </c>
      <c r="U342" s="6">
        <v>74</v>
      </c>
      <c r="V342" s="6">
        <f>IF(ISERROR(VLOOKUP($S$342,'TAR FIN'!$A$1:$O$91,15,0)),0,VLOOKUP($S$342,'TAR FIN'!$A$1:$O$91,15,0))</f>
        <v>0</v>
      </c>
      <c r="W342" s="6">
        <f>IF(ISERROR(VLOOKUP($T$342,'TAR FIN'!$A$1:$O$91,15,0)),0,VLOOKUP($T$342,'TAR FIN'!$A$1:$O$91,15,0))</f>
        <v>236.77</v>
      </c>
      <c r="X342" s="6">
        <f>IF(ISERROR(VLOOKUP($U$342,'TAR FIN'!$A$1:$O$91,15,0)),0,VLOOKUP($U$342,'TAR FIN'!$A$1:$O$91,15,0))</f>
        <v>117.89</v>
      </c>
      <c r="Y342" s="6"/>
      <c r="Z342" s="6">
        <f ca="1">('TUSD BE'!$AM$37+'TUSD BF'!$AM$37+'TUSD CVA'!$AM$37)*(1-CUSTOS!$M$38)</f>
        <v>323.18581193481282</v>
      </c>
      <c r="AA342" s="6">
        <f>('TE BE'!$AB$25+'TE BF'!$AB$25+'TE CVA'!$AB$25)*(1-CUSTOS!$M$38)</f>
        <v>107.87938095628944</v>
      </c>
      <c r="AB342" s="6">
        <f>$K$342*$V$342</f>
        <v>0</v>
      </c>
      <c r="AC342" s="6">
        <f>$M$342*$W$342</f>
        <v>325.984936</v>
      </c>
      <c r="AD342" s="6">
        <f>$O$342*$X$342</f>
        <v>162.31095200000001</v>
      </c>
      <c r="AE342" s="6">
        <f>$K$342*$Y$342</f>
        <v>0</v>
      </c>
      <c r="AF342" s="6">
        <f ca="1">$M$342*$Z$342</f>
        <v>444.96222587185031</v>
      </c>
      <c r="AG342" s="6">
        <f>$O$342*$AA$342</f>
        <v>148.5283317006193</v>
      </c>
    </row>
    <row r="343" spans="1:33" ht="11.25" customHeight="1" x14ac:dyDescent="0.25">
      <c r="A343" s="4" t="s">
        <v>57</v>
      </c>
      <c r="B343" s="4" t="s">
        <v>42</v>
      </c>
      <c r="C343" s="4" t="s">
        <v>23</v>
      </c>
      <c r="D343" s="4" t="s">
        <v>43</v>
      </c>
      <c r="E343" s="4" t="s">
        <v>51</v>
      </c>
      <c r="F343" s="4" t="s">
        <v>53</v>
      </c>
      <c r="G343" s="4" t="s">
        <v>25</v>
      </c>
      <c r="H343" s="4" t="s">
        <v>25</v>
      </c>
      <c r="I343" s="5">
        <v>44774</v>
      </c>
      <c r="J343" s="6">
        <v>0</v>
      </c>
      <c r="K343" s="6">
        <v>0</v>
      </c>
      <c r="L343" s="6">
        <v>3.4420000000000002</v>
      </c>
      <c r="M343" s="6">
        <v>1.3768</v>
      </c>
      <c r="N343" s="6">
        <v>3.4420000000000002</v>
      </c>
      <c r="O343" s="6">
        <v>1.3768</v>
      </c>
      <c r="P343" s="6">
        <v>0</v>
      </c>
      <c r="Q343" s="4" t="s">
        <v>26</v>
      </c>
      <c r="R343" s="4">
        <v>0</v>
      </c>
      <c r="S343" s="6">
        <v>0</v>
      </c>
      <c r="T343" s="6">
        <v>30</v>
      </c>
      <c r="U343" s="6">
        <v>74</v>
      </c>
      <c r="V343" s="6">
        <f>IF(ISERROR(VLOOKUP($S$343,'TAR FIN'!$A$1:$O$91,15,0)),0,VLOOKUP($S$343,'TAR FIN'!$A$1:$O$91,15,0))</f>
        <v>0</v>
      </c>
      <c r="W343" s="6">
        <f>IF(ISERROR(VLOOKUP($T$343,'TAR FIN'!$A$1:$O$91,15,0)),0,VLOOKUP($T$343,'TAR FIN'!$A$1:$O$91,15,0))</f>
        <v>236.77</v>
      </c>
      <c r="X343" s="6">
        <f>IF(ISERROR(VLOOKUP($U$343,'TAR FIN'!$A$1:$O$91,15,0)),0,VLOOKUP($U$343,'TAR FIN'!$A$1:$O$91,15,0))</f>
        <v>117.89</v>
      </c>
      <c r="Y343" s="6"/>
      <c r="Z343" s="6">
        <f ca="1">('TUSD BE'!$AM$37+'TUSD BF'!$AM$37+'TUSD CVA'!$AM$37)*(1-CUSTOS!$M$38)</f>
        <v>323.18581193481282</v>
      </c>
      <c r="AA343" s="6">
        <f>('TE BE'!$AB$25+'TE BF'!$AB$25+'TE CVA'!$AB$25)*(1-CUSTOS!$M$38)</f>
        <v>107.87938095628944</v>
      </c>
      <c r="AB343" s="6">
        <f>$K$343*$V$343</f>
        <v>0</v>
      </c>
      <c r="AC343" s="6">
        <f>$M$343*$W$343</f>
        <v>325.984936</v>
      </c>
      <c r="AD343" s="6">
        <f>$O$343*$X$343</f>
        <v>162.31095200000001</v>
      </c>
      <c r="AE343" s="6">
        <f>$K$343*$Y$343</f>
        <v>0</v>
      </c>
      <c r="AF343" s="6">
        <f ca="1">$M$343*$Z$343</f>
        <v>444.96222587185031</v>
      </c>
      <c r="AG343" s="6">
        <f>$O$343*$AA$343</f>
        <v>148.5283317006193</v>
      </c>
    </row>
    <row r="344" spans="1:33" ht="11.25" customHeight="1" x14ac:dyDescent="0.25">
      <c r="A344" s="4" t="s">
        <v>21</v>
      </c>
      <c r="B344" s="4" t="s">
        <v>42</v>
      </c>
      <c r="C344" s="4" t="s">
        <v>23</v>
      </c>
      <c r="D344" s="4" t="s">
        <v>43</v>
      </c>
      <c r="E344" s="4" t="s">
        <v>54</v>
      </c>
      <c r="F344" s="4" t="s">
        <v>52</v>
      </c>
      <c r="G344" s="4" t="s">
        <v>25</v>
      </c>
      <c r="H344" s="4" t="s">
        <v>25</v>
      </c>
      <c r="I344" s="5">
        <v>44440</v>
      </c>
      <c r="J344" s="6">
        <v>0</v>
      </c>
      <c r="K344" s="6">
        <v>0</v>
      </c>
      <c r="L344" s="6">
        <v>6.7000000000000004E-2</v>
      </c>
      <c r="M344" s="6">
        <v>6.7000000000000004E-2</v>
      </c>
      <c r="N344" s="6">
        <v>6.7000000000000004E-2</v>
      </c>
      <c r="O344" s="6">
        <v>6.7000000000000004E-2</v>
      </c>
      <c r="P344" s="6">
        <v>0</v>
      </c>
      <c r="Q344" s="4" t="s">
        <v>26</v>
      </c>
      <c r="R344" s="4">
        <v>0</v>
      </c>
      <c r="S344" s="6">
        <v>0</v>
      </c>
      <c r="T344" s="6">
        <v>30</v>
      </c>
      <c r="U344" s="6">
        <v>74</v>
      </c>
      <c r="V344" s="6">
        <f>IF(ISERROR(VLOOKUP($S$344,'TAR FIN'!$A$1:$O$91,15,0)),0,VLOOKUP($S$344,'TAR FIN'!$A$1:$O$91,15,0))</f>
        <v>0</v>
      </c>
      <c r="W344" s="6">
        <f>IF(ISERROR(VLOOKUP($T$344,'TAR FIN'!$A$1:$O$91,15,0)),0,VLOOKUP($T$344,'TAR FIN'!$A$1:$O$91,15,0))</f>
        <v>236.77</v>
      </c>
      <c r="X344" s="6">
        <f>IF(ISERROR(VLOOKUP($U$344,'TAR FIN'!$A$1:$O$91,15,0)),0,VLOOKUP($U$344,'TAR FIN'!$A$1:$O$91,15,0))</f>
        <v>117.89</v>
      </c>
      <c r="Y344" s="6"/>
      <c r="Z344" s="6">
        <f ca="1">('TUSD BE'!$AM$37+'TUSD BF'!$AM$37+'TUSD CVA'!$AM$37)*(1-CUSTOS!$M$38)</f>
        <v>323.18581193481282</v>
      </c>
      <c r="AA344" s="6">
        <f>('TE BE'!$AB$25+'TE BF'!$AB$25+'TE CVA'!$AB$25)*(1-CUSTOS!$M$38)</f>
        <v>107.87938095628944</v>
      </c>
      <c r="AB344" s="6">
        <f>$K$344*$V$344</f>
        <v>0</v>
      </c>
      <c r="AC344" s="6">
        <f>$M$344*$W$344</f>
        <v>15.863590000000002</v>
      </c>
      <c r="AD344" s="6">
        <f>$O$344*$X$344</f>
        <v>7.8986300000000007</v>
      </c>
      <c r="AE344" s="6">
        <f>$K$344*$Y$344</f>
        <v>0</v>
      </c>
      <c r="AF344" s="6">
        <f ca="1">$M$344*$Z$344</f>
        <v>21.653449399632461</v>
      </c>
      <c r="AG344" s="6">
        <f>$O$344*$AA$344</f>
        <v>7.2279185240713923</v>
      </c>
    </row>
    <row r="345" spans="1:33" ht="11.25" customHeight="1" x14ac:dyDescent="0.25">
      <c r="A345" s="4" t="s">
        <v>21</v>
      </c>
      <c r="B345" s="4" t="s">
        <v>42</v>
      </c>
      <c r="C345" s="4" t="s">
        <v>23</v>
      </c>
      <c r="D345" s="4" t="s">
        <v>43</v>
      </c>
      <c r="E345" s="4" t="s">
        <v>54</v>
      </c>
      <c r="F345" s="4" t="s">
        <v>52</v>
      </c>
      <c r="G345" s="4" t="s">
        <v>25</v>
      </c>
      <c r="H345" s="4" t="s">
        <v>25</v>
      </c>
      <c r="I345" s="5">
        <v>44470</v>
      </c>
      <c r="J345" s="6">
        <v>0</v>
      </c>
      <c r="K345" s="6">
        <v>0</v>
      </c>
      <c r="L345" s="6">
        <v>6.7000000000000004E-2</v>
      </c>
      <c r="M345" s="6">
        <v>6.7000000000000004E-2</v>
      </c>
      <c r="N345" s="6">
        <v>6.7000000000000004E-2</v>
      </c>
      <c r="O345" s="6">
        <v>6.7000000000000004E-2</v>
      </c>
      <c r="P345" s="6">
        <v>0</v>
      </c>
      <c r="Q345" s="4" t="s">
        <v>26</v>
      </c>
      <c r="R345" s="4">
        <v>0</v>
      </c>
      <c r="S345" s="6">
        <v>0</v>
      </c>
      <c r="T345" s="6">
        <v>30</v>
      </c>
      <c r="U345" s="6">
        <v>74</v>
      </c>
      <c r="V345" s="6">
        <f>IF(ISERROR(VLOOKUP($S$345,'TAR FIN'!$A$1:$O$91,15,0)),0,VLOOKUP($S$345,'TAR FIN'!$A$1:$O$91,15,0))</f>
        <v>0</v>
      </c>
      <c r="W345" s="6">
        <f>IF(ISERROR(VLOOKUP($T$345,'TAR FIN'!$A$1:$O$91,15,0)),0,VLOOKUP($T$345,'TAR FIN'!$A$1:$O$91,15,0))</f>
        <v>236.77</v>
      </c>
      <c r="X345" s="6">
        <f>IF(ISERROR(VLOOKUP($U$345,'TAR FIN'!$A$1:$O$91,15,0)),0,VLOOKUP($U$345,'TAR FIN'!$A$1:$O$91,15,0))</f>
        <v>117.89</v>
      </c>
      <c r="Y345" s="6"/>
      <c r="Z345" s="6">
        <f ca="1">('TUSD BE'!$AM$37+'TUSD BF'!$AM$37+'TUSD CVA'!$AM$37)*(1-CUSTOS!$M$38)</f>
        <v>323.18581193481282</v>
      </c>
      <c r="AA345" s="6">
        <f>('TE BE'!$AB$25+'TE BF'!$AB$25+'TE CVA'!$AB$25)*(1-CUSTOS!$M$38)</f>
        <v>107.87938095628944</v>
      </c>
      <c r="AB345" s="6">
        <f>$K$345*$V$345</f>
        <v>0</v>
      </c>
      <c r="AC345" s="6">
        <f>$M$345*$W$345</f>
        <v>15.863590000000002</v>
      </c>
      <c r="AD345" s="6">
        <f>$O$345*$X$345</f>
        <v>7.8986300000000007</v>
      </c>
      <c r="AE345" s="6">
        <f>$K$345*$Y$345</f>
        <v>0</v>
      </c>
      <c r="AF345" s="6">
        <f ca="1">$M$345*$Z$345</f>
        <v>21.653449399632461</v>
      </c>
      <c r="AG345" s="6">
        <f>$O$345*$AA$345</f>
        <v>7.2279185240713923</v>
      </c>
    </row>
    <row r="346" spans="1:33" ht="11.25" customHeight="1" x14ac:dyDescent="0.25">
      <c r="A346" s="4" t="s">
        <v>21</v>
      </c>
      <c r="B346" s="4" t="s">
        <v>42</v>
      </c>
      <c r="C346" s="4" t="s">
        <v>23</v>
      </c>
      <c r="D346" s="4" t="s">
        <v>43</v>
      </c>
      <c r="E346" s="4" t="s">
        <v>54</v>
      </c>
      <c r="F346" s="4" t="s">
        <v>52</v>
      </c>
      <c r="G346" s="4" t="s">
        <v>25</v>
      </c>
      <c r="H346" s="4" t="s">
        <v>25</v>
      </c>
      <c r="I346" s="5">
        <v>44501</v>
      </c>
      <c r="J346" s="6">
        <v>0</v>
      </c>
      <c r="K346" s="6">
        <v>0</v>
      </c>
      <c r="L346" s="6">
        <v>7.3999999999999996E-2</v>
      </c>
      <c r="M346" s="6">
        <v>7.3999999999999996E-2</v>
      </c>
      <c r="N346" s="6">
        <v>7.3999999999999996E-2</v>
      </c>
      <c r="O346" s="6">
        <v>7.3999999999999996E-2</v>
      </c>
      <c r="P346" s="6">
        <v>0</v>
      </c>
      <c r="Q346" s="4" t="s">
        <v>26</v>
      </c>
      <c r="R346" s="4">
        <v>0</v>
      </c>
      <c r="S346" s="6">
        <v>0</v>
      </c>
      <c r="T346" s="6">
        <v>30</v>
      </c>
      <c r="U346" s="6">
        <v>74</v>
      </c>
      <c r="V346" s="6">
        <f>IF(ISERROR(VLOOKUP($S$346,'TAR FIN'!$A$1:$O$91,15,0)),0,VLOOKUP($S$346,'TAR FIN'!$A$1:$O$91,15,0))</f>
        <v>0</v>
      </c>
      <c r="W346" s="6">
        <f>IF(ISERROR(VLOOKUP($T$346,'TAR FIN'!$A$1:$O$91,15,0)),0,VLOOKUP($T$346,'TAR FIN'!$A$1:$O$91,15,0))</f>
        <v>236.77</v>
      </c>
      <c r="X346" s="6">
        <f>IF(ISERROR(VLOOKUP($U$346,'TAR FIN'!$A$1:$O$91,15,0)),0,VLOOKUP($U$346,'TAR FIN'!$A$1:$O$91,15,0))</f>
        <v>117.89</v>
      </c>
      <c r="Y346" s="6"/>
      <c r="Z346" s="6">
        <f ca="1">('TUSD BE'!$AM$37+'TUSD BF'!$AM$37+'TUSD CVA'!$AM$37)*(1-CUSTOS!$M$38)</f>
        <v>323.18581193481282</v>
      </c>
      <c r="AA346" s="6">
        <f>('TE BE'!$AB$25+'TE BF'!$AB$25+'TE CVA'!$AB$25)*(1-CUSTOS!$M$38)</f>
        <v>107.87938095628944</v>
      </c>
      <c r="AB346" s="6">
        <f>$K$346*$V$346</f>
        <v>0</v>
      </c>
      <c r="AC346" s="6">
        <f>$M$346*$W$346</f>
        <v>17.520980000000002</v>
      </c>
      <c r="AD346" s="6">
        <f>$O$346*$X$346</f>
        <v>8.7238600000000002</v>
      </c>
      <c r="AE346" s="6">
        <f>$K$346*$Y$346</f>
        <v>0</v>
      </c>
      <c r="AF346" s="6">
        <f ca="1">$M$346*$Z$346</f>
        <v>23.915750083176146</v>
      </c>
      <c r="AG346" s="6">
        <f>$O$346*$AA$346</f>
        <v>7.9830741907654179</v>
      </c>
    </row>
    <row r="347" spans="1:33" ht="11.25" customHeight="1" x14ac:dyDescent="0.25">
      <c r="A347" s="4" t="s">
        <v>21</v>
      </c>
      <c r="B347" s="4" t="s">
        <v>42</v>
      </c>
      <c r="C347" s="4" t="s">
        <v>23</v>
      </c>
      <c r="D347" s="4" t="s">
        <v>43</v>
      </c>
      <c r="E347" s="4" t="s">
        <v>54</v>
      </c>
      <c r="F347" s="4" t="s">
        <v>52</v>
      </c>
      <c r="G347" s="4" t="s">
        <v>25</v>
      </c>
      <c r="H347" s="4" t="s">
        <v>25</v>
      </c>
      <c r="I347" s="5">
        <v>44531</v>
      </c>
      <c r="J347" s="6">
        <v>0</v>
      </c>
      <c r="K347" s="6">
        <v>0</v>
      </c>
      <c r="L347" s="6">
        <v>0.27600000000000002</v>
      </c>
      <c r="M347" s="6">
        <v>0.27600000000000002</v>
      </c>
      <c r="N347" s="6">
        <v>0.27600000000000002</v>
      </c>
      <c r="O347" s="6">
        <v>0.27600000000000002</v>
      </c>
      <c r="P347" s="6">
        <v>0</v>
      </c>
      <c r="Q347" s="4" t="s">
        <v>26</v>
      </c>
      <c r="R347" s="4">
        <v>0</v>
      </c>
      <c r="S347" s="6">
        <v>0</v>
      </c>
      <c r="T347" s="6">
        <v>30</v>
      </c>
      <c r="U347" s="6">
        <v>74</v>
      </c>
      <c r="V347" s="6">
        <f>IF(ISERROR(VLOOKUP($S$347,'TAR FIN'!$A$1:$O$91,15,0)),0,VLOOKUP($S$347,'TAR FIN'!$A$1:$O$91,15,0))</f>
        <v>0</v>
      </c>
      <c r="W347" s="6">
        <f>IF(ISERROR(VLOOKUP($T$347,'TAR FIN'!$A$1:$O$91,15,0)),0,VLOOKUP($T$347,'TAR FIN'!$A$1:$O$91,15,0))</f>
        <v>236.77</v>
      </c>
      <c r="X347" s="6">
        <f>IF(ISERROR(VLOOKUP($U$347,'TAR FIN'!$A$1:$O$91,15,0)),0,VLOOKUP($U$347,'TAR FIN'!$A$1:$O$91,15,0))</f>
        <v>117.89</v>
      </c>
      <c r="Y347" s="6"/>
      <c r="Z347" s="6">
        <f ca="1">('TUSD BE'!$AM$37+'TUSD BF'!$AM$37+'TUSD CVA'!$AM$37)*(1-CUSTOS!$M$38)</f>
        <v>323.18581193481282</v>
      </c>
      <c r="AA347" s="6">
        <f>('TE BE'!$AB$25+'TE BF'!$AB$25+'TE CVA'!$AB$25)*(1-CUSTOS!$M$38)</f>
        <v>107.87938095628944</v>
      </c>
      <c r="AB347" s="6">
        <f>$K$347*$V$347</f>
        <v>0</v>
      </c>
      <c r="AC347" s="6">
        <f>$M$347*$W$347</f>
        <v>65.348520000000008</v>
      </c>
      <c r="AD347" s="6">
        <f>$O$347*$X$347</f>
        <v>32.537640000000003</v>
      </c>
      <c r="AE347" s="6">
        <f>$K$347*$Y$347</f>
        <v>0</v>
      </c>
      <c r="AF347" s="6">
        <f ca="1">$M$347*$Z$347</f>
        <v>89.199284094008348</v>
      </c>
      <c r="AG347" s="6">
        <f>$O$347*$AA$347</f>
        <v>29.774709143935887</v>
      </c>
    </row>
    <row r="348" spans="1:33" ht="11.25" customHeight="1" x14ac:dyDescent="0.25">
      <c r="A348" s="4" t="s">
        <v>21</v>
      </c>
      <c r="B348" s="4" t="s">
        <v>42</v>
      </c>
      <c r="C348" s="4" t="s">
        <v>23</v>
      </c>
      <c r="D348" s="4" t="s">
        <v>43</v>
      </c>
      <c r="E348" s="4" t="s">
        <v>54</v>
      </c>
      <c r="F348" s="4" t="s">
        <v>52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0.96899999999999997</v>
      </c>
      <c r="M348" s="6">
        <v>0.96899999999999997</v>
      </c>
      <c r="N348" s="6">
        <v>0.96899999999999997</v>
      </c>
      <c r="O348" s="6">
        <v>0.96899999999999997</v>
      </c>
      <c r="P348" s="6">
        <v>0</v>
      </c>
      <c r="Q348" s="4" t="s">
        <v>26</v>
      </c>
      <c r="R348" s="4">
        <v>0</v>
      </c>
      <c r="S348" s="6">
        <v>0</v>
      </c>
      <c r="T348" s="6">
        <v>30</v>
      </c>
      <c r="U348" s="6">
        <v>74</v>
      </c>
      <c r="V348" s="6">
        <f>IF(ISERROR(VLOOKUP($S$348,'TAR FIN'!$A$1:$O$91,15,0)),0,VLOOKUP($S$348,'TAR FIN'!$A$1:$O$91,15,0))</f>
        <v>0</v>
      </c>
      <c r="W348" s="6">
        <f>IF(ISERROR(VLOOKUP($T$348,'TAR FIN'!$A$1:$O$91,15,0)),0,VLOOKUP($T$348,'TAR FIN'!$A$1:$O$91,15,0))</f>
        <v>236.77</v>
      </c>
      <c r="X348" s="6">
        <f>IF(ISERROR(VLOOKUP($U$348,'TAR FIN'!$A$1:$O$91,15,0)),0,VLOOKUP($U$348,'TAR FIN'!$A$1:$O$91,15,0))</f>
        <v>117.89</v>
      </c>
      <c r="Y348" s="6"/>
      <c r="Z348" s="6">
        <f ca="1">('TUSD BE'!$AM$37+'TUSD BF'!$AM$37+'TUSD CVA'!$AM$37)*(1-CUSTOS!$M$38)</f>
        <v>323.18581193481282</v>
      </c>
      <c r="AA348" s="6">
        <f>('TE BE'!$AB$25+'TE BF'!$AB$25+'TE CVA'!$AB$25)*(1-CUSTOS!$M$38)</f>
        <v>107.87938095628944</v>
      </c>
      <c r="AB348" s="6">
        <f>$K$348*$V$348</f>
        <v>0</v>
      </c>
      <c r="AC348" s="6">
        <f>$M$348*$W$348</f>
        <v>229.43012999999999</v>
      </c>
      <c r="AD348" s="6">
        <f>$O$348*$X$348</f>
        <v>114.23541</v>
      </c>
      <c r="AE348" s="6">
        <f>$K$348*$Y$348</f>
        <v>0</v>
      </c>
      <c r="AF348" s="6">
        <f ca="1">$M$348*$Z$348</f>
        <v>313.16705176483362</v>
      </c>
      <c r="AG348" s="6">
        <f>$O$348*$AA$348</f>
        <v>104.53512014664446</v>
      </c>
    </row>
    <row r="349" spans="1:33" ht="11.25" customHeight="1" x14ac:dyDescent="0.25">
      <c r="A349" s="4" t="s">
        <v>21</v>
      </c>
      <c r="B349" s="4" t="s">
        <v>42</v>
      </c>
      <c r="C349" s="4" t="s">
        <v>23</v>
      </c>
      <c r="D349" s="4" t="s">
        <v>43</v>
      </c>
      <c r="E349" s="4" t="s">
        <v>54</v>
      </c>
      <c r="F349" s="4" t="s">
        <v>52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1.0489999999999999</v>
      </c>
      <c r="M349" s="6">
        <v>1.0489999999999999</v>
      </c>
      <c r="N349" s="6">
        <v>1.0489999999999999</v>
      </c>
      <c r="O349" s="6">
        <v>1.0489999999999999</v>
      </c>
      <c r="P349" s="6">
        <v>0</v>
      </c>
      <c r="Q349" s="4" t="s">
        <v>26</v>
      </c>
      <c r="R349" s="4">
        <v>0</v>
      </c>
      <c r="S349" s="6">
        <v>0</v>
      </c>
      <c r="T349" s="6">
        <v>30</v>
      </c>
      <c r="U349" s="6">
        <v>74</v>
      </c>
      <c r="V349" s="6">
        <f>IF(ISERROR(VLOOKUP($S$349,'TAR FIN'!$A$1:$O$91,15,0)),0,VLOOKUP($S$349,'TAR FIN'!$A$1:$O$91,15,0))</f>
        <v>0</v>
      </c>
      <c r="W349" s="6">
        <f>IF(ISERROR(VLOOKUP($T$349,'TAR FIN'!$A$1:$O$91,15,0)),0,VLOOKUP($T$349,'TAR FIN'!$A$1:$O$91,15,0))</f>
        <v>236.77</v>
      </c>
      <c r="X349" s="6">
        <f>IF(ISERROR(VLOOKUP($U$349,'TAR FIN'!$A$1:$O$91,15,0)),0,VLOOKUP($U$349,'TAR FIN'!$A$1:$O$91,15,0))</f>
        <v>117.89</v>
      </c>
      <c r="Y349" s="6"/>
      <c r="Z349" s="6">
        <f ca="1">('TUSD BE'!$AM$37+'TUSD BF'!$AM$37+'TUSD CVA'!$AM$37)*(1-CUSTOS!$M$38)</f>
        <v>323.18581193481282</v>
      </c>
      <c r="AA349" s="6">
        <f>('TE BE'!$AB$25+'TE BF'!$AB$25+'TE CVA'!$AB$25)*(1-CUSTOS!$M$38)</f>
        <v>107.87938095628944</v>
      </c>
      <c r="AB349" s="6">
        <f>$K$349*$V$349</f>
        <v>0</v>
      </c>
      <c r="AC349" s="6">
        <f>$M$349*$W$349</f>
        <v>248.37172999999999</v>
      </c>
      <c r="AD349" s="6">
        <f>$O$349*$X$349</f>
        <v>123.66660999999999</v>
      </c>
      <c r="AE349" s="6">
        <f>$K$349*$Y$349</f>
        <v>0</v>
      </c>
      <c r="AF349" s="6">
        <f ca="1">$M$349*$Z$349</f>
        <v>339.02191671961862</v>
      </c>
      <c r="AG349" s="6">
        <f>$O$349*$AA$349</f>
        <v>113.16547062314761</v>
      </c>
    </row>
    <row r="350" spans="1:33" ht="11.25" customHeight="1" x14ac:dyDescent="0.25">
      <c r="A350" s="4" t="s">
        <v>21</v>
      </c>
      <c r="B350" s="4" t="s">
        <v>42</v>
      </c>
      <c r="C350" s="4" t="s">
        <v>23</v>
      </c>
      <c r="D350" s="4" t="s">
        <v>43</v>
      </c>
      <c r="E350" s="4" t="s">
        <v>54</v>
      </c>
      <c r="F350" s="4" t="s">
        <v>52</v>
      </c>
      <c r="G350" s="4" t="s">
        <v>25</v>
      </c>
      <c r="H350" s="4" t="s">
        <v>25</v>
      </c>
      <c r="I350" s="5">
        <v>44621</v>
      </c>
      <c r="J350" s="6">
        <v>0</v>
      </c>
      <c r="K350" s="6">
        <v>0</v>
      </c>
      <c r="L350" s="6">
        <v>1.677</v>
      </c>
      <c r="M350" s="6">
        <v>1.677</v>
      </c>
      <c r="N350" s="6">
        <v>1.677</v>
      </c>
      <c r="O350" s="6">
        <v>1.677</v>
      </c>
      <c r="P350" s="6">
        <v>0</v>
      </c>
      <c r="Q350" s="4" t="s">
        <v>26</v>
      </c>
      <c r="R350" s="4">
        <v>0</v>
      </c>
      <c r="S350" s="6">
        <v>0</v>
      </c>
      <c r="T350" s="6">
        <v>30</v>
      </c>
      <c r="U350" s="6">
        <v>74</v>
      </c>
      <c r="V350" s="6">
        <f>IF(ISERROR(VLOOKUP($S$350,'TAR FIN'!$A$1:$O$91,15,0)),0,VLOOKUP($S$350,'TAR FIN'!$A$1:$O$91,15,0))</f>
        <v>0</v>
      </c>
      <c r="W350" s="6">
        <f>IF(ISERROR(VLOOKUP($T$350,'TAR FIN'!$A$1:$O$91,15,0)),0,VLOOKUP($T$350,'TAR FIN'!$A$1:$O$91,15,0))</f>
        <v>236.77</v>
      </c>
      <c r="X350" s="6">
        <f>IF(ISERROR(VLOOKUP($U$350,'TAR FIN'!$A$1:$O$91,15,0)),0,VLOOKUP($U$350,'TAR FIN'!$A$1:$O$91,15,0))</f>
        <v>117.89</v>
      </c>
      <c r="Y350" s="6"/>
      <c r="Z350" s="6">
        <f ca="1">('TUSD BE'!$AM$37+'TUSD BF'!$AM$37+'TUSD CVA'!$AM$37)*(1-CUSTOS!$M$38)</f>
        <v>323.18581193481282</v>
      </c>
      <c r="AA350" s="6">
        <f>('TE BE'!$AB$25+'TE BF'!$AB$25+'TE CVA'!$AB$25)*(1-CUSTOS!$M$38)</f>
        <v>107.87938095628944</v>
      </c>
      <c r="AB350" s="6">
        <f>$K$350*$V$350</f>
        <v>0</v>
      </c>
      <c r="AC350" s="6">
        <f>$M$350*$W$350</f>
        <v>397.06329000000005</v>
      </c>
      <c r="AD350" s="6">
        <f>$O$350*$X$350</f>
        <v>197.70153000000002</v>
      </c>
      <c r="AE350" s="6">
        <f>$K$350*$Y$350</f>
        <v>0</v>
      </c>
      <c r="AF350" s="6">
        <f ca="1">$M$350*$Z$350</f>
        <v>541.98260661468112</v>
      </c>
      <c r="AG350" s="6">
        <f>$O$350*$AA$350</f>
        <v>180.91372186369739</v>
      </c>
    </row>
    <row r="351" spans="1:33" ht="11.25" customHeight="1" x14ac:dyDescent="0.25">
      <c r="A351" s="4" t="s">
        <v>21</v>
      </c>
      <c r="B351" s="4" t="s">
        <v>42</v>
      </c>
      <c r="C351" s="4" t="s">
        <v>23</v>
      </c>
      <c r="D351" s="4" t="s">
        <v>43</v>
      </c>
      <c r="E351" s="4" t="s">
        <v>54</v>
      </c>
      <c r="F351" s="4" t="s">
        <v>52</v>
      </c>
      <c r="G351" s="4" t="s">
        <v>25</v>
      </c>
      <c r="H351" s="4" t="s">
        <v>25</v>
      </c>
      <c r="I351" s="5">
        <v>44652</v>
      </c>
      <c r="J351" s="6">
        <v>0</v>
      </c>
      <c r="K351" s="6">
        <v>0</v>
      </c>
      <c r="L351" s="6">
        <v>1.605</v>
      </c>
      <c r="M351" s="6">
        <v>1.605</v>
      </c>
      <c r="N351" s="6">
        <v>1.605</v>
      </c>
      <c r="O351" s="6">
        <v>1.605</v>
      </c>
      <c r="P351" s="6">
        <v>0</v>
      </c>
      <c r="Q351" s="4" t="s">
        <v>26</v>
      </c>
      <c r="R351" s="4">
        <v>0</v>
      </c>
      <c r="S351" s="6">
        <v>0</v>
      </c>
      <c r="T351" s="6">
        <v>30</v>
      </c>
      <c r="U351" s="6">
        <v>74</v>
      </c>
      <c r="V351" s="6">
        <f>IF(ISERROR(VLOOKUP($S$351,'TAR FIN'!$A$1:$O$91,15,0)),0,VLOOKUP($S$351,'TAR FIN'!$A$1:$O$91,15,0))</f>
        <v>0</v>
      </c>
      <c r="W351" s="6">
        <f>IF(ISERROR(VLOOKUP($T$351,'TAR FIN'!$A$1:$O$91,15,0)),0,VLOOKUP($T$351,'TAR FIN'!$A$1:$O$91,15,0))</f>
        <v>236.77</v>
      </c>
      <c r="X351" s="6">
        <f>IF(ISERROR(VLOOKUP($U$351,'TAR FIN'!$A$1:$O$91,15,0)),0,VLOOKUP($U$351,'TAR FIN'!$A$1:$O$91,15,0))</f>
        <v>117.89</v>
      </c>
      <c r="Y351" s="6"/>
      <c r="Z351" s="6">
        <f ca="1">('TUSD BE'!$AM$37+'TUSD BF'!$AM$37+'TUSD CVA'!$AM$37)*(1-CUSTOS!$M$38)</f>
        <v>323.18581193481282</v>
      </c>
      <c r="AA351" s="6">
        <f>('TE BE'!$AB$25+'TE BF'!$AB$25+'TE CVA'!$AB$25)*(1-CUSTOS!$M$38)</f>
        <v>107.87938095628944</v>
      </c>
      <c r="AB351" s="6">
        <f>$K$351*$V$351</f>
        <v>0</v>
      </c>
      <c r="AC351" s="6">
        <f>$M$351*$W$351</f>
        <v>380.01585</v>
      </c>
      <c r="AD351" s="6">
        <f>$O$351*$X$351</f>
        <v>189.21344999999999</v>
      </c>
      <c r="AE351" s="6">
        <f>$K$351*$Y$351</f>
        <v>0</v>
      </c>
      <c r="AF351" s="6">
        <f ca="1">$M$351*$Z$351</f>
        <v>518.71322815537462</v>
      </c>
      <c r="AG351" s="6">
        <f>$O$351*$AA$351</f>
        <v>173.14640643484455</v>
      </c>
    </row>
    <row r="352" spans="1:33" ht="11.25" customHeight="1" x14ac:dyDescent="0.25">
      <c r="A352" s="4" t="s">
        <v>21</v>
      </c>
      <c r="B352" s="4" t="s">
        <v>42</v>
      </c>
      <c r="C352" s="4" t="s">
        <v>23</v>
      </c>
      <c r="D352" s="4" t="s">
        <v>43</v>
      </c>
      <c r="E352" s="4" t="s">
        <v>54</v>
      </c>
      <c r="F352" s="4" t="s">
        <v>52</v>
      </c>
      <c r="G352" s="4" t="s">
        <v>25</v>
      </c>
      <c r="H352" s="4" t="s">
        <v>25</v>
      </c>
      <c r="I352" s="5">
        <v>44682</v>
      </c>
      <c r="J352" s="6">
        <v>0</v>
      </c>
      <c r="K352" s="6">
        <v>0</v>
      </c>
      <c r="L352" s="6">
        <v>1.103</v>
      </c>
      <c r="M352" s="6">
        <v>1.103</v>
      </c>
      <c r="N352" s="6">
        <v>1.103</v>
      </c>
      <c r="O352" s="6">
        <v>1.103</v>
      </c>
      <c r="P352" s="6">
        <v>0</v>
      </c>
      <c r="Q352" s="4" t="s">
        <v>26</v>
      </c>
      <c r="R352" s="4">
        <v>0</v>
      </c>
      <c r="S352" s="6">
        <v>0</v>
      </c>
      <c r="T352" s="6">
        <v>30</v>
      </c>
      <c r="U352" s="6">
        <v>74</v>
      </c>
      <c r="V352" s="6">
        <f>IF(ISERROR(VLOOKUP($S$352,'TAR FIN'!$A$1:$O$91,15,0)),0,VLOOKUP($S$352,'TAR FIN'!$A$1:$O$91,15,0))</f>
        <v>0</v>
      </c>
      <c r="W352" s="6">
        <f>IF(ISERROR(VLOOKUP($T$352,'TAR FIN'!$A$1:$O$91,15,0)),0,VLOOKUP($T$352,'TAR FIN'!$A$1:$O$91,15,0))</f>
        <v>236.77</v>
      </c>
      <c r="X352" s="6">
        <f>IF(ISERROR(VLOOKUP($U$352,'TAR FIN'!$A$1:$O$91,15,0)),0,VLOOKUP($U$352,'TAR FIN'!$A$1:$O$91,15,0))</f>
        <v>117.89</v>
      </c>
      <c r="Y352" s="6"/>
      <c r="Z352" s="6">
        <f ca="1">('TUSD BE'!$AM$37+'TUSD BF'!$AM$37+'TUSD CVA'!$AM$37)*(1-CUSTOS!$M$38)</f>
        <v>323.18581193481282</v>
      </c>
      <c r="AA352" s="6">
        <f>('TE BE'!$AB$25+'TE BF'!$AB$25+'TE CVA'!$AB$25)*(1-CUSTOS!$M$38)</f>
        <v>107.87938095628944</v>
      </c>
      <c r="AB352" s="6">
        <f>$K$352*$V$352</f>
        <v>0</v>
      </c>
      <c r="AC352" s="6">
        <f>$M$352*$W$352</f>
        <v>261.15731</v>
      </c>
      <c r="AD352" s="6">
        <f>$O$352*$X$352</f>
        <v>130.03267</v>
      </c>
      <c r="AE352" s="6">
        <f>$K$352*$Y$352</f>
        <v>0</v>
      </c>
      <c r="AF352" s="6">
        <f ca="1">$M$352*$Z$352</f>
        <v>356.47395056409852</v>
      </c>
      <c r="AG352" s="6">
        <f>$O$352*$AA$352</f>
        <v>118.99095719478724</v>
      </c>
    </row>
    <row r="353" spans="1:33" ht="11.25" customHeight="1" x14ac:dyDescent="0.25">
      <c r="A353" s="4" t="s">
        <v>21</v>
      </c>
      <c r="B353" s="4" t="s">
        <v>42</v>
      </c>
      <c r="C353" s="4" t="s">
        <v>23</v>
      </c>
      <c r="D353" s="4" t="s">
        <v>43</v>
      </c>
      <c r="E353" s="4" t="s">
        <v>54</v>
      </c>
      <c r="F353" s="4" t="s">
        <v>52</v>
      </c>
      <c r="G353" s="4" t="s">
        <v>25</v>
      </c>
      <c r="H353" s="4" t="s">
        <v>25</v>
      </c>
      <c r="I353" s="5">
        <v>44713</v>
      </c>
      <c r="J353" s="6">
        <v>0</v>
      </c>
      <c r="K353" s="6">
        <v>0</v>
      </c>
      <c r="L353" s="6">
        <v>0.81</v>
      </c>
      <c r="M353" s="6">
        <v>0.81</v>
      </c>
      <c r="N353" s="6">
        <v>0.81</v>
      </c>
      <c r="O353" s="6">
        <v>0.81</v>
      </c>
      <c r="P353" s="6">
        <v>0</v>
      </c>
      <c r="Q353" s="4" t="s">
        <v>26</v>
      </c>
      <c r="R353" s="4">
        <v>0</v>
      </c>
      <c r="S353" s="6">
        <v>0</v>
      </c>
      <c r="T353" s="6">
        <v>30</v>
      </c>
      <c r="U353" s="6">
        <v>74</v>
      </c>
      <c r="V353" s="6">
        <f>IF(ISERROR(VLOOKUP($S$353,'TAR FIN'!$A$1:$O$91,15,0)),0,VLOOKUP($S$353,'TAR FIN'!$A$1:$O$91,15,0))</f>
        <v>0</v>
      </c>
      <c r="W353" s="6">
        <f>IF(ISERROR(VLOOKUP($T$353,'TAR FIN'!$A$1:$O$91,15,0)),0,VLOOKUP($T$353,'TAR FIN'!$A$1:$O$91,15,0))</f>
        <v>236.77</v>
      </c>
      <c r="X353" s="6">
        <f>IF(ISERROR(VLOOKUP($U$353,'TAR FIN'!$A$1:$O$91,15,0)),0,VLOOKUP($U$353,'TAR FIN'!$A$1:$O$91,15,0))</f>
        <v>117.89</v>
      </c>
      <c r="Y353" s="6"/>
      <c r="Z353" s="6">
        <f ca="1">('TUSD BE'!$AM$37+'TUSD BF'!$AM$37+'TUSD CVA'!$AM$37)*(1-CUSTOS!$M$38)</f>
        <v>323.18581193481282</v>
      </c>
      <c r="AA353" s="6">
        <f>('TE BE'!$AB$25+'TE BF'!$AB$25+'TE CVA'!$AB$25)*(1-CUSTOS!$M$38)</f>
        <v>107.87938095628944</v>
      </c>
      <c r="AB353" s="6">
        <f>$K$353*$V$353</f>
        <v>0</v>
      </c>
      <c r="AC353" s="6">
        <f>$M$353*$W$353</f>
        <v>191.78370000000001</v>
      </c>
      <c r="AD353" s="6">
        <f>$O$353*$X$353</f>
        <v>95.490900000000011</v>
      </c>
      <c r="AE353" s="6">
        <f>$K$353*$Y$353</f>
        <v>0</v>
      </c>
      <c r="AF353" s="6">
        <f ca="1">$M$353*$Z$353</f>
        <v>261.78050766719838</v>
      </c>
      <c r="AG353" s="6">
        <f>$O$353*$AA$353</f>
        <v>87.382298574594444</v>
      </c>
    </row>
    <row r="354" spans="1:33" ht="11.25" customHeight="1" x14ac:dyDescent="0.25">
      <c r="A354" s="4" t="s">
        <v>21</v>
      </c>
      <c r="B354" s="4" t="s">
        <v>42</v>
      </c>
      <c r="C354" s="4" t="s">
        <v>23</v>
      </c>
      <c r="D354" s="4" t="s">
        <v>43</v>
      </c>
      <c r="E354" s="4" t="s">
        <v>54</v>
      </c>
      <c r="F354" s="4" t="s">
        <v>52</v>
      </c>
      <c r="G354" s="4" t="s">
        <v>25</v>
      </c>
      <c r="H354" s="4" t="s">
        <v>25</v>
      </c>
      <c r="I354" s="5">
        <v>44743</v>
      </c>
      <c r="J354" s="6">
        <v>0</v>
      </c>
      <c r="K354" s="6">
        <v>0</v>
      </c>
      <c r="L354" s="6">
        <v>0.104</v>
      </c>
      <c r="M354" s="6">
        <v>0.104</v>
      </c>
      <c r="N354" s="6">
        <v>0.104</v>
      </c>
      <c r="O354" s="6">
        <v>0.104</v>
      </c>
      <c r="P354" s="6">
        <v>0</v>
      </c>
      <c r="Q354" s="4" t="s">
        <v>26</v>
      </c>
      <c r="R354" s="4">
        <v>0</v>
      </c>
      <c r="S354" s="6">
        <v>0</v>
      </c>
      <c r="T354" s="6">
        <v>30</v>
      </c>
      <c r="U354" s="6">
        <v>74</v>
      </c>
      <c r="V354" s="6">
        <f>IF(ISERROR(VLOOKUP($S$354,'TAR FIN'!$A$1:$O$91,15,0)),0,VLOOKUP($S$354,'TAR FIN'!$A$1:$O$91,15,0))</f>
        <v>0</v>
      </c>
      <c r="W354" s="6">
        <f>IF(ISERROR(VLOOKUP($T$354,'TAR FIN'!$A$1:$O$91,15,0)),0,VLOOKUP($T$354,'TAR FIN'!$A$1:$O$91,15,0))</f>
        <v>236.77</v>
      </c>
      <c r="X354" s="6">
        <f>IF(ISERROR(VLOOKUP($U$354,'TAR FIN'!$A$1:$O$91,15,0)),0,VLOOKUP($U$354,'TAR FIN'!$A$1:$O$91,15,0))</f>
        <v>117.89</v>
      </c>
      <c r="Y354" s="6"/>
      <c r="Z354" s="6">
        <f ca="1">('TUSD BE'!$AM$37+'TUSD BF'!$AM$37+'TUSD CVA'!$AM$37)*(1-CUSTOS!$M$38)</f>
        <v>323.18581193481282</v>
      </c>
      <c r="AA354" s="6">
        <f>('TE BE'!$AB$25+'TE BF'!$AB$25+'TE CVA'!$AB$25)*(1-CUSTOS!$M$38)</f>
        <v>107.87938095628944</v>
      </c>
      <c r="AB354" s="6">
        <f>$K$354*$V$354</f>
        <v>0</v>
      </c>
      <c r="AC354" s="6">
        <f>$M$354*$W$354</f>
        <v>24.624079999999999</v>
      </c>
      <c r="AD354" s="6">
        <f>$O$354*$X$354</f>
        <v>12.26056</v>
      </c>
      <c r="AE354" s="6">
        <f>$K$354*$Y$354</f>
        <v>0</v>
      </c>
      <c r="AF354" s="6">
        <f ca="1">$M$354*$Z$354</f>
        <v>33.611324441220532</v>
      </c>
      <c r="AG354" s="6">
        <f>$O$354*$AA$354</f>
        <v>11.2194556194541</v>
      </c>
    </row>
    <row r="355" spans="1:33" ht="11.25" customHeight="1" x14ac:dyDescent="0.25">
      <c r="A355" s="4" t="s">
        <v>57</v>
      </c>
      <c r="B355" s="4" t="s">
        <v>42</v>
      </c>
      <c r="C355" s="4" t="s">
        <v>23</v>
      </c>
      <c r="D355" s="4" t="s">
        <v>43</v>
      </c>
      <c r="E355" s="4" t="s">
        <v>54</v>
      </c>
      <c r="F355" s="4" t="s">
        <v>52</v>
      </c>
      <c r="G355" s="4" t="s">
        <v>25</v>
      </c>
      <c r="H355" s="4" t="s">
        <v>25</v>
      </c>
      <c r="I355" s="5">
        <v>44774</v>
      </c>
      <c r="J355" s="6">
        <v>0</v>
      </c>
      <c r="K355" s="6">
        <v>0</v>
      </c>
      <c r="L355" s="6">
        <v>0.104</v>
      </c>
      <c r="M355" s="6">
        <v>0.104</v>
      </c>
      <c r="N355" s="6">
        <v>0.104</v>
      </c>
      <c r="O355" s="6">
        <v>0.104</v>
      </c>
      <c r="P355" s="6">
        <v>0</v>
      </c>
      <c r="Q355" s="4" t="s">
        <v>26</v>
      </c>
      <c r="R355" s="4">
        <v>0</v>
      </c>
      <c r="S355" s="6">
        <v>0</v>
      </c>
      <c r="T355" s="6">
        <v>30</v>
      </c>
      <c r="U355" s="6">
        <v>74</v>
      </c>
      <c r="V355" s="6">
        <f>IF(ISERROR(VLOOKUP($S$355,'TAR FIN'!$A$1:$O$91,15,0)),0,VLOOKUP($S$355,'TAR FIN'!$A$1:$O$91,15,0))</f>
        <v>0</v>
      </c>
      <c r="W355" s="6">
        <f>IF(ISERROR(VLOOKUP($T$355,'TAR FIN'!$A$1:$O$91,15,0)),0,VLOOKUP($T$355,'TAR FIN'!$A$1:$O$91,15,0))</f>
        <v>236.77</v>
      </c>
      <c r="X355" s="6">
        <f>IF(ISERROR(VLOOKUP($U$355,'TAR FIN'!$A$1:$O$91,15,0)),0,VLOOKUP($U$355,'TAR FIN'!$A$1:$O$91,15,0))</f>
        <v>117.89</v>
      </c>
      <c r="Y355" s="6"/>
      <c r="Z355" s="6">
        <f ca="1">('TUSD BE'!$AM$37+'TUSD BF'!$AM$37+'TUSD CVA'!$AM$37)*(1-CUSTOS!$M$38)</f>
        <v>323.18581193481282</v>
      </c>
      <c r="AA355" s="6">
        <f>('TE BE'!$AB$25+'TE BF'!$AB$25+'TE CVA'!$AB$25)*(1-CUSTOS!$M$38)</f>
        <v>107.87938095628944</v>
      </c>
      <c r="AB355" s="6">
        <f>$K$355*$V$355</f>
        <v>0</v>
      </c>
      <c r="AC355" s="6">
        <f>$M$355*$W$355</f>
        <v>24.624079999999999</v>
      </c>
      <c r="AD355" s="6">
        <f>$O$355*$X$355</f>
        <v>12.26056</v>
      </c>
      <c r="AE355" s="6">
        <f>$K$355*$Y$355</f>
        <v>0</v>
      </c>
      <c r="AF355" s="6">
        <f ca="1">$M$355*$Z$355</f>
        <v>33.611324441220532</v>
      </c>
      <c r="AG355" s="6">
        <f>$O$355*$AA$355</f>
        <v>11.2194556194541</v>
      </c>
    </row>
    <row r="356" spans="1:33" ht="11.25" customHeight="1" x14ac:dyDescent="0.25">
      <c r="A356" s="4" t="s">
        <v>21</v>
      </c>
      <c r="B356" s="4" t="s">
        <v>42</v>
      </c>
      <c r="C356" s="4" t="s">
        <v>23</v>
      </c>
      <c r="D356" s="4" t="s">
        <v>43</v>
      </c>
      <c r="E356" s="4" t="s">
        <v>54</v>
      </c>
      <c r="F356" s="4" t="s">
        <v>53</v>
      </c>
      <c r="G356" s="4" t="s">
        <v>25</v>
      </c>
      <c r="H356" s="4" t="s">
        <v>25</v>
      </c>
      <c r="I356" s="5">
        <v>44440</v>
      </c>
      <c r="J356" s="6">
        <v>0</v>
      </c>
      <c r="K356" s="6">
        <v>0</v>
      </c>
      <c r="L356" s="6">
        <v>4.2000000000000003E-2</v>
      </c>
      <c r="M356" s="6">
        <v>1.6799999999999999E-2</v>
      </c>
      <c r="N356" s="6">
        <v>4.2000000000000003E-2</v>
      </c>
      <c r="O356" s="6">
        <v>1.6799999999999999E-2</v>
      </c>
      <c r="P356" s="6">
        <v>0</v>
      </c>
      <c r="Q356" s="4" t="s">
        <v>26</v>
      </c>
      <c r="R356" s="4">
        <v>0</v>
      </c>
      <c r="S356" s="6">
        <v>0</v>
      </c>
      <c r="T356" s="6">
        <v>30</v>
      </c>
      <c r="U356" s="6">
        <v>74</v>
      </c>
      <c r="V356" s="6">
        <f>IF(ISERROR(VLOOKUP($S$356,'TAR FIN'!$A$1:$O$91,15,0)),0,VLOOKUP($S$356,'TAR FIN'!$A$1:$O$91,15,0))</f>
        <v>0</v>
      </c>
      <c r="W356" s="6">
        <f>IF(ISERROR(VLOOKUP($T$356,'TAR FIN'!$A$1:$O$91,15,0)),0,VLOOKUP($T$356,'TAR FIN'!$A$1:$O$91,15,0))</f>
        <v>236.77</v>
      </c>
      <c r="X356" s="6">
        <f>IF(ISERROR(VLOOKUP($U$356,'TAR FIN'!$A$1:$O$91,15,0)),0,VLOOKUP($U$356,'TAR FIN'!$A$1:$O$91,15,0))</f>
        <v>117.89</v>
      </c>
      <c r="Y356" s="6"/>
      <c r="Z356" s="6">
        <f ca="1">('TUSD BE'!$AM$37+'TUSD BF'!$AM$37+'TUSD CVA'!$AM$37)*(1-CUSTOS!$M$38)</f>
        <v>323.18581193481282</v>
      </c>
      <c r="AA356" s="6">
        <f>('TE BE'!$AB$25+'TE BF'!$AB$25+'TE CVA'!$AB$25)*(1-CUSTOS!$M$38)</f>
        <v>107.87938095628944</v>
      </c>
      <c r="AB356" s="6">
        <f>$K$356*$V$356</f>
        <v>0</v>
      </c>
      <c r="AC356" s="6">
        <f>$M$356*$W$356</f>
        <v>3.9777359999999997</v>
      </c>
      <c r="AD356" s="6">
        <f>$O$356*$X$356</f>
        <v>1.9805519999999999</v>
      </c>
      <c r="AE356" s="6">
        <f>$K$356*$Y$356</f>
        <v>0</v>
      </c>
      <c r="AF356" s="6">
        <f ca="1">$M$356*$Z$356</f>
        <v>5.4295216405048548</v>
      </c>
      <c r="AG356" s="6">
        <f>$O$356*$AA$356</f>
        <v>1.8123736000656625</v>
      </c>
    </row>
    <row r="357" spans="1:33" ht="11.25" customHeight="1" x14ac:dyDescent="0.25">
      <c r="A357" s="4" t="s">
        <v>21</v>
      </c>
      <c r="B357" s="4" t="s">
        <v>42</v>
      </c>
      <c r="C357" s="4" t="s">
        <v>23</v>
      </c>
      <c r="D357" s="4" t="s">
        <v>43</v>
      </c>
      <c r="E357" s="4" t="s">
        <v>54</v>
      </c>
      <c r="F357" s="4" t="s">
        <v>53</v>
      </c>
      <c r="G357" s="4" t="s">
        <v>25</v>
      </c>
      <c r="H357" s="4" t="s">
        <v>25</v>
      </c>
      <c r="I357" s="5">
        <v>44470</v>
      </c>
      <c r="J357" s="6">
        <v>0</v>
      </c>
      <c r="K357" s="6">
        <v>0</v>
      </c>
      <c r="L357" s="6">
        <v>3.3000000000000002E-2</v>
      </c>
      <c r="M357" s="6">
        <v>1.32E-2</v>
      </c>
      <c r="N357" s="6">
        <v>3.3000000000000002E-2</v>
      </c>
      <c r="O357" s="6">
        <v>1.32E-2</v>
      </c>
      <c r="P357" s="6">
        <v>0</v>
      </c>
      <c r="Q357" s="4" t="s">
        <v>26</v>
      </c>
      <c r="R357" s="4">
        <v>0</v>
      </c>
      <c r="S357" s="6">
        <v>0</v>
      </c>
      <c r="T357" s="6">
        <v>30</v>
      </c>
      <c r="U357" s="6">
        <v>74</v>
      </c>
      <c r="V357" s="6">
        <f>IF(ISERROR(VLOOKUP($S$357,'TAR FIN'!$A$1:$O$91,15,0)),0,VLOOKUP($S$357,'TAR FIN'!$A$1:$O$91,15,0))</f>
        <v>0</v>
      </c>
      <c r="W357" s="6">
        <f>IF(ISERROR(VLOOKUP($T$357,'TAR FIN'!$A$1:$O$91,15,0)),0,VLOOKUP($T$357,'TAR FIN'!$A$1:$O$91,15,0))</f>
        <v>236.77</v>
      </c>
      <c r="X357" s="6">
        <f>IF(ISERROR(VLOOKUP($U$357,'TAR FIN'!$A$1:$O$91,15,0)),0,VLOOKUP($U$357,'TAR FIN'!$A$1:$O$91,15,0))</f>
        <v>117.89</v>
      </c>
      <c r="Y357" s="6"/>
      <c r="Z357" s="6">
        <f ca="1">('TUSD BE'!$AM$37+'TUSD BF'!$AM$37+'TUSD CVA'!$AM$37)*(1-CUSTOS!$M$38)</f>
        <v>323.18581193481282</v>
      </c>
      <c r="AA357" s="6">
        <f>('TE BE'!$AB$25+'TE BF'!$AB$25+'TE CVA'!$AB$25)*(1-CUSTOS!$M$38)</f>
        <v>107.87938095628944</v>
      </c>
      <c r="AB357" s="6">
        <f>$K$357*$V$357</f>
        <v>0</v>
      </c>
      <c r="AC357" s="6">
        <f>$M$357*$W$357</f>
        <v>3.1253640000000003</v>
      </c>
      <c r="AD357" s="6">
        <f>$O$357*$X$357</f>
        <v>1.5561480000000001</v>
      </c>
      <c r="AE357" s="6">
        <f>$K$357*$Y$357</f>
        <v>0</v>
      </c>
      <c r="AF357" s="6">
        <f ca="1">$M$357*$Z$357</f>
        <v>4.2660527175395293</v>
      </c>
      <c r="AG357" s="6">
        <f>$O$357*$AA$357</f>
        <v>1.4240078286230207</v>
      </c>
    </row>
    <row r="358" spans="1:33" ht="11.25" customHeight="1" x14ac:dyDescent="0.25">
      <c r="A358" s="4" t="s">
        <v>21</v>
      </c>
      <c r="B358" s="4" t="s">
        <v>42</v>
      </c>
      <c r="C358" s="4" t="s">
        <v>23</v>
      </c>
      <c r="D358" s="4" t="s">
        <v>43</v>
      </c>
      <c r="E358" s="4" t="s">
        <v>54</v>
      </c>
      <c r="F358" s="4" t="s">
        <v>53</v>
      </c>
      <c r="G358" s="4" t="s">
        <v>25</v>
      </c>
      <c r="H358" s="4" t="s">
        <v>25</v>
      </c>
      <c r="I358" s="5">
        <v>44501</v>
      </c>
      <c r="J358" s="6">
        <v>0</v>
      </c>
      <c r="K358" s="6">
        <v>0</v>
      </c>
      <c r="L358" s="6">
        <v>2.5999999999999999E-2</v>
      </c>
      <c r="M358" s="6">
        <v>1.04E-2</v>
      </c>
      <c r="N358" s="6">
        <v>2.5999999999999999E-2</v>
      </c>
      <c r="O358" s="6">
        <v>1.04E-2</v>
      </c>
      <c r="P358" s="6">
        <v>0</v>
      </c>
      <c r="Q358" s="4" t="s">
        <v>26</v>
      </c>
      <c r="R358" s="4">
        <v>0</v>
      </c>
      <c r="S358" s="6">
        <v>0</v>
      </c>
      <c r="T358" s="6">
        <v>30</v>
      </c>
      <c r="U358" s="6">
        <v>74</v>
      </c>
      <c r="V358" s="6">
        <f>IF(ISERROR(VLOOKUP($S$358,'TAR FIN'!$A$1:$O$91,15,0)),0,VLOOKUP($S$358,'TAR FIN'!$A$1:$O$91,15,0))</f>
        <v>0</v>
      </c>
      <c r="W358" s="6">
        <f>IF(ISERROR(VLOOKUP($T$358,'TAR FIN'!$A$1:$O$91,15,0)),0,VLOOKUP($T$358,'TAR FIN'!$A$1:$O$91,15,0))</f>
        <v>236.77</v>
      </c>
      <c r="X358" s="6">
        <f>IF(ISERROR(VLOOKUP($U$358,'TAR FIN'!$A$1:$O$91,15,0)),0,VLOOKUP($U$358,'TAR FIN'!$A$1:$O$91,15,0))</f>
        <v>117.89</v>
      </c>
      <c r="Y358" s="6"/>
      <c r="Z358" s="6">
        <f ca="1">('TUSD BE'!$AM$37+'TUSD BF'!$AM$37+'TUSD CVA'!$AM$37)*(1-CUSTOS!$M$38)</f>
        <v>323.18581193481282</v>
      </c>
      <c r="AA358" s="6">
        <f>('TE BE'!$AB$25+'TE BF'!$AB$25+'TE CVA'!$AB$25)*(1-CUSTOS!$M$38)</f>
        <v>107.87938095628944</v>
      </c>
      <c r="AB358" s="6">
        <f>$K$358*$V$358</f>
        <v>0</v>
      </c>
      <c r="AC358" s="6">
        <f>$M$358*$W$358</f>
        <v>2.4624079999999999</v>
      </c>
      <c r="AD358" s="6">
        <f>$O$358*$X$358</f>
        <v>1.226056</v>
      </c>
      <c r="AE358" s="6">
        <f>$K$358*$Y$358</f>
        <v>0</v>
      </c>
      <c r="AF358" s="6">
        <f ca="1">$M$358*$Z$358</f>
        <v>3.3611324441220534</v>
      </c>
      <c r="AG358" s="6">
        <f>$O$358*$AA$358</f>
        <v>1.1219455619454102</v>
      </c>
    </row>
    <row r="359" spans="1:33" ht="11.25" customHeight="1" x14ac:dyDescent="0.25">
      <c r="A359" s="4" t="s">
        <v>21</v>
      </c>
      <c r="B359" s="4" t="s">
        <v>42</v>
      </c>
      <c r="C359" s="4" t="s">
        <v>23</v>
      </c>
      <c r="D359" s="4" t="s">
        <v>43</v>
      </c>
      <c r="E359" s="4" t="s">
        <v>54</v>
      </c>
      <c r="F359" s="4" t="s">
        <v>53</v>
      </c>
      <c r="G359" s="4" t="s">
        <v>25</v>
      </c>
      <c r="H359" s="4" t="s">
        <v>25</v>
      </c>
      <c r="I359" s="5">
        <v>44531</v>
      </c>
      <c r="J359" s="6">
        <v>0</v>
      </c>
      <c r="K359" s="6">
        <v>0</v>
      </c>
      <c r="L359" s="6">
        <v>0.71699999999999997</v>
      </c>
      <c r="M359" s="6">
        <v>0.2868</v>
      </c>
      <c r="N359" s="6">
        <v>0.71699999999999997</v>
      </c>
      <c r="O359" s="6">
        <v>0.2868</v>
      </c>
      <c r="P359" s="6">
        <v>0</v>
      </c>
      <c r="Q359" s="4" t="s">
        <v>26</v>
      </c>
      <c r="R359" s="4">
        <v>0</v>
      </c>
      <c r="S359" s="6">
        <v>0</v>
      </c>
      <c r="T359" s="6">
        <v>30</v>
      </c>
      <c r="U359" s="6">
        <v>74</v>
      </c>
      <c r="V359" s="6">
        <f>IF(ISERROR(VLOOKUP($S$359,'TAR FIN'!$A$1:$O$91,15,0)),0,VLOOKUP($S$359,'TAR FIN'!$A$1:$O$91,15,0))</f>
        <v>0</v>
      </c>
      <c r="W359" s="6">
        <f>IF(ISERROR(VLOOKUP($T$359,'TAR FIN'!$A$1:$O$91,15,0)),0,VLOOKUP($T$359,'TAR FIN'!$A$1:$O$91,15,0))</f>
        <v>236.77</v>
      </c>
      <c r="X359" s="6">
        <f>IF(ISERROR(VLOOKUP($U$359,'TAR FIN'!$A$1:$O$91,15,0)),0,VLOOKUP($U$359,'TAR FIN'!$A$1:$O$91,15,0))</f>
        <v>117.89</v>
      </c>
      <c r="Y359" s="6"/>
      <c r="Z359" s="6">
        <f ca="1">('TUSD BE'!$AM$37+'TUSD BF'!$AM$37+'TUSD CVA'!$AM$37)*(1-CUSTOS!$M$38)</f>
        <v>323.18581193481282</v>
      </c>
      <c r="AA359" s="6">
        <f>('TE BE'!$AB$25+'TE BF'!$AB$25+'TE CVA'!$AB$25)*(1-CUSTOS!$M$38)</f>
        <v>107.87938095628944</v>
      </c>
      <c r="AB359" s="6">
        <f>$K$359*$V$359</f>
        <v>0</v>
      </c>
      <c r="AC359" s="6">
        <f>$M$359*$W$359</f>
        <v>67.905636000000001</v>
      </c>
      <c r="AD359" s="6">
        <f>$O$359*$X$359</f>
        <v>33.810851999999997</v>
      </c>
      <c r="AE359" s="6">
        <f>$K$359*$Y$359</f>
        <v>0</v>
      </c>
      <c r="AF359" s="6">
        <f ca="1">$M$359*$Z$359</f>
        <v>92.689690862904314</v>
      </c>
      <c r="AG359" s="6">
        <f>$O$359*$AA$359</f>
        <v>30.93980645826381</v>
      </c>
    </row>
    <row r="360" spans="1:33" ht="11.25" customHeight="1" x14ac:dyDescent="0.25">
      <c r="A360" s="4" t="s">
        <v>21</v>
      </c>
      <c r="B360" s="4" t="s">
        <v>42</v>
      </c>
      <c r="C360" s="4" t="s">
        <v>23</v>
      </c>
      <c r="D360" s="4" t="s">
        <v>43</v>
      </c>
      <c r="E360" s="4" t="s">
        <v>54</v>
      </c>
      <c r="F360" s="4" t="s">
        <v>53</v>
      </c>
      <c r="G360" s="4" t="s">
        <v>25</v>
      </c>
      <c r="H360" s="4" t="s">
        <v>25</v>
      </c>
      <c r="I360" s="5">
        <v>44562</v>
      </c>
      <c r="J360" s="6">
        <v>0</v>
      </c>
      <c r="K360" s="6">
        <v>0</v>
      </c>
      <c r="L360" s="6">
        <v>1.984</v>
      </c>
      <c r="M360" s="6">
        <v>0.79359999999999997</v>
      </c>
      <c r="N360" s="6">
        <v>1.984</v>
      </c>
      <c r="O360" s="6">
        <v>0.79359999999999997</v>
      </c>
      <c r="P360" s="6">
        <v>0</v>
      </c>
      <c r="Q360" s="4" t="s">
        <v>26</v>
      </c>
      <c r="R360" s="4">
        <v>0</v>
      </c>
      <c r="S360" s="6">
        <v>0</v>
      </c>
      <c r="T360" s="6">
        <v>30</v>
      </c>
      <c r="U360" s="6">
        <v>74</v>
      </c>
      <c r="V360" s="6">
        <f>IF(ISERROR(VLOOKUP($S$360,'TAR FIN'!$A$1:$O$91,15,0)),0,VLOOKUP($S$360,'TAR FIN'!$A$1:$O$91,15,0))</f>
        <v>0</v>
      </c>
      <c r="W360" s="6">
        <f>IF(ISERROR(VLOOKUP($T$360,'TAR FIN'!$A$1:$O$91,15,0)),0,VLOOKUP($T$360,'TAR FIN'!$A$1:$O$91,15,0))</f>
        <v>236.77</v>
      </c>
      <c r="X360" s="6">
        <f>IF(ISERROR(VLOOKUP($U$360,'TAR FIN'!$A$1:$O$91,15,0)),0,VLOOKUP($U$360,'TAR FIN'!$A$1:$O$91,15,0))</f>
        <v>117.89</v>
      </c>
      <c r="Y360" s="6"/>
      <c r="Z360" s="6">
        <f ca="1">('TUSD BE'!$AM$37+'TUSD BF'!$AM$37+'TUSD CVA'!$AM$37)*(1-CUSTOS!$M$38)</f>
        <v>323.18581193481282</v>
      </c>
      <c r="AA360" s="6">
        <f>('TE BE'!$AB$25+'TE BF'!$AB$25+'TE CVA'!$AB$25)*(1-CUSTOS!$M$38)</f>
        <v>107.87938095628944</v>
      </c>
      <c r="AB360" s="6">
        <f>$K$360*$V$360</f>
        <v>0</v>
      </c>
      <c r="AC360" s="6">
        <f>$M$360*$W$360</f>
        <v>187.90067200000001</v>
      </c>
      <c r="AD360" s="6">
        <f>$O$360*$X$360</f>
        <v>93.557503999999994</v>
      </c>
      <c r="AE360" s="6">
        <f>$K$360*$Y$360</f>
        <v>0</v>
      </c>
      <c r="AF360" s="6">
        <f ca="1">$M$360*$Z$360</f>
        <v>256.48026035146745</v>
      </c>
      <c r="AG360" s="6">
        <f>$O$360*$AA$360</f>
        <v>85.613076726911288</v>
      </c>
    </row>
    <row r="361" spans="1:33" ht="11.25" customHeight="1" x14ac:dyDescent="0.25">
      <c r="A361" s="4" t="s">
        <v>21</v>
      </c>
      <c r="B361" s="4" t="s">
        <v>42</v>
      </c>
      <c r="C361" s="4" t="s">
        <v>23</v>
      </c>
      <c r="D361" s="4" t="s">
        <v>43</v>
      </c>
      <c r="E361" s="4" t="s">
        <v>54</v>
      </c>
      <c r="F361" s="4" t="s">
        <v>53</v>
      </c>
      <c r="G361" s="4" t="s">
        <v>25</v>
      </c>
      <c r="H361" s="4" t="s">
        <v>25</v>
      </c>
      <c r="I361" s="5">
        <v>44593</v>
      </c>
      <c r="J361" s="6">
        <v>0</v>
      </c>
      <c r="K361" s="6">
        <v>0</v>
      </c>
      <c r="L361" s="6">
        <v>2.4489999999999998</v>
      </c>
      <c r="M361" s="6">
        <v>0.97960000000000003</v>
      </c>
      <c r="N361" s="6">
        <v>2.4489999999999998</v>
      </c>
      <c r="O361" s="6">
        <v>0.97960000000000003</v>
      </c>
      <c r="P361" s="6">
        <v>0</v>
      </c>
      <c r="Q361" s="4" t="s">
        <v>26</v>
      </c>
      <c r="R361" s="4">
        <v>0</v>
      </c>
      <c r="S361" s="6">
        <v>0</v>
      </c>
      <c r="T361" s="6">
        <v>30</v>
      </c>
      <c r="U361" s="6">
        <v>74</v>
      </c>
      <c r="V361" s="6">
        <f>IF(ISERROR(VLOOKUP($S$361,'TAR FIN'!$A$1:$O$91,15,0)),0,VLOOKUP($S$361,'TAR FIN'!$A$1:$O$91,15,0))</f>
        <v>0</v>
      </c>
      <c r="W361" s="6">
        <f>IF(ISERROR(VLOOKUP($T$361,'TAR FIN'!$A$1:$O$91,15,0)),0,VLOOKUP($T$361,'TAR FIN'!$A$1:$O$91,15,0))</f>
        <v>236.77</v>
      </c>
      <c r="X361" s="6">
        <f>IF(ISERROR(VLOOKUP($U$361,'TAR FIN'!$A$1:$O$91,15,0)),0,VLOOKUP($U$361,'TAR FIN'!$A$1:$O$91,15,0))</f>
        <v>117.89</v>
      </c>
      <c r="Y361" s="6"/>
      <c r="Z361" s="6">
        <f ca="1">('TUSD BE'!$AM$37+'TUSD BF'!$AM$37+'TUSD CVA'!$AM$37)*(1-CUSTOS!$M$38)</f>
        <v>323.18581193481282</v>
      </c>
      <c r="AA361" s="6">
        <f>('TE BE'!$AB$25+'TE BF'!$AB$25+'TE CVA'!$AB$25)*(1-CUSTOS!$M$38)</f>
        <v>107.87938095628944</v>
      </c>
      <c r="AB361" s="6">
        <f>$K$361*$V$361</f>
        <v>0</v>
      </c>
      <c r="AC361" s="6">
        <f>$M$361*$W$361</f>
        <v>231.93989200000001</v>
      </c>
      <c r="AD361" s="6">
        <f>$O$361*$X$361</f>
        <v>115.485044</v>
      </c>
      <c r="AE361" s="6">
        <f>$K$361*$Y$361</f>
        <v>0</v>
      </c>
      <c r="AF361" s="6">
        <f ca="1">$M$361*$Z$361</f>
        <v>316.59282137134267</v>
      </c>
      <c r="AG361" s="6">
        <f>$O$361*$AA$361</f>
        <v>105.67864158478113</v>
      </c>
    </row>
    <row r="362" spans="1:33" ht="11.25" customHeight="1" x14ac:dyDescent="0.25">
      <c r="A362" s="4" t="s">
        <v>21</v>
      </c>
      <c r="B362" s="4" t="s">
        <v>42</v>
      </c>
      <c r="C362" s="4" t="s">
        <v>23</v>
      </c>
      <c r="D362" s="4" t="s">
        <v>43</v>
      </c>
      <c r="E362" s="4" t="s">
        <v>54</v>
      </c>
      <c r="F362" s="4" t="s">
        <v>53</v>
      </c>
      <c r="G362" s="4" t="s">
        <v>25</v>
      </c>
      <c r="H362" s="4" t="s">
        <v>25</v>
      </c>
      <c r="I362" s="5">
        <v>44621</v>
      </c>
      <c r="J362" s="6">
        <v>0</v>
      </c>
      <c r="K362" s="6">
        <v>0</v>
      </c>
      <c r="L362" s="6">
        <v>3.2210000000000001</v>
      </c>
      <c r="M362" s="6">
        <v>1.2884</v>
      </c>
      <c r="N362" s="6">
        <v>3.2210000000000001</v>
      </c>
      <c r="O362" s="6">
        <v>1.2884</v>
      </c>
      <c r="P362" s="6">
        <v>0</v>
      </c>
      <c r="Q362" s="4" t="s">
        <v>26</v>
      </c>
      <c r="R362" s="4">
        <v>0</v>
      </c>
      <c r="S362" s="6">
        <v>0</v>
      </c>
      <c r="T362" s="6">
        <v>30</v>
      </c>
      <c r="U362" s="6">
        <v>74</v>
      </c>
      <c r="V362" s="6">
        <f>IF(ISERROR(VLOOKUP($S$362,'TAR FIN'!$A$1:$O$91,15,0)),0,VLOOKUP($S$362,'TAR FIN'!$A$1:$O$91,15,0))</f>
        <v>0</v>
      </c>
      <c r="W362" s="6">
        <f>IF(ISERROR(VLOOKUP($T$362,'TAR FIN'!$A$1:$O$91,15,0)),0,VLOOKUP($T$362,'TAR FIN'!$A$1:$O$91,15,0))</f>
        <v>236.77</v>
      </c>
      <c r="X362" s="6">
        <f>IF(ISERROR(VLOOKUP($U$362,'TAR FIN'!$A$1:$O$91,15,0)),0,VLOOKUP($U$362,'TAR FIN'!$A$1:$O$91,15,0))</f>
        <v>117.89</v>
      </c>
      <c r="Y362" s="6"/>
      <c r="Z362" s="6">
        <f ca="1">('TUSD BE'!$AM$37+'TUSD BF'!$AM$37+'TUSD CVA'!$AM$37)*(1-CUSTOS!$M$38)</f>
        <v>323.18581193481282</v>
      </c>
      <c r="AA362" s="6">
        <f>('TE BE'!$AB$25+'TE BF'!$AB$25+'TE CVA'!$AB$25)*(1-CUSTOS!$M$38)</f>
        <v>107.87938095628944</v>
      </c>
      <c r="AB362" s="6">
        <f>$K$362*$V$362</f>
        <v>0</v>
      </c>
      <c r="AC362" s="6">
        <f>$M$362*$W$362</f>
        <v>305.05446799999999</v>
      </c>
      <c r="AD362" s="6">
        <f>$O$362*$X$362</f>
        <v>151.889476</v>
      </c>
      <c r="AE362" s="6">
        <f>$K$362*$Y$362</f>
        <v>0</v>
      </c>
      <c r="AF362" s="6">
        <f ca="1">$M$362*$Z$362</f>
        <v>416.39260009681283</v>
      </c>
      <c r="AG362" s="6">
        <f>$O$362*$AA$362</f>
        <v>138.99179442408331</v>
      </c>
    </row>
    <row r="363" spans="1:33" ht="11.25" customHeight="1" x14ac:dyDescent="0.25">
      <c r="A363" s="4" t="s">
        <v>21</v>
      </c>
      <c r="B363" s="4" t="s">
        <v>42</v>
      </c>
      <c r="C363" s="4" t="s">
        <v>23</v>
      </c>
      <c r="D363" s="4" t="s">
        <v>43</v>
      </c>
      <c r="E363" s="4" t="s">
        <v>54</v>
      </c>
      <c r="F363" s="4" t="s">
        <v>53</v>
      </c>
      <c r="G363" s="4" t="s">
        <v>25</v>
      </c>
      <c r="H363" s="4" t="s">
        <v>25</v>
      </c>
      <c r="I363" s="5">
        <v>44652</v>
      </c>
      <c r="J363" s="6">
        <v>0</v>
      </c>
      <c r="K363" s="6">
        <v>0</v>
      </c>
      <c r="L363" s="6">
        <v>2.9910000000000001</v>
      </c>
      <c r="M363" s="6">
        <v>1.1963999999999999</v>
      </c>
      <c r="N363" s="6">
        <v>2.9910000000000001</v>
      </c>
      <c r="O363" s="6">
        <v>1.1963999999999999</v>
      </c>
      <c r="P363" s="6">
        <v>0</v>
      </c>
      <c r="Q363" s="4" t="s">
        <v>26</v>
      </c>
      <c r="R363" s="4">
        <v>0</v>
      </c>
      <c r="S363" s="6">
        <v>0</v>
      </c>
      <c r="T363" s="6">
        <v>30</v>
      </c>
      <c r="U363" s="6">
        <v>74</v>
      </c>
      <c r="V363" s="6">
        <f>IF(ISERROR(VLOOKUP($S$363,'TAR FIN'!$A$1:$O$91,15,0)),0,VLOOKUP($S$363,'TAR FIN'!$A$1:$O$91,15,0))</f>
        <v>0</v>
      </c>
      <c r="W363" s="6">
        <f>IF(ISERROR(VLOOKUP($T$363,'TAR FIN'!$A$1:$O$91,15,0)),0,VLOOKUP($T$363,'TAR FIN'!$A$1:$O$91,15,0))</f>
        <v>236.77</v>
      </c>
      <c r="X363" s="6">
        <f>IF(ISERROR(VLOOKUP($U$363,'TAR FIN'!$A$1:$O$91,15,0)),0,VLOOKUP($U$363,'TAR FIN'!$A$1:$O$91,15,0))</f>
        <v>117.89</v>
      </c>
      <c r="Y363" s="6"/>
      <c r="Z363" s="6">
        <f ca="1">('TUSD BE'!$AM$37+'TUSD BF'!$AM$37+'TUSD CVA'!$AM$37)*(1-CUSTOS!$M$38)</f>
        <v>323.18581193481282</v>
      </c>
      <c r="AA363" s="6">
        <f>('TE BE'!$AB$25+'TE BF'!$AB$25+'TE CVA'!$AB$25)*(1-CUSTOS!$M$38)</f>
        <v>107.87938095628944</v>
      </c>
      <c r="AB363" s="6">
        <f>$K$363*$V$363</f>
        <v>0</v>
      </c>
      <c r="AC363" s="6">
        <f>$M$363*$W$363</f>
        <v>283.27162799999996</v>
      </c>
      <c r="AD363" s="6">
        <f>$O$363*$X$363</f>
        <v>141.04359599999998</v>
      </c>
      <c r="AE363" s="6">
        <f>$K$363*$Y$363</f>
        <v>0</v>
      </c>
      <c r="AF363" s="6">
        <f ca="1">$M$363*$Z$363</f>
        <v>386.65950539881004</v>
      </c>
      <c r="AG363" s="6">
        <f>$O$363*$AA$363</f>
        <v>129.06689137610468</v>
      </c>
    </row>
    <row r="364" spans="1:33" ht="11.25" customHeight="1" x14ac:dyDescent="0.25">
      <c r="A364" s="4" t="s">
        <v>21</v>
      </c>
      <c r="B364" s="4" t="s">
        <v>42</v>
      </c>
      <c r="C364" s="4" t="s">
        <v>23</v>
      </c>
      <c r="D364" s="4" t="s">
        <v>43</v>
      </c>
      <c r="E364" s="4" t="s">
        <v>54</v>
      </c>
      <c r="F364" s="4" t="s">
        <v>53</v>
      </c>
      <c r="G364" s="4" t="s">
        <v>25</v>
      </c>
      <c r="H364" s="4" t="s">
        <v>25</v>
      </c>
      <c r="I364" s="5">
        <v>44682</v>
      </c>
      <c r="J364" s="6">
        <v>0</v>
      </c>
      <c r="K364" s="6">
        <v>0</v>
      </c>
      <c r="L364" s="6">
        <v>2.02</v>
      </c>
      <c r="M364" s="6">
        <v>0.80800000000000005</v>
      </c>
      <c r="N364" s="6">
        <v>2.02</v>
      </c>
      <c r="O364" s="6">
        <v>0.80800000000000005</v>
      </c>
      <c r="P364" s="6">
        <v>0</v>
      </c>
      <c r="Q364" s="4" t="s">
        <v>26</v>
      </c>
      <c r="R364" s="4">
        <v>0</v>
      </c>
      <c r="S364" s="6">
        <v>0</v>
      </c>
      <c r="T364" s="6">
        <v>30</v>
      </c>
      <c r="U364" s="6">
        <v>74</v>
      </c>
      <c r="V364" s="6">
        <f>IF(ISERROR(VLOOKUP($S$364,'TAR FIN'!$A$1:$O$91,15,0)),0,VLOOKUP($S$364,'TAR FIN'!$A$1:$O$91,15,0))</f>
        <v>0</v>
      </c>
      <c r="W364" s="6">
        <f>IF(ISERROR(VLOOKUP($T$364,'TAR FIN'!$A$1:$O$91,15,0)),0,VLOOKUP($T$364,'TAR FIN'!$A$1:$O$91,15,0))</f>
        <v>236.77</v>
      </c>
      <c r="X364" s="6">
        <f>IF(ISERROR(VLOOKUP($U$364,'TAR FIN'!$A$1:$O$91,15,0)),0,VLOOKUP($U$364,'TAR FIN'!$A$1:$O$91,15,0))</f>
        <v>117.89</v>
      </c>
      <c r="Y364" s="6"/>
      <c r="Z364" s="6">
        <f ca="1">('TUSD BE'!$AM$37+'TUSD BF'!$AM$37+'TUSD CVA'!$AM$37)*(1-CUSTOS!$M$38)</f>
        <v>323.18581193481282</v>
      </c>
      <c r="AA364" s="6">
        <f>('TE BE'!$AB$25+'TE BF'!$AB$25+'TE CVA'!$AB$25)*(1-CUSTOS!$M$38)</f>
        <v>107.87938095628944</v>
      </c>
      <c r="AB364" s="6">
        <f>$K$364*$V$364</f>
        <v>0</v>
      </c>
      <c r="AC364" s="6">
        <f>$M$364*$W$364</f>
        <v>191.31016000000002</v>
      </c>
      <c r="AD364" s="6">
        <f>$O$364*$X$364</f>
        <v>95.255120000000005</v>
      </c>
      <c r="AE364" s="6">
        <f>$K$364*$Y$364</f>
        <v>0</v>
      </c>
      <c r="AF364" s="6">
        <f ca="1">$M$364*$Z$364</f>
        <v>261.13413604332879</v>
      </c>
      <c r="AG364" s="6">
        <f>$O$364*$AA$364</f>
        <v>87.166539812681876</v>
      </c>
    </row>
    <row r="365" spans="1:33" ht="11.25" customHeight="1" x14ac:dyDescent="0.25">
      <c r="A365" s="4" t="s">
        <v>21</v>
      </c>
      <c r="B365" s="4" t="s">
        <v>42</v>
      </c>
      <c r="C365" s="4" t="s">
        <v>23</v>
      </c>
      <c r="D365" s="4" t="s">
        <v>43</v>
      </c>
      <c r="E365" s="4" t="s">
        <v>54</v>
      </c>
      <c r="F365" s="4" t="s">
        <v>53</v>
      </c>
      <c r="G365" s="4" t="s">
        <v>25</v>
      </c>
      <c r="H365" s="4" t="s">
        <v>25</v>
      </c>
      <c r="I365" s="5">
        <v>44713</v>
      </c>
      <c r="J365" s="6">
        <v>0</v>
      </c>
      <c r="K365" s="6">
        <v>0</v>
      </c>
      <c r="L365" s="6">
        <v>1.109</v>
      </c>
      <c r="M365" s="6">
        <v>0.44359999999999999</v>
      </c>
      <c r="N365" s="6">
        <v>1.109</v>
      </c>
      <c r="O365" s="6">
        <v>0.44359999999999999</v>
      </c>
      <c r="P365" s="6">
        <v>0</v>
      </c>
      <c r="Q365" s="4" t="s">
        <v>26</v>
      </c>
      <c r="R365" s="4">
        <v>0</v>
      </c>
      <c r="S365" s="6">
        <v>0</v>
      </c>
      <c r="T365" s="6">
        <v>30</v>
      </c>
      <c r="U365" s="6">
        <v>74</v>
      </c>
      <c r="V365" s="6">
        <f>IF(ISERROR(VLOOKUP($S$365,'TAR FIN'!$A$1:$O$91,15,0)),0,VLOOKUP($S$365,'TAR FIN'!$A$1:$O$91,15,0))</f>
        <v>0</v>
      </c>
      <c r="W365" s="6">
        <f>IF(ISERROR(VLOOKUP($T$365,'TAR FIN'!$A$1:$O$91,15,0)),0,VLOOKUP($T$365,'TAR FIN'!$A$1:$O$91,15,0))</f>
        <v>236.77</v>
      </c>
      <c r="X365" s="6">
        <f>IF(ISERROR(VLOOKUP($U$365,'TAR FIN'!$A$1:$O$91,15,0)),0,VLOOKUP($U$365,'TAR FIN'!$A$1:$O$91,15,0))</f>
        <v>117.89</v>
      </c>
      <c r="Y365" s="6"/>
      <c r="Z365" s="6">
        <f ca="1">('TUSD BE'!$AM$37+'TUSD BF'!$AM$37+'TUSD CVA'!$AM$37)*(1-CUSTOS!$M$38)</f>
        <v>323.18581193481282</v>
      </c>
      <c r="AA365" s="6">
        <f>('TE BE'!$AB$25+'TE BF'!$AB$25+'TE CVA'!$AB$25)*(1-CUSTOS!$M$38)</f>
        <v>107.87938095628944</v>
      </c>
      <c r="AB365" s="6">
        <f>$K$365*$V$365</f>
        <v>0</v>
      </c>
      <c r="AC365" s="6">
        <f>$M$365*$W$365</f>
        <v>105.031172</v>
      </c>
      <c r="AD365" s="6">
        <f>$O$365*$X$365</f>
        <v>52.296003999999996</v>
      </c>
      <c r="AE365" s="6">
        <f>$K$365*$Y$365</f>
        <v>0</v>
      </c>
      <c r="AF365" s="6">
        <f ca="1">$M$365*$Z$365</f>
        <v>143.36522617428295</v>
      </c>
      <c r="AG365" s="6">
        <f>$O$365*$AA$365</f>
        <v>47.855293392209994</v>
      </c>
    </row>
    <row r="366" spans="1:33" ht="11.25" customHeight="1" x14ac:dyDescent="0.25">
      <c r="A366" s="4" t="s">
        <v>21</v>
      </c>
      <c r="B366" s="4" t="s">
        <v>42</v>
      </c>
      <c r="C366" s="4" t="s">
        <v>23</v>
      </c>
      <c r="D366" s="4" t="s">
        <v>43</v>
      </c>
      <c r="E366" s="4" t="s">
        <v>54</v>
      </c>
      <c r="F366" s="4" t="s">
        <v>53</v>
      </c>
      <c r="G366" s="4" t="s">
        <v>25</v>
      </c>
      <c r="H366" s="4" t="s">
        <v>25</v>
      </c>
      <c r="I366" s="5">
        <v>44743</v>
      </c>
      <c r="J366" s="6">
        <v>0</v>
      </c>
      <c r="K366" s="6">
        <v>0</v>
      </c>
      <c r="L366" s="6">
        <v>0.14799999999999999</v>
      </c>
      <c r="M366" s="6">
        <v>5.9200000000000003E-2</v>
      </c>
      <c r="N366" s="6">
        <v>0.14799999999999999</v>
      </c>
      <c r="O366" s="6">
        <v>5.9200000000000003E-2</v>
      </c>
      <c r="P366" s="6">
        <v>0</v>
      </c>
      <c r="Q366" s="4" t="s">
        <v>26</v>
      </c>
      <c r="R366" s="4">
        <v>0</v>
      </c>
      <c r="S366" s="6">
        <v>0</v>
      </c>
      <c r="T366" s="6">
        <v>30</v>
      </c>
      <c r="U366" s="6">
        <v>74</v>
      </c>
      <c r="V366" s="6">
        <f>IF(ISERROR(VLOOKUP($S$366,'TAR FIN'!$A$1:$O$91,15,0)),0,VLOOKUP($S$366,'TAR FIN'!$A$1:$O$91,15,0))</f>
        <v>0</v>
      </c>
      <c r="W366" s="6">
        <f>IF(ISERROR(VLOOKUP($T$366,'TAR FIN'!$A$1:$O$91,15,0)),0,VLOOKUP($T$366,'TAR FIN'!$A$1:$O$91,15,0))</f>
        <v>236.77</v>
      </c>
      <c r="X366" s="6">
        <f>IF(ISERROR(VLOOKUP($U$366,'TAR FIN'!$A$1:$O$91,15,0)),0,VLOOKUP($U$366,'TAR FIN'!$A$1:$O$91,15,0))</f>
        <v>117.89</v>
      </c>
      <c r="Y366" s="6"/>
      <c r="Z366" s="6">
        <f ca="1">('TUSD BE'!$AM$37+'TUSD BF'!$AM$37+'TUSD CVA'!$AM$37)*(1-CUSTOS!$M$38)</f>
        <v>323.18581193481282</v>
      </c>
      <c r="AA366" s="6">
        <f>('TE BE'!$AB$25+'TE BF'!$AB$25+'TE CVA'!$AB$25)*(1-CUSTOS!$M$38)</f>
        <v>107.87938095628944</v>
      </c>
      <c r="AB366" s="6">
        <f>$K$366*$V$366</f>
        <v>0</v>
      </c>
      <c r="AC366" s="6">
        <f>$M$366*$W$366</f>
        <v>14.016784000000001</v>
      </c>
      <c r="AD366" s="6">
        <f>$O$366*$X$366</f>
        <v>6.979088</v>
      </c>
      <c r="AE366" s="6">
        <f>$K$366*$Y$366</f>
        <v>0</v>
      </c>
      <c r="AF366" s="6">
        <f ca="1">$M$366*$Z$366</f>
        <v>19.13260006654092</v>
      </c>
      <c r="AG366" s="6">
        <f>$O$366*$AA$366</f>
        <v>6.3864593526123352</v>
      </c>
    </row>
    <row r="367" spans="1:33" ht="11.25" customHeight="1" x14ac:dyDescent="0.25">
      <c r="A367" s="4" t="s">
        <v>57</v>
      </c>
      <c r="B367" s="4" t="s">
        <v>42</v>
      </c>
      <c r="C367" s="4" t="s">
        <v>23</v>
      </c>
      <c r="D367" s="4" t="s">
        <v>43</v>
      </c>
      <c r="E367" s="4" t="s">
        <v>54</v>
      </c>
      <c r="F367" s="4" t="s">
        <v>53</v>
      </c>
      <c r="G367" s="4" t="s">
        <v>25</v>
      </c>
      <c r="H367" s="4" t="s">
        <v>25</v>
      </c>
      <c r="I367" s="5">
        <v>44774</v>
      </c>
      <c r="J367" s="6">
        <v>0</v>
      </c>
      <c r="K367" s="6">
        <v>0</v>
      </c>
      <c r="L367" s="6">
        <v>0.14799999999999999</v>
      </c>
      <c r="M367" s="6">
        <v>5.9200000000000003E-2</v>
      </c>
      <c r="N367" s="6">
        <v>0.14799999999999999</v>
      </c>
      <c r="O367" s="6">
        <v>5.9200000000000003E-2</v>
      </c>
      <c r="P367" s="6">
        <v>0</v>
      </c>
      <c r="Q367" s="4" t="s">
        <v>26</v>
      </c>
      <c r="R367" s="4">
        <v>0</v>
      </c>
      <c r="S367" s="6">
        <v>0</v>
      </c>
      <c r="T367" s="6">
        <v>30</v>
      </c>
      <c r="U367" s="6">
        <v>74</v>
      </c>
      <c r="V367" s="6">
        <f>IF(ISERROR(VLOOKUP($S$367,'TAR FIN'!$A$1:$O$91,15,0)),0,VLOOKUP($S$367,'TAR FIN'!$A$1:$O$91,15,0))</f>
        <v>0</v>
      </c>
      <c r="W367" s="6">
        <f>IF(ISERROR(VLOOKUP($T$367,'TAR FIN'!$A$1:$O$91,15,0)),0,VLOOKUP($T$367,'TAR FIN'!$A$1:$O$91,15,0))</f>
        <v>236.77</v>
      </c>
      <c r="X367" s="6">
        <f>IF(ISERROR(VLOOKUP($U$367,'TAR FIN'!$A$1:$O$91,15,0)),0,VLOOKUP($U$367,'TAR FIN'!$A$1:$O$91,15,0))</f>
        <v>117.89</v>
      </c>
      <c r="Y367" s="6"/>
      <c r="Z367" s="6">
        <f ca="1">('TUSD BE'!$AM$37+'TUSD BF'!$AM$37+'TUSD CVA'!$AM$37)*(1-CUSTOS!$M$38)</f>
        <v>323.18581193481282</v>
      </c>
      <c r="AA367" s="6">
        <f>('TE BE'!$AB$25+'TE BF'!$AB$25+'TE CVA'!$AB$25)*(1-CUSTOS!$M$38)</f>
        <v>107.87938095628944</v>
      </c>
      <c r="AB367" s="6">
        <f>$K$367*$V$367</f>
        <v>0</v>
      </c>
      <c r="AC367" s="6">
        <f>$M$367*$W$367</f>
        <v>14.016784000000001</v>
      </c>
      <c r="AD367" s="6">
        <f>$O$367*$X$367</f>
        <v>6.979088</v>
      </c>
      <c r="AE367" s="6">
        <f>$K$367*$Y$367</f>
        <v>0</v>
      </c>
      <c r="AF367" s="6">
        <f ca="1">$M$367*$Z$367</f>
        <v>19.13260006654092</v>
      </c>
      <c r="AG367" s="6">
        <f>$O$367*$AA$367</f>
        <v>6.3864593526123352</v>
      </c>
    </row>
    <row r="368" spans="1:33" ht="11.25" customHeight="1" x14ac:dyDescent="0.25">
      <c r="A368" s="4" t="s">
        <v>21</v>
      </c>
      <c r="B368" s="4" t="s">
        <v>42</v>
      </c>
      <c r="C368" s="4" t="s">
        <v>23</v>
      </c>
      <c r="D368" s="4" t="s">
        <v>43</v>
      </c>
      <c r="E368" s="4" t="s">
        <v>25</v>
      </c>
      <c r="F368" s="4" t="s">
        <v>25</v>
      </c>
      <c r="G368" s="4" t="s">
        <v>25</v>
      </c>
      <c r="H368" s="4" t="s">
        <v>25</v>
      </c>
      <c r="I368" s="5">
        <v>44440</v>
      </c>
      <c r="J368" s="6">
        <v>0</v>
      </c>
      <c r="K368" s="6">
        <v>0</v>
      </c>
      <c r="L368" s="6">
        <v>1132.354</v>
      </c>
      <c r="M368" s="6">
        <v>1132.354</v>
      </c>
      <c r="N368" s="6">
        <v>1132.354</v>
      </c>
      <c r="O368" s="6">
        <v>1132.354</v>
      </c>
      <c r="P368" s="6">
        <v>2356</v>
      </c>
      <c r="Q368" s="4" t="s">
        <v>26</v>
      </c>
      <c r="R368" s="4">
        <v>0</v>
      </c>
      <c r="S368" s="6">
        <v>0</v>
      </c>
      <c r="T368" s="6">
        <v>30</v>
      </c>
      <c r="U368" s="6">
        <v>74</v>
      </c>
      <c r="V368" s="6">
        <f>IF(ISERROR(VLOOKUP($S$368,'TAR FIN'!$A$1:$O$91,15,0)),0,VLOOKUP($S$368,'TAR FIN'!$A$1:$O$91,15,0))</f>
        <v>0</v>
      </c>
      <c r="W368" s="6">
        <f>IF(ISERROR(VLOOKUP($T$368,'TAR FIN'!$A$1:$O$91,15,0)),0,VLOOKUP($T$368,'TAR FIN'!$A$1:$O$91,15,0))</f>
        <v>236.77</v>
      </c>
      <c r="X368" s="6">
        <f>IF(ISERROR(VLOOKUP($U$368,'TAR FIN'!$A$1:$O$91,15,0)),0,VLOOKUP($U$368,'TAR FIN'!$A$1:$O$91,15,0))</f>
        <v>117.89</v>
      </c>
      <c r="Y368" s="6"/>
      <c r="Z368" s="6">
        <f ca="1">('TUSD BE'!$AM$37+'TUSD BF'!$AM$37+'TUSD CVA'!$AM$37)*(1-CUSTOS!$M$38)</f>
        <v>323.18581193481282</v>
      </c>
      <c r="AA368" s="6">
        <f>('TE BE'!$AB$25+'TE BF'!$AB$25+'TE CVA'!$AB$25)*(1-CUSTOS!$M$38)</f>
        <v>107.87938095628944</v>
      </c>
      <c r="AB368" s="6">
        <f>$K$368*$V$368</f>
        <v>0</v>
      </c>
      <c r="AC368" s="6">
        <f>$M$368*$W$368</f>
        <v>268107.45658</v>
      </c>
      <c r="AD368" s="6">
        <f>$O$368*$X$368</f>
        <v>133493.21306000001</v>
      </c>
      <c r="AE368" s="6">
        <f>$K$368*$Y$368</f>
        <v>0</v>
      </c>
      <c r="AF368" s="6">
        <f ca="1">$M$368*$Z$368</f>
        <v>365960.74688763305</v>
      </c>
      <c r="AG368" s="6">
        <f>$O$368*$AA$368</f>
        <v>122157.64854337818</v>
      </c>
    </row>
    <row r="369" spans="1:33" ht="11.25" customHeight="1" x14ac:dyDescent="0.25">
      <c r="A369" s="4" t="s">
        <v>28</v>
      </c>
      <c r="B369" s="4" t="s">
        <v>42</v>
      </c>
      <c r="C369" s="4" t="s">
        <v>23</v>
      </c>
      <c r="D369" s="4" t="s">
        <v>43</v>
      </c>
      <c r="E369" s="4" t="s">
        <v>25</v>
      </c>
      <c r="F369" s="4" t="s">
        <v>25</v>
      </c>
      <c r="G369" s="4" t="s">
        <v>25</v>
      </c>
      <c r="H369" s="4" t="s">
        <v>25</v>
      </c>
      <c r="I369" s="5">
        <v>44440</v>
      </c>
      <c r="J369" s="6">
        <v>0</v>
      </c>
      <c r="K369" s="6">
        <v>0</v>
      </c>
      <c r="L369" s="6">
        <v>17.155000000000001</v>
      </c>
      <c r="M369" s="6">
        <v>17.155000000000001</v>
      </c>
      <c r="N369" s="6">
        <v>17.155000000000001</v>
      </c>
      <c r="O369" s="6">
        <v>17.155000000000001</v>
      </c>
      <c r="P369" s="6">
        <v>16</v>
      </c>
      <c r="Q369" s="4" t="s">
        <v>26</v>
      </c>
      <c r="R369" s="4">
        <v>0</v>
      </c>
      <c r="S369" s="6">
        <v>0</v>
      </c>
      <c r="T369" s="6">
        <v>30</v>
      </c>
      <c r="U369" s="6">
        <v>74</v>
      </c>
      <c r="V369" s="6">
        <f>IF(ISERROR(VLOOKUP($S$369,'TAR FIN'!$A$1:$O$91,15,0)),0,VLOOKUP($S$369,'TAR FIN'!$A$1:$O$91,15,0))</f>
        <v>0</v>
      </c>
      <c r="W369" s="6">
        <f>IF(ISERROR(VLOOKUP($T$369,'TAR FIN'!$A$1:$O$91,15,0)),0,VLOOKUP($T$369,'TAR FIN'!$A$1:$O$91,15,0))</f>
        <v>236.77</v>
      </c>
      <c r="X369" s="6">
        <f>IF(ISERROR(VLOOKUP($U$369,'TAR FIN'!$A$1:$O$91,15,0)),0,VLOOKUP($U$369,'TAR FIN'!$A$1:$O$91,15,0))</f>
        <v>117.89</v>
      </c>
      <c r="Y369" s="6"/>
      <c r="Z369" s="6">
        <f ca="1">('TUSD BE'!$AM$37+'TUSD BF'!$AM$37+'TUSD CVA'!$AM$37)*(1-CUSTOS!$M$38)</f>
        <v>323.18581193481282</v>
      </c>
      <c r="AA369" s="6">
        <f>('TE BE'!$AB$25+'TE BF'!$AB$25+'TE CVA'!$AB$25)*(1-CUSTOS!$M$38)</f>
        <v>107.87938095628944</v>
      </c>
      <c r="AB369" s="6">
        <f>$K$369*$V$369</f>
        <v>0</v>
      </c>
      <c r="AC369" s="6">
        <f>$M$369*$W$369</f>
        <v>4061.7893500000005</v>
      </c>
      <c r="AD369" s="6">
        <f>$O$369*$X$369</f>
        <v>2022.4029500000001</v>
      </c>
      <c r="AE369" s="6">
        <f>$K$369*$Y$369</f>
        <v>0</v>
      </c>
      <c r="AF369" s="6">
        <f ca="1">$M$369*$Z$369</f>
        <v>5544.2526037417147</v>
      </c>
      <c r="AG369" s="6">
        <f>$O$369*$AA$369</f>
        <v>1850.6707803051454</v>
      </c>
    </row>
    <row r="370" spans="1:33" ht="11.25" customHeight="1" x14ac:dyDescent="0.25">
      <c r="A370" s="4" t="s">
        <v>21</v>
      </c>
      <c r="B370" s="4" t="s">
        <v>42</v>
      </c>
      <c r="C370" s="4" t="s">
        <v>23</v>
      </c>
      <c r="D370" s="4" t="s">
        <v>43</v>
      </c>
      <c r="E370" s="4" t="s">
        <v>25</v>
      </c>
      <c r="F370" s="4" t="s">
        <v>25</v>
      </c>
      <c r="G370" s="4" t="s">
        <v>25</v>
      </c>
      <c r="H370" s="4" t="s">
        <v>25</v>
      </c>
      <c r="I370" s="5">
        <v>44470</v>
      </c>
      <c r="J370" s="6">
        <v>0</v>
      </c>
      <c r="K370" s="6">
        <v>0</v>
      </c>
      <c r="L370" s="6">
        <v>1150.972</v>
      </c>
      <c r="M370" s="6">
        <v>1150.972</v>
      </c>
      <c r="N370" s="6">
        <v>1150.972</v>
      </c>
      <c r="O370" s="6">
        <v>1150.972</v>
      </c>
      <c r="P370" s="6">
        <v>2375</v>
      </c>
      <c r="Q370" s="4" t="s">
        <v>26</v>
      </c>
      <c r="R370" s="4">
        <v>0</v>
      </c>
      <c r="S370" s="6">
        <v>0</v>
      </c>
      <c r="T370" s="6">
        <v>30</v>
      </c>
      <c r="U370" s="6">
        <v>74</v>
      </c>
      <c r="V370" s="6">
        <f>IF(ISERROR(VLOOKUP($S$370,'TAR FIN'!$A$1:$O$91,15,0)),0,VLOOKUP($S$370,'TAR FIN'!$A$1:$O$91,15,0))</f>
        <v>0</v>
      </c>
      <c r="W370" s="6">
        <f>IF(ISERROR(VLOOKUP($T$370,'TAR FIN'!$A$1:$O$91,15,0)),0,VLOOKUP($T$370,'TAR FIN'!$A$1:$O$91,15,0))</f>
        <v>236.77</v>
      </c>
      <c r="X370" s="6">
        <f>IF(ISERROR(VLOOKUP($U$370,'TAR FIN'!$A$1:$O$91,15,0)),0,VLOOKUP($U$370,'TAR FIN'!$A$1:$O$91,15,0))</f>
        <v>117.89</v>
      </c>
      <c r="Y370" s="6"/>
      <c r="Z370" s="6">
        <f ca="1">('TUSD BE'!$AM$37+'TUSD BF'!$AM$37+'TUSD CVA'!$AM$37)*(1-CUSTOS!$M$38)</f>
        <v>323.18581193481282</v>
      </c>
      <c r="AA370" s="6">
        <f>('TE BE'!$AB$25+'TE BF'!$AB$25+'TE CVA'!$AB$25)*(1-CUSTOS!$M$38)</f>
        <v>107.87938095628944</v>
      </c>
      <c r="AB370" s="6">
        <f>$K$370*$V$370</f>
        <v>0</v>
      </c>
      <c r="AC370" s="6">
        <f>$M$370*$W$370</f>
        <v>272515.64043999999</v>
      </c>
      <c r="AD370" s="6">
        <f>$O$370*$X$370</f>
        <v>135688.08908000001</v>
      </c>
      <c r="AE370" s="6">
        <f>$K$370*$Y$370</f>
        <v>0</v>
      </c>
      <c r="AF370" s="6">
        <f ca="1">$M$370*$Z$370</f>
        <v>371977.82033423538</v>
      </c>
      <c r="AG370" s="6">
        <f>$O$370*$AA$370</f>
        <v>124166.14685802236</v>
      </c>
    </row>
    <row r="371" spans="1:33" ht="11.25" customHeight="1" x14ac:dyDescent="0.25">
      <c r="A371" s="4" t="s">
        <v>28</v>
      </c>
      <c r="B371" s="4" t="s">
        <v>42</v>
      </c>
      <c r="C371" s="4" t="s">
        <v>23</v>
      </c>
      <c r="D371" s="4" t="s">
        <v>43</v>
      </c>
      <c r="E371" s="4" t="s">
        <v>25</v>
      </c>
      <c r="F371" s="4" t="s">
        <v>25</v>
      </c>
      <c r="G371" s="4" t="s">
        <v>25</v>
      </c>
      <c r="H371" s="4" t="s">
        <v>25</v>
      </c>
      <c r="I371" s="5">
        <v>44470</v>
      </c>
      <c r="J371" s="6">
        <v>0</v>
      </c>
      <c r="K371" s="6">
        <v>0</v>
      </c>
      <c r="L371" s="6">
        <v>22.286000000000001</v>
      </c>
      <c r="M371" s="6">
        <v>22.286000000000001</v>
      </c>
      <c r="N371" s="6">
        <v>22.286000000000001</v>
      </c>
      <c r="O371" s="6">
        <v>22.286000000000001</v>
      </c>
      <c r="P371" s="6">
        <v>15</v>
      </c>
      <c r="Q371" s="4" t="s">
        <v>26</v>
      </c>
      <c r="R371" s="4">
        <v>0</v>
      </c>
      <c r="S371" s="6">
        <v>0</v>
      </c>
      <c r="T371" s="6">
        <v>30</v>
      </c>
      <c r="U371" s="6">
        <v>74</v>
      </c>
      <c r="V371" s="6">
        <f>IF(ISERROR(VLOOKUP($S$371,'TAR FIN'!$A$1:$O$91,15,0)),0,VLOOKUP($S$371,'TAR FIN'!$A$1:$O$91,15,0))</f>
        <v>0</v>
      </c>
      <c r="W371" s="6">
        <f>IF(ISERROR(VLOOKUP($T$371,'TAR FIN'!$A$1:$O$91,15,0)),0,VLOOKUP($T$371,'TAR FIN'!$A$1:$O$91,15,0))</f>
        <v>236.77</v>
      </c>
      <c r="X371" s="6">
        <f>IF(ISERROR(VLOOKUP($U$371,'TAR FIN'!$A$1:$O$91,15,0)),0,VLOOKUP($U$371,'TAR FIN'!$A$1:$O$91,15,0))</f>
        <v>117.89</v>
      </c>
      <c r="Y371" s="6"/>
      <c r="Z371" s="6">
        <f ca="1">('TUSD BE'!$AM$37+'TUSD BF'!$AM$37+'TUSD CVA'!$AM$37)*(1-CUSTOS!$M$38)</f>
        <v>323.18581193481282</v>
      </c>
      <c r="AA371" s="6">
        <f>('TE BE'!$AB$25+'TE BF'!$AB$25+'TE CVA'!$AB$25)*(1-CUSTOS!$M$38)</f>
        <v>107.87938095628944</v>
      </c>
      <c r="AB371" s="6">
        <f>$K$371*$V$371</f>
        <v>0</v>
      </c>
      <c r="AC371" s="6">
        <f>$M$371*$W$371</f>
        <v>5276.6562200000008</v>
      </c>
      <c r="AD371" s="6">
        <f>$O$371*$X$371</f>
        <v>2627.2965400000003</v>
      </c>
      <c r="AE371" s="6">
        <f>$K$371*$Y$371</f>
        <v>0</v>
      </c>
      <c r="AF371" s="6">
        <f ca="1">$M$371*$Z$371</f>
        <v>7202.5190047792394</v>
      </c>
      <c r="AG371" s="6">
        <f>$O$371*$AA$371</f>
        <v>2404.1998839918665</v>
      </c>
    </row>
    <row r="372" spans="1:33" ht="11.25" customHeight="1" x14ac:dyDescent="0.25">
      <c r="A372" s="4" t="s">
        <v>21</v>
      </c>
      <c r="B372" s="4" t="s">
        <v>42</v>
      </c>
      <c r="C372" s="4" t="s">
        <v>23</v>
      </c>
      <c r="D372" s="4" t="s">
        <v>43</v>
      </c>
      <c r="E372" s="4" t="s">
        <v>25</v>
      </c>
      <c r="F372" s="4" t="s">
        <v>25</v>
      </c>
      <c r="G372" s="4" t="s">
        <v>25</v>
      </c>
      <c r="H372" s="4" t="s">
        <v>25</v>
      </c>
      <c r="I372" s="5">
        <v>44501</v>
      </c>
      <c r="J372" s="6">
        <v>0</v>
      </c>
      <c r="K372" s="6">
        <v>0</v>
      </c>
      <c r="L372" s="6">
        <v>1227.769</v>
      </c>
      <c r="M372" s="6">
        <v>1227.769</v>
      </c>
      <c r="N372" s="6">
        <v>1227.769</v>
      </c>
      <c r="O372" s="6">
        <v>1227.769</v>
      </c>
      <c r="P372" s="6">
        <v>2374</v>
      </c>
      <c r="Q372" s="4" t="s">
        <v>26</v>
      </c>
      <c r="R372" s="4">
        <v>0</v>
      </c>
      <c r="S372" s="6">
        <v>0</v>
      </c>
      <c r="T372" s="6">
        <v>30</v>
      </c>
      <c r="U372" s="6">
        <v>74</v>
      </c>
      <c r="V372" s="6">
        <f>IF(ISERROR(VLOOKUP($S$372,'TAR FIN'!$A$1:$O$91,15,0)),0,VLOOKUP($S$372,'TAR FIN'!$A$1:$O$91,15,0))</f>
        <v>0</v>
      </c>
      <c r="W372" s="6">
        <f>IF(ISERROR(VLOOKUP($T$372,'TAR FIN'!$A$1:$O$91,15,0)),0,VLOOKUP($T$372,'TAR FIN'!$A$1:$O$91,15,0))</f>
        <v>236.77</v>
      </c>
      <c r="X372" s="6">
        <f>IF(ISERROR(VLOOKUP($U$372,'TAR FIN'!$A$1:$O$91,15,0)),0,VLOOKUP($U$372,'TAR FIN'!$A$1:$O$91,15,0))</f>
        <v>117.89</v>
      </c>
      <c r="Y372" s="6"/>
      <c r="Z372" s="6">
        <f ca="1">('TUSD BE'!$AM$37+'TUSD BF'!$AM$37+'TUSD CVA'!$AM$37)*(1-CUSTOS!$M$38)</f>
        <v>323.18581193481282</v>
      </c>
      <c r="AA372" s="6">
        <f>('TE BE'!$AB$25+'TE BF'!$AB$25+'TE CVA'!$AB$25)*(1-CUSTOS!$M$38)</f>
        <v>107.87938095628944</v>
      </c>
      <c r="AB372" s="6">
        <f>$K$372*$V$372</f>
        <v>0</v>
      </c>
      <c r="AC372" s="6">
        <f>$M$372*$W$372</f>
        <v>290698.86613000004</v>
      </c>
      <c r="AD372" s="6">
        <f>$O$372*$X$372</f>
        <v>144741.68741000001</v>
      </c>
      <c r="AE372" s="6">
        <f>$K$372*$Y$372</f>
        <v>0</v>
      </c>
      <c r="AF372" s="6">
        <f ca="1">$M$372*$Z$372</f>
        <v>396797.52113339322</v>
      </c>
      <c r="AG372" s="6">
        <f>$O$372*$AA$372</f>
        <v>132450.95967732253</v>
      </c>
    </row>
    <row r="373" spans="1:33" ht="11.25" customHeight="1" x14ac:dyDescent="0.25">
      <c r="A373" s="4" t="s">
        <v>28</v>
      </c>
      <c r="B373" s="4" t="s">
        <v>42</v>
      </c>
      <c r="C373" s="4" t="s">
        <v>23</v>
      </c>
      <c r="D373" s="4" t="s">
        <v>43</v>
      </c>
      <c r="E373" s="4" t="s">
        <v>25</v>
      </c>
      <c r="F373" s="4" t="s">
        <v>25</v>
      </c>
      <c r="G373" s="4" t="s">
        <v>25</v>
      </c>
      <c r="H373" s="4" t="s">
        <v>25</v>
      </c>
      <c r="I373" s="5">
        <v>44501</v>
      </c>
      <c r="J373" s="6">
        <v>0</v>
      </c>
      <c r="K373" s="6">
        <v>0</v>
      </c>
      <c r="L373" s="6">
        <v>27.45</v>
      </c>
      <c r="M373" s="6">
        <v>27.45</v>
      </c>
      <c r="N373" s="6">
        <v>27.45</v>
      </c>
      <c r="O373" s="6">
        <v>27.45</v>
      </c>
      <c r="P373" s="6">
        <v>17</v>
      </c>
      <c r="Q373" s="4" t="s">
        <v>26</v>
      </c>
      <c r="R373" s="4">
        <v>0</v>
      </c>
      <c r="S373" s="6">
        <v>0</v>
      </c>
      <c r="T373" s="6">
        <v>30</v>
      </c>
      <c r="U373" s="6">
        <v>74</v>
      </c>
      <c r="V373" s="6">
        <f>IF(ISERROR(VLOOKUP($S$373,'TAR FIN'!$A$1:$O$91,15,0)),0,VLOOKUP($S$373,'TAR FIN'!$A$1:$O$91,15,0))</f>
        <v>0</v>
      </c>
      <c r="W373" s="6">
        <f>IF(ISERROR(VLOOKUP($T$373,'TAR FIN'!$A$1:$O$91,15,0)),0,VLOOKUP($T$373,'TAR FIN'!$A$1:$O$91,15,0))</f>
        <v>236.77</v>
      </c>
      <c r="X373" s="6">
        <f>IF(ISERROR(VLOOKUP($U$373,'TAR FIN'!$A$1:$O$91,15,0)),0,VLOOKUP($U$373,'TAR FIN'!$A$1:$O$91,15,0))</f>
        <v>117.89</v>
      </c>
      <c r="Y373" s="6"/>
      <c r="Z373" s="6">
        <f ca="1">('TUSD BE'!$AM$37+'TUSD BF'!$AM$37+'TUSD CVA'!$AM$37)*(1-CUSTOS!$M$38)</f>
        <v>323.18581193481282</v>
      </c>
      <c r="AA373" s="6">
        <f>('TE BE'!$AB$25+'TE BF'!$AB$25+'TE CVA'!$AB$25)*(1-CUSTOS!$M$38)</f>
        <v>107.87938095628944</v>
      </c>
      <c r="AB373" s="6">
        <f>$K$373*$V$373</f>
        <v>0</v>
      </c>
      <c r="AC373" s="6">
        <f>$M$373*$W$373</f>
        <v>6499.3365000000003</v>
      </c>
      <c r="AD373" s="6">
        <f>$O$373*$X$373</f>
        <v>3236.0805</v>
      </c>
      <c r="AE373" s="6">
        <f>$K$373*$Y$373</f>
        <v>0</v>
      </c>
      <c r="AF373" s="6">
        <f ca="1">$M$373*$Z$373</f>
        <v>8871.4505376106117</v>
      </c>
      <c r="AG373" s="6">
        <f>$O$373*$AA$373</f>
        <v>2961.289007250145</v>
      </c>
    </row>
    <row r="374" spans="1:33" ht="11.25" customHeight="1" x14ac:dyDescent="0.25">
      <c r="A374" s="4" t="s">
        <v>21</v>
      </c>
      <c r="B374" s="4" t="s">
        <v>42</v>
      </c>
      <c r="C374" s="4" t="s">
        <v>23</v>
      </c>
      <c r="D374" s="4" t="s">
        <v>43</v>
      </c>
      <c r="E374" s="4" t="s">
        <v>25</v>
      </c>
      <c r="F374" s="4" t="s">
        <v>25</v>
      </c>
      <c r="G374" s="4" t="s">
        <v>25</v>
      </c>
      <c r="H374" s="4" t="s">
        <v>25</v>
      </c>
      <c r="I374" s="5">
        <v>44531</v>
      </c>
      <c r="J374" s="6">
        <v>0</v>
      </c>
      <c r="K374" s="6">
        <v>0</v>
      </c>
      <c r="L374" s="6">
        <v>1242.847</v>
      </c>
      <c r="M374" s="6">
        <v>1242.847</v>
      </c>
      <c r="N374" s="6">
        <v>1242.847</v>
      </c>
      <c r="O374" s="6">
        <v>1242.847</v>
      </c>
      <c r="P374" s="6">
        <v>2373</v>
      </c>
      <c r="Q374" s="4" t="s">
        <v>26</v>
      </c>
      <c r="R374" s="4">
        <v>0</v>
      </c>
      <c r="S374" s="6">
        <v>0</v>
      </c>
      <c r="T374" s="6">
        <v>30</v>
      </c>
      <c r="U374" s="6">
        <v>74</v>
      </c>
      <c r="V374" s="6">
        <f>IF(ISERROR(VLOOKUP($S$374,'TAR FIN'!$A$1:$O$91,15,0)),0,VLOOKUP($S$374,'TAR FIN'!$A$1:$O$91,15,0))</f>
        <v>0</v>
      </c>
      <c r="W374" s="6">
        <f>IF(ISERROR(VLOOKUP($T$374,'TAR FIN'!$A$1:$O$91,15,0)),0,VLOOKUP($T$374,'TAR FIN'!$A$1:$O$91,15,0))</f>
        <v>236.77</v>
      </c>
      <c r="X374" s="6">
        <f>IF(ISERROR(VLOOKUP($U$374,'TAR FIN'!$A$1:$O$91,15,0)),0,VLOOKUP($U$374,'TAR FIN'!$A$1:$O$91,15,0))</f>
        <v>117.89</v>
      </c>
      <c r="Y374" s="6"/>
      <c r="Z374" s="6">
        <f ca="1">('TUSD BE'!$AM$37+'TUSD BF'!$AM$37+'TUSD CVA'!$AM$37)*(1-CUSTOS!$M$38)</f>
        <v>323.18581193481282</v>
      </c>
      <c r="AA374" s="6">
        <f>('TE BE'!$AB$25+'TE BF'!$AB$25+'TE CVA'!$AB$25)*(1-CUSTOS!$M$38)</f>
        <v>107.87938095628944</v>
      </c>
      <c r="AB374" s="6">
        <f>$K$374*$V$374</f>
        <v>0</v>
      </c>
      <c r="AC374" s="6">
        <f>$M$374*$W$374</f>
        <v>294268.88419000001</v>
      </c>
      <c r="AD374" s="6">
        <f>$O$374*$X$374</f>
        <v>146519.23282999999</v>
      </c>
      <c r="AE374" s="6">
        <f>$K$374*$Y$374</f>
        <v>0</v>
      </c>
      <c r="AF374" s="6">
        <f ca="1">$M$374*$Z$374</f>
        <v>401670.5168057463</v>
      </c>
      <c r="AG374" s="6">
        <f>$O$374*$AA$374</f>
        <v>134077.56498338145</v>
      </c>
    </row>
    <row r="375" spans="1:33" ht="11.25" customHeight="1" x14ac:dyDescent="0.25">
      <c r="A375" s="4" t="s">
        <v>28</v>
      </c>
      <c r="B375" s="4" t="s">
        <v>42</v>
      </c>
      <c r="C375" s="4" t="s">
        <v>23</v>
      </c>
      <c r="D375" s="4" t="s">
        <v>43</v>
      </c>
      <c r="E375" s="4" t="s">
        <v>25</v>
      </c>
      <c r="F375" s="4" t="s">
        <v>25</v>
      </c>
      <c r="G375" s="4" t="s">
        <v>25</v>
      </c>
      <c r="H375" s="4" t="s">
        <v>25</v>
      </c>
      <c r="I375" s="5">
        <v>44531</v>
      </c>
      <c r="J375" s="6">
        <v>0</v>
      </c>
      <c r="K375" s="6">
        <v>0</v>
      </c>
      <c r="L375" s="6">
        <v>10.256</v>
      </c>
      <c r="M375" s="6">
        <v>10.256</v>
      </c>
      <c r="N375" s="6">
        <v>10.256</v>
      </c>
      <c r="O375" s="6">
        <v>10.256</v>
      </c>
      <c r="P375" s="6">
        <v>17</v>
      </c>
      <c r="Q375" s="4" t="s">
        <v>26</v>
      </c>
      <c r="R375" s="4">
        <v>0</v>
      </c>
      <c r="S375" s="6">
        <v>0</v>
      </c>
      <c r="T375" s="6">
        <v>30</v>
      </c>
      <c r="U375" s="6">
        <v>74</v>
      </c>
      <c r="V375" s="6">
        <f>IF(ISERROR(VLOOKUP($S$375,'TAR FIN'!$A$1:$O$91,15,0)),0,VLOOKUP($S$375,'TAR FIN'!$A$1:$O$91,15,0))</f>
        <v>0</v>
      </c>
      <c r="W375" s="6">
        <f>IF(ISERROR(VLOOKUP($T$375,'TAR FIN'!$A$1:$O$91,15,0)),0,VLOOKUP($T$375,'TAR FIN'!$A$1:$O$91,15,0))</f>
        <v>236.77</v>
      </c>
      <c r="X375" s="6">
        <f>IF(ISERROR(VLOOKUP($U$375,'TAR FIN'!$A$1:$O$91,15,0)),0,VLOOKUP($U$375,'TAR FIN'!$A$1:$O$91,15,0))</f>
        <v>117.89</v>
      </c>
      <c r="Y375" s="6"/>
      <c r="Z375" s="6">
        <f ca="1">('TUSD BE'!$AM$37+'TUSD BF'!$AM$37+'TUSD CVA'!$AM$37)*(1-CUSTOS!$M$38)</f>
        <v>323.18581193481282</v>
      </c>
      <c r="AA375" s="6">
        <f>('TE BE'!$AB$25+'TE BF'!$AB$25+'TE CVA'!$AB$25)*(1-CUSTOS!$M$38)</f>
        <v>107.87938095628944</v>
      </c>
      <c r="AB375" s="6">
        <f>$K$375*$V$375</f>
        <v>0</v>
      </c>
      <c r="AC375" s="6">
        <f>$M$375*$W$375</f>
        <v>2428.3131200000003</v>
      </c>
      <c r="AD375" s="6">
        <f>$O$375*$X$375</f>
        <v>1209.0798400000001</v>
      </c>
      <c r="AE375" s="6">
        <f>$K$375*$Y$375</f>
        <v>0</v>
      </c>
      <c r="AF375" s="6">
        <f ca="1">$M$375*$Z$375</f>
        <v>3314.5936872034404</v>
      </c>
      <c r="AG375" s="6">
        <f>$O$375*$AA$375</f>
        <v>1106.4109310877045</v>
      </c>
    </row>
    <row r="376" spans="1:33" ht="11.25" customHeight="1" x14ac:dyDescent="0.25">
      <c r="A376" s="4" t="s">
        <v>21</v>
      </c>
      <c r="B376" s="4" t="s">
        <v>42</v>
      </c>
      <c r="C376" s="4" t="s">
        <v>23</v>
      </c>
      <c r="D376" s="4" t="s">
        <v>43</v>
      </c>
      <c r="E376" s="4" t="s">
        <v>25</v>
      </c>
      <c r="F376" s="4" t="s">
        <v>25</v>
      </c>
      <c r="G376" s="4" t="s">
        <v>25</v>
      </c>
      <c r="H376" s="4" t="s">
        <v>25</v>
      </c>
      <c r="I376" s="5">
        <v>44562</v>
      </c>
      <c r="J376" s="6">
        <v>0</v>
      </c>
      <c r="K376" s="6">
        <v>0</v>
      </c>
      <c r="L376" s="6">
        <v>1551.222</v>
      </c>
      <c r="M376" s="6">
        <v>1551.222</v>
      </c>
      <c r="N376" s="6">
        <v>1551.222</v>
      </c>
      <c r="O376" s="6">
        <v>1551.222</v>
      </c>
      <c r="P376" s="6">
        <v>2371</v>
      </c>
      <c r="Q376" s="4" t="s">
        <v>26</v>
      </c>
      <c r="R376" s="4">
        <v>0</v>
      </c>
      <c r="S376" s="6">
        <v>0</v>
      </c>
      <c r="T376" s="6">
        <v>30</v>
      </c>
      <c r="U376" s="6">
        <v>74</v>
      </c>
      <c r="V376" s="6">
        <f>IF(ISERROR(VLOOKUP($S$376,'TAR FIN'!$A$1:$O$91,15,0)),0,VLOOKUP($S$376,'TAR FIN'!$A$1:$O$91,15,0))</f>
        <v>0</v>
      </c>
      <c r="W376" s="6">
        <f>IF(ISERROR(VLOOKUP($T$376,'TAR FIN'!$A$1:$O$91,15,0)),0,VLOOKUP($T$376,'TAR FIN'!$A$1:$O$91,15,0))</f>
        <v>236.77</v>
      </c>
      <c r="X376" s="6">
        <f>IF(ISERROR(VLOOKUP($U$376,'TAR FIN'!$A$1:$O$91,15,0)),0,VLOOKUP($U$376,'TAR FIN'!$A$1:$O$91,15,0))</f>
        <v>117.89</v>
      </c>
      <c r="Y376" s="6"/>
      <c r="Z376" s="6">
        <f ca="1">('TUSD BE'!$AM$37+'TUSD BF'!$AM$37+'TUSD CVA'!$AM$37)*(1-CUSTOS!$M$38)</f>
        <v>323.18581193481282</v>
      </c>
      <c r="AA376" s="6">
        <f>('TE BE'!$AB$25+'TE BF'!$AB$25+'TE CVA'!$AB$25)*(1-CUSTOS!$M$38)</f>
        <v>107.87938095628944</v>
      </c>
      <c r="AB376" s="6">
        <f>$K$376*$V$376</f>
        <v>0</v>
      </c>
      <c r="AC376" s="6">
        <f>$M$376*$W$376</f>
        <v>367282.83293999999</v>
      </c>
      <c r="AD376" s="6">
        <f>$O$376*$X$376</f>
        <v>182873.56158000001</v>
      </c>
      <c r="AE376" s="6">
        <f>$K$376*$Y$376</f>
        <v>0</v>
      </c>
      <c r="AF376" s="6">
        <f ca="1">$M$376*$Z$376</f>
        <v>501332.94156114419</v>
      </c>
      <c r="AG376" s="6">
        <f>$O$376*$AA$376</f>
        <v>167344.8690857772</v>
      </c>
    </row>
    <row r="377" spans="1:33" ht="11.25" customHeight="1" x14ac:dyDescent="0.25">
      <c r="A377" s="4" t="s">
        <v>27</v>
      </c>
      <c r="B377" s="4" t="s">
        <v>42</v>
      </c>
      <c r="C377" s="4" t="s">
        <v>23</v>
      </c>
      <c r="D377" s="4" t="s">
        <v>43</v>
      </c>
      <c r="E377" s="4" t="s">
        <v>25</v>
      </c>
      <c r="F377" s="4" t="s">
        <v>25</v>
      </c>
      <c r="G377" s="4" t="s">
        <v>25</v>
      </c>
      <c r="H377" s="4" t="s">
        <v>25</v>
      </c>
      <c r="I377" s="5">
        <v>44562</v>
      </c>
      <c r="J377" s="6">
        <v>0</v>
      </c>
      <c r="K377" s="6">
        <v>0</v>
      </c>
      <c r="L377" s="6">
        <v>-71.263000000000005</v>
      </c>
      <c r="M377" s="6">
        <v>-71.263000000000005</v>
      </c>
      <c r="N377" s="6">
        <v>-71.263000000000005</v>
      </c>
      <c r="O377" s="6">
        <v>-71.263000000000005</v>
      </c>
      <c r="P377" s="6">
        <v>0</v>
      </c>
      <c r="Q377" s="4" t="s">
        <v>26</v>
      </c>
      <c r="R377" s="4">
        <v>0</v>
      </c>
      <c r="S377" s="6">
        <v>0</v>
      </c>
      <c r="T377" s="6">
        <v>30</v>
      </c>
      <c r="U377" s="6">
        <v>74</v>
      </c>
      <c r="V377" s="6">
        <f>IF(ISERROR(VLOOKUP($S$377,'TAR FIN'!$A$1:$O$91,15,0)),0,VLOOKUP($S$377,'TAR FIN'!$A$1:$O$91,15,0))</f>
        <v>0</v>
      </c>
      <c r="W377" s="6">
        <f>IF(ISERROR(VLOOKUP($T$377,'TAR FIN'!$A$1:$O$91,15,0)),0,VLOOKUP($T$377,'TAR FIN'!$A$1:$O$91,15,0))</f>
        <v>236.77</v>
      </c>
      <c r="X377" s="6">
        <f>IF(ISERROR(VLOOKUP($U$377,'TAR FIN'!$A$1:$O$91,15,0)),0,VLOOKUP($U$377,'TAR FIN'!$A$1:$O$91,15,0))</f>
        <v>117.89</v>
      </c>
      <c r="Y377" s="6"/>
      <c r="Z377" s="6">
        <f ca="1">('TUSD BE'!$AM$37+'TUSD BF'!$AM$37+'TUSD CVA'!$AM$37)*(1-CUSTOS!$M$38)</f>
        <v>323.18581193481282</v>
      </c>
      <c r="AA377" s="6">
        <f>('TE BE'!$AB$25+'TE BF'!$AB$25+'TE CVA'!$AB$25)*(1-CUSTOS!$M$38)</f>
        <v>107.87938095628944</v>
      </c>
      <c r="AB377" s="6">
        <f>$K$377*$V$377</f>
        <v>0</v>
      </c>
      <c r="AC377" s="6">
        <f>$M$377*$W$377</f>
        <v>-16872.94051</v>
      </c>
      <c r="AD377" s="6">
        <f>$O$377*$X$377</f>
        <v>-8401.1950699999998</v>
      </c>
      <c r="AE377" s="6">
        <f>$K$377*$Y$377</f>
        <v>0</v>
      </c>
      <c r="AF377" s="6">
        <f ca="1">$M$377*$Z$377</f>
        <v>-23031.190515910566</v>
      </c>
      <c r="AG377" s="6">
        <f>$O$377*$AA$377</f>
        <v>-7687.8083250880545</v>
      </c>
    </row>
    <row r="378" spans="1:33" ht="11.25" customHeight="1" x14ac:dyDescent="0.25">
      <c r="A378" s="4" t="s">
        <v>28</v>
      </c>
      <c r="B378" s="4" t="s">
        <v>42</v>
      </c>
      <c r="C378" s="4" t="s">
        <v>23</v>
      </c>
      <c r="D378" s="4" t="s">
        <v>43</v>
      </c>
      <c r="E378" s="4" t="s">
        <v>25</v>
      </c>
      <c r="F378" s="4" t="s">
        <v>25</v>
      </c>
      <c r="G378" s="4" t="s">
        <v>25</v>
      </c>
      <c r="H378" s="4" t="s">
        <v>25</v>
      </c>
      <c r="I378" s="5">
        <v>44562</v>
      </c>
      <c r="J378" s="6">
        <v>0</v>
      </c>
      <c r="K378" s="6">
        <v>0</v>
      </c>
      <c r="L378" s="6">
        <v>15.025</v>
      </c>
      <c r="M378" s="6">
        <v>15.025</v>
      </c>
      <c r="N378" s="6">
        <v>15.025</v>
      </c>
      <c r="O378" s="6">
        <v>15.025</v>
      </c>
      <c r="P378" s="6">
        <v>18</v>
      </c>
      <c r="Q378" s="4" t="s">
        <v>26</v>
      </c>
      <c r="R378" s="4">
        <v>0</v>
      </c>
      <c r="S378" s="6">
        <v>0</v>
      </c>
      <c r="T378" s="6">
        <v>30</v>
      </c>
      <c r="U378" s="6">
        <v>74</v>
      </c>
      <c r="V378" s="6">
        <f>IF(ISERROR(VLOOKUP($S$378,'TAR FIN'!$A$1:$O$91,15,0)),0,VLOOKUP($S$378,'TAR FIN'!$A$1:$O$91,15,0))</f>
        <v>0</v>
      </c>
      <c r="W378" s="6">
        <f>IF(ISERROR(VLOOKUP($T$378,'TAR FIN'!$A$1:$O$91,15,0)),0,VLOOKUP($T$378,'TAR FIN'!$A$1:$O$91,15,0))</f>
        <v>236.77</v>
      </c>
      <c r="X378" s="6">
        <f>IF(ISERROR(VLOOKUP($U$378,'TAR FIN'!$A$1:$O$91,15,0)),0,VLOOKUP($U$378,'TAR FIN'!$A$1:$O$91,15,0))</f>
        <v>117.89</v>
      </c>
      <c r="Y378" s="6"/>
      <c r="Z378" s="6">
        <f ca="1">('TUSD BE'!$AM$37+'TUSD BF'!$AM$37+'TUSD CVA'!$AM$37)*(1-CUSTOS!$M$38)</f>
        <v>323.18581193481282</v>
      </c>
      <c r="AA378" s="6">
        <f>('TE BE'!$AB$25+'TE BF'!$AB$25+'TE CVA'!$AB$25)*(1-CUSTOS!$M$38)</f>
        <v>107.87938095628944</v>
      </c>
      <c r="AB378" s="6">
        <f>$K$378*$V$378</f>
        <v>0</v>
      </c>
      <c r="AC378" s="6">
        <f>$M$378*$W$378</f>
        <v>3557.4692500000001</v>
      </c>
      <c r="AD378" s="6">
        <f>$O$378*$X$378</f>
        <v>1771.2972500000001</v>
      </c>
      <c r="AE378" s="6">
        <f>$K$378*$Y$378</f>
        <v>0</v>
      </c>
      <c r="AF378" s="6">
        <f ca="1">$M$378*$Z$378</f>
        <v>4855.866824320563</v>
      </c>
      <c r="AG378" s="6">
        <f>$O$378*$AA$378</f>
        <v>1620.8876988682489</v>
      </c>
    </row>
    <row r="379" spans="1:33" ht="11.25" customHeight="1" x14ac:dyDescent="0.25">
      <c r="A379" s="4" t="s">
        <v>21</v>
      </c>
      <c r="B379" s="4" t="s">
        <v>42</v>
      </c>
      <c r="C379" s="4" t="s">
        <v>23</v>
      </c>
      <c r="D379" s="4" t="s">
        <v>43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44593</v>
      </c>
      <c r="J379" s="6">
        <v>0</v>
      </c>
      <c r="K379" s="6">
        <v>0</v>
      </c>
      <c r="L379" s="6">
        <v>1418.7260000000001</v>
      </c>
      <c r="M379" s="6">
        <v>1418.7260000000001</v>
      </c>
      <c r="N379" s="6">
        <v>1418.7260000000001</v>
      </c>
      <c r="O379" s="6">
        <v>1418.7260000000001</v>
      </c>
      <c r="P379" s="6">
        <v>2364</v>
      </c>
      <c r="Q379" s="4" t="s">
        <v>26</v>
      </c>
      <c r="R379" s="4">
        <v>0</v>
      </c>
      <c r="S379" s="6">
        <v>0</v>
      </c>
      <c r="T379" s="6">
        <v>30</v>
      </c>
      <c r="U379" s="6">
        <v>74</v>
      </c>
      <c r="V379" s="6">
        <f>IF(ISERROR(VLOOKUP($S$379,'TAR FIN'!$A$1:$O$91,15,0)),0,VLOOKUP($S$379,'TAR FIN'!$A$1:$O$91,15,0))</f>
        <v>0</v>
      </c>
      <c r="W379" s="6">
        <f>IF(ISERROR(VLOOKUP($T$379,'TAR FIN'!$A$1:$O$91,15,0)),0,VLOOKUP($T$379,'TAR FIN'!$A$1:$O$91,15,0))</f>
        <v>236.77</v>
      </c>
      <c r="X379" s="6">
        <f>IF(ISERROR(VLOOKUP($U$379,'TAR FIN'!$A$1:$O$91,15,0)),0,VLOOKUP($U$379,'TAR FIN'!$A$1:$O$91,15,0))</f>
        <v>117.89</v>
      </c>
      <c r="Y379" s="6"/>
      <c r="Z379" s="6">
        <f ca="1">('TUSD BE'!$AM$37+'TUSD BF'!$AM$37+'TUSD CVA'!$AM$37)*(1-CUSTOS!$M$38)</f>
        <v>323.18581193481282</v>
      </c>
      <c r="AA379" s="6">
        <f>('TE BE'!$AB$25+'TE BF'!$AB$25+'TE CVA'!$AB$25)*(1-CUSTOS!$M$38)</f>
        <v>107.87938095628944</v>
      </c>
      <c r="AB379" s="6">
        <f>$K$379*$V$379</f>
        <v>0</v>
      </c>
      <c r="AC379" s="6">
        <f>$M$379*$W$379</f>
        <v>335911.75502000004</v>
      </c>
      <c r="AD379" s="6">
        <f>$O$379*$X$379</f>
        <v>167253.60814000003</v>
      </c>
      <c r="AE379" s="6">
        <f>$K$379*$Y$379</f>
        <v>0</v>
      </c>
      <c r="AF379" s="6">
        <f ca="1">$M$379*$Z$379</f>
        <v>458512.11422302929</v>
      </c>
      <c r="AG379" s="6">
        <f>$O$379*$AA$379</f>
        <v>153051.2826265927</v>
      </c>
    </row>
    <row r="380" spans="1:33" ht="11.25" customHeight="1" x14ac:dyDescent="0.25">
      <c r="A380" s="4" t="s">
        <v>28</v>
      </c>
      <c r="B380" s="4" t="s">
        <v>42</v>
      </c>
      <c r="C380" s="4" t="s">
        <v>23</v>
      </c>
      <c r="D380" s="4" t="s">
        <v>43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24.189</v>
      </c>
      <c r="M380" s="6">
        <v>24.189</v>
      </c>
      <c r="N380" s="6">
        <v>24.189</v>
      </c>
      <c r="O380" s="6">
        <v>24.189</v>
      </c>
      <c r="P380" s="6">
        <v>23</v>
      </c>
      <c r="Q380" s="4" t="s">
        <v>26</v>
      </c>
      <c r="R380" s="4">
        <v>0</v>
      </c>
      <c r="S380" s="6">
        <v>0</v>
      </c>
      <c r="T380" s="6">
        <v>30</v>
      </c>
      <c r="U380" s="6">
        <v>74</v>
      </c>
      <c r="V380" s="6">
        <f>IF(ISERROR(VLOOKUP($S$380,'TAR FIN'!$A$1:$O$91,15,0)),0,VLOOKUP($S$380,'TAR FIN'!$A$1:$O$91,15,0))</f>
        <v>0</v>
      </c>
      <c r="W380" s="6">
        <f>IF(ISERROR(VLOOKUP($T$380,'TAR FIN'!$A$1:$O$91,15,0)),0,VLOOKUP($T$380,'TAR FIN'!$A$1:$O$91,15,0))</f>
        <v>236.77</v>
      </c>
      <c r="X380" s="6">
        <f>IF(ISERROR(VLOOKUP($U$380,'TAR FIN'!$A$1:$O$91,15,0)),0,VLOOKUP($U$380,'TAR FIN'!$A$1:$O$91,15,0))</f>
        <v>117.89</v>
      </c>
      <c r="Y380" s="6"/>
      <c r="Z380" s="6">
        <f ca="1">('TUSD BE'!$AM$37+'TUSD BF'!$AM$37+'TUSD CVA'!$AM$37)*(1-CUSTOS!$M$38)</f>
        <v>323.18581193481282</v>
      </c>
      <c r="AA380" s="6">
        <f>('TE BE'!$AB$25+'TE BF'!$AB$25+'TE CVA'!$AB$25)*(1-CUSTOS!$M$38)</f>
        <v>107.87938095628944</v>
      </c>
      <c r="AB380" s="6">
        <f>$K$380*$V$380</f>
        <v>0</v>
      </c>
      <c r="AC380" s="6">
        <f>$M$380*$W$380</f>
        <v>5727.2295300000005</v>
      </c>
      <c r="AD380" s="6">
        <f>$O$380*$X$380</f>
        <v>2851.6412100000002</v>
      </c>
      <c r="AE380" s="6">
        <f>$K$380*$Y$380</f>
        <v>0</v>
      </c>
      <c r="AF380" s="6">
        <f ca="1">$M$380*$Z$380</f>
        <v>7817.5416048911875</v>
      </c>
      <c r="AG380" s="6">
        <f>$O$380*$AA$380</f>
        <v>2609.4943459516853</v>
      </c>
    </row>
    <row r="381" spans="1:33" ht="11.25" customHeight="1" x14ac:dyDescent="0.25">
      <c r="A381" s="4" t="s">
        <v>21</v>
      </c>
      <c r="B381" s="4" t="s">
        <v>42</v>
      </c>
      <c r="C381" s="4" t="s">
        <v>23</v>
      </c>
      <c r="D381" s="4" t="s">
        <v>43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1390.1510000000001</v>
      </c>
      <c r="M381" s="6">
        <v>1390.1510000000001</v>
      </c>
      <c r="N381" s="6">
        <v>1390.1510000000001</v>
      </c>
      <c r="O381" s="6">
        <v>1390.1510000000001</v>
      </c>
      <c r="P381" s="6">
        <v>2353</v>
      </c>
      <c r="Q381" s="4" t="s">
        <v>26</v>
      </c>
      <c r="R381" s="4">
        <v>0</v>
      </c>
      <c r="S381" s="6">
        <v>0</v>
      </c>
      <c r="T381" s="6">
        <v>30</v>
      </c>
      <c r="U381" s="6">
        <v>74</v>
      </c>
      <c r="V381" s="6">
        <f>IF(ISERROR(VLOOKUP($S$381,'TAR FIN'!$A$1:$O$91,15,0)),0,VLOOKUP($S$381,'TAR FIN'!$A$1:$O$91,15,0))</f>
        <v>0</v>
      </c>
      <c r="W381" s="6">
        <f>IF(ISERROR(VLOOKUP($T$381,'TAR FIN'!$A$1:$O$91,15,0)),0,VLOOKUP($T$381,'TAR FIN'!$A$1:$O$91,15,0))</f>
        <v>236.77</v>
      </c>
      <c r="X381" s="6">
        <f>IF(ISERROR(VLOOKUP($U$381,'TAR FIN'!$A$1:$O$91,15,0)),0,VLOOKUP($U$381,'TAR FIN'!$A$1:$O$91,15,0))</f>
        <v>117.89</v>
      </c>
      <c r="Y381" s="6"/>
      <c r="Z381" s="6">
        <f ca="1">('TUSD BE'!$AM$37+'TUSD BF'!$AM$37+'TUSD CVA'!$AM$37)*(1-CUSTOS!$M$38)</f>
        <v>323.18581193481282</v>
      </c>
      <c r="AA381" s="6">
        <f>('TE BE'!$AB$25+'TE BF'!$AB$25+'TE CVA'!$AB$25)*(1-CUSTOS!$M$38)</f>
        <v>107.87938095628944</v>
      </c>
      <c r="AB381" s="6">
        <f>$K$381*$V$381</f>
        <v>0</v>
      </c>
      <c r="AC381" s="6">
        <f>$M$381*$W$381</f>
        <v>329146.05227000004</v>
      </c>
      <c r="AD381" s="6">
        <f>$O$381*$X$381</f>
        <v>163884.90139000001</v>
      </c>
      <c r="AE381" s="6">
        <f>$K$381*$Y$381</f>
        <v>0</v>
      </c>
      <c r="AF381" s="6">
        <f ca="1">$M$381*$Z$381</f>
        <v>449277.07964699197</v>
      </c>
      <c r="AG381" s="6">
        <f>$O$381*$AA$381</f>
        <v>149968.62931576674</v>
      </c>
    </row>
    <row r="382" spans="1:33" ht="11.25" customHeight="1" x14ac:dyDescent="0.25">
      <c r="A382" s="4" t="s">
        <v>28</v>
      </c>
      <c r="B382" s="4" t="s">
        <v>42</v>
      </c>
      <c r="C382" s="4" t="s">
        <v>23</v>
      </c>
      <c r="D382" s="4" t="s">
        <v>43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70.018000000000001</v>
      </c>
      <c r="M382" s="6">
        <v>70.018000000000001</v>
      </c>
      <c r="N382" s="6">
        <v>70.018000000000001</v>
      </c>
      <c r="O382" s="6">
        <v>70.018000000000001</v>
      </c>
      <c r="P382" s="6">
        <v>25</v>
      </c>
      <c r="Q382" s="4" t="s">
        <v>26</v>
      </c>
      <c r="R382" s="4">
        <v>0</v>
      </c>
      <c r="S382" s="6">
        <v>0</v>
      </c>
      <c r="T382" s="6">
        <v>30</v>
      </c>
      <c r="U382" s="6">
        <v>74</v>
      </c>
      <c r="V382" s="6">
        <f>IF(ISERROR(VLOOKUP($S$382,'TAR FIN'!$A$1:$O$91,15,0)),0,VLOOKUP($S$382,'TAR FIN'!$A$1:$O$91,15,0))</f>
        <v>0</v>
      </c>
      <c r="W382" s="6">
        <f>IF(ISERROR(VLOOKUP($T$382,'TAR FIN'!$A$1:$O$91,15,0)),0,VLOOKUP($T$382,'TAR FIN'!$A$1:$O$91,15,0))</f>
        <v>236.77</v>
      </c>
      <c r="X382" s="6">
        <f>IF(ISERROR(VLOOKUP($U$382,'TAR FIN'!$A$1:$O$91,15,0)),0,VLOOKUP($U$382,'TAR FIN'!$A$1:$O$91,15,0))</f>
        <v>117.89</v>
      </c>
      <c r="Y382" s="6"/>
      <c r="Z382" s="6">
        <f ca="1">('TUSD BE'!$AM$37+'TUSD BF'!$AM$37+'TUSD CVA'!$AM$37)*(1-CUSTOS!$M$38)</f>
        <v>323.18581193481282</v>
      </c>
      <c r="AA382" s="6">
        <f>('TE BE'!$AB$25+'TE BF'!$AB$25+'TE CVA'!$AB$25)*(1-CUSTOS!$M$38)</f>
        <v>107.87938095628944</v>
      </c>
      <c r="AB382" s="6">
        <f>$K$382*$V$382</f>
        <v>0</v>
      </c>
      <c r="AC382" s="6">
        <f>$M$382*$W$382</f>
        <v>16578.16186</v>
      </c>
      <c r="AD382" s="6">
        <f>$O$382*$X$382</f>
        <v>8254.42202</v>
      </c>
      <c r="AE382" s="6">
        <f>$K$382*$Y$382</f>
        <v>0</v>
      </c>
      <c r="AF382" s="6">
        <f ca="1">$M$382*$Z$382</f>
        <v>22628.824180051724</v>
      </c>
      <c r="AG382" s="6">
        <f>$O$382*$AA$382</f>
        <v>7553.4984957974739</v>
      </c>
    </row>
    <row r="383" spans="1:33" ht="11.25" customHeight="1" x14ac:dyDescent="0.25">
      <c r="A383" s="4" t="s">
        <v>21</v>
      </c>
      <c r="B383" s="4" t="s">
        <v>42</v>
      </c>
      <c r="C383" s="4" t="s">
        <v>23</v>
      </c>
      <c r="D383" s="4" t="s">
        <v>43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44652</v>
      </c>
      <c r="J383" s="6">
        <v>0</v>
      </c>
      <c r="K383" s="6">
        <v>0</v>
      </c>
      <c r="L383" s="6">
        <v>1138.578</v>
      </c>
      <c r="M383" s="6">
        <v>1138.578</v>
      </c>
      <c r="N383" s="6">
        <v>1138.578</v>
      </c>
      <c r="O383" s="6">
        <v>1138.578</v>
      </c>
      <c r="P383" s="6">
        <v>2330</v>
      </c>
      <c r="Q383" s="4" t="s">
        <v>26</v>
      </c>
      <c r="R383" s="4">
        <v>0</v>
      </c>
      <c r="S383" s="6">
        <v>0</v>
      </c>
      <c r="T383" s="6">
        <v>30</v>
      </c>
      <c r="U383" s="6">
        <v>74</v>
      </c>
      <c r="V383" s="6">
        <f>IF(ISERROR(VLOOKUP($S$383,'TAR FIN'!$A$1:$O$91,15,0)),0,VLOOKUP($S$383,'TAR FIN'!$A$1:$O$91,15,0))</f>
        <v>0</v>
      </c>
      <c r="W383" s="6">
        <f>IF(ISERROR(VLOOKUP($T$383,'TAR FIN'!$A$1:$O$91,15,0)),0,VLOOKUP($T$383,'TAR FIN'!$A$1:$O$91,15,0))</f>
        <v>236.77</v>
      </c>
      <c r="X383" s="6">
        <f>IF(ISERROR(VLOOKUP($U$383,'TAR FIN'!$A$1:$O$91,15,0)),0,VLOOKUP($U$383,'TAR FIN'!$A$1:$O$91,15,0))</f>
        <v>117.89</v>
      </c>
      <c r="Y383" s="6"/>
      <c r="Z383" s="6">
        <f ca="1">('TUSD BE'!$AM$37+'TUSD BF'!$AM$37+'TUSD CVA'!$AM$37)*(1-CUSTOS!$M$38)</f>
        <v>323.18581193481282</v>
      </c>
      <c r="AA383" s="6">
        <f>('TE BE'!$AB$25+'TE BF'!$AB$25+'TE CVA'!$AB$25)*(1-CUSTOS!$M$38)</f>
        <v>107.87938095628944</v>
      </c>
      <c r="AB383" s="6">
        <f>$K$383*$V$383</f>
        <v>0</v>
      </c>
      <c r="AC383" s="6">
        <f>$M$383*$W$383</f>
        <v>269581.11306</v>
      </c>
      <c r="AD383" s="6">
        <f>$O$383*$X$383</f>
        <v>134226.96041999999</v>
      </c>
      <c r="AE383" s="6">
        <f>$K$383*$Y$383</f>
        <v>0</v>
      </c>
      <c r="AF383" s="6">
        <f ca="1">$M$383*$Z$383</f>
        <v>367972.2553811153</v>
      </c>
      <c r="AG383" s="6">
        <f>$O$383*$AA$383</f>
        <v>122829.08981045011</v>
      </c>
    </row>
    <row r="384" spans="1:33" ht="11.25" customHeight="1" x14ac:dyDescent="0.25">
      <c r="A384" s="4" t="s">
        <v>28</v>
      </c>
      <c r="B384" s="4" t="s">
        <v>42</v>
      </c>
      <c r="C384" s="4" t="s">
        <v>23</v>
      </c>
      <c r="D384" s="4" t="s">
        <v>43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37.817</v>
      </c>
      <c r="M384" s="6">
        <v>37.817</v>
      </c>
      <c r="N384" s="6">
        <v>37.817</v>
      </c>
      <c r="O384" s="6">
        <v>37.817</v>
      </c>
      <c r="P384" s="6">
        <v>31</v>
      </c>
      <c r="Q384" s="4" t="s">
        <v>26</v>
      </c>
      <c r="R384" s="4">
        <v>0</v>
      </c>
      <c r="S384" s="6">
        <v>0</v>
      </c>
      <c r="T384" s="6">
        <v>30</v>
      </c>
      <c r="U384" s="6">
        <v>74</v>
      </c>
      <c r="V384" s="6">
        <f>IF(ISERROR(VLOOKUP($S$384,'TAR FIN'!$A$1:$O$91,15,0)),0,VLOOKUP($S$384,'TAR FIN'!$A$1:$O$91,15,0))</f>
        <v>0</v>
      </c>
      <c r="W384" s="6">
        <f>IF(ISERROR(VLOOKUP($T$384,'TAR FIN'!$A$1:$O$91,15,0)),0,VLOOKUP($T$384,'TAR FIN'!$A$1:$O$91,15,0))</f>
        <v>236.77</v>
      </c>
      <c r="X384" s="6">
        <f>IF(ISERROR(VLOOKUP($U$384,'TAR FIN'!$A$1:$O$91,15,0)),0,VLOOKUP($U$384,'TAR FIN'!$A$1:$O$91,15,0))</f>
        <v>117.89</v>
      </c>
      <c r="Y384" s="6"/>
      <c r="Z384" s="6">
        <f ca="1">('TUSD BE'!$AM$37+'TUSD BF'!$AM$37+'TUSD CVA'!$AM$37)*(1-CUSTOS!$M$38)</f>
        <v>323.18581193481282</v>
      </c>
      <c r="AA384" s="6">
        <f>('TE BE'!$AB$25+'TE BF'!$AB$25+'TE CVA'!$AB$25)*(1-CUSTOS!$M$38)</f>
        <v>107.87938095628944</v>
      </c>
      <c r="AB384" s="6">
        <f>$K$384*$V$384</f>
        <v>0</v>
      </c>
      <c r="AC384" s="6">
        <f>$M$384*$W$384</f>
        <v>8953.93109</v>
      </c>
      <c r="AD384" s="6">
        <f>$O$384*$X$384</f>
        <v>4458.2461300000004</v>
      </c>
      <c r="AE384" s="6">
        <f>$K$384*$Y$384</f>
        <v>0</v>
      </c>
      <c r="AF384" s="6">
        <f ca="1">$M$384*$Z$384</f>
        <v>12221.917849938816</v>
      </c>
      <c r="AG384" s="6">
        <f>$O$384*$AA$384</f>
        <v>4079.6745496239978</v>
      </c>
    </row>
    <row r="385" spans="1:33" ht="11.25" customHeight="1" x14ac:dyDescent="0.25">
      <c r="A385" s="4" t="s">
        <v>21</v>
      </c>
      <c r="B385" s="4" t="s">
        <v>42</v>
      </c>
      <c r="C385" s="4" t="s">
        <v>23</v>
      </c>
      <c r="D385" s="4" t="s">
        <v>43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44682</v>
      </c>
      <c r="J385" s="6">
        <v>0</v>
      </c>
      <c r="K385" s="6">
        <v>0</v>
      </c>
      <c r="L385" s="6">
        <v>951.43399999999997</v>
      </c>
      <c r="M385" s="6">
        <v>951.43399999999997</v>
      </c>
      <c r="N385" s="6">
        <v>951.43399999999997</v>
      </c>
      <c r="O385" s="6">
        <v>951.43399999999997</v>
      </c>
      <c r="P385" s="6">
        <v>2318</v>
      </c>
      <c r="Q385" s="4" t="s">
        <v>26</v>
      </c>
      <c r="R385" s="4">
        <v>0</v>
      </c>
      <c r="S385" s="6">
        <v>0</v>
      </c>
      <c r="T385" s="6">
        <v>30</v>
      </c>
      <c r="U385" s="6">
        <v>74</v>
      </c>
      <c r="V385" s="6">
        <f>IF(ISERROR(VLOOKUP($S$385,'TAR FIN'!$A$1:$O$91,15,0)),0,VLOOKUP($S$385,'TAR FIN'!$A$1:$O$91,15,0))</f>
        <v>0</v>
      </c>
      <c r="W385" s="6">
        <f>IF(ISERROR(VLOOKUP($T$385,'TAR FIN'!$A$1:$O$91,15,0)),0,VLOOKUP($T$385,'TAR FIN'!$A$1:$O$91,15,0))</f>
        <v>236.77</v>
      </c>
      <c r="X385" s="6">
        <f>IF(ISERROR(VLOOKUP($U$385,'TAR FIN'!$A$1:$O$91,15,0)),0,VLOOKUP($U$385,'TAR FIN'!$A$1:$O$91,15,0))</f>
        <v>117.89</v>
      </c>
      <c r="Y385" s="6"/>
      <c r="Z385" s="6">
        <f ca="1">('TUSD BE'!$AM$37+'TUSD BF'!$AM$37+'TUSD CVA'!$AM$37)*(1-CUSTOS!$M$38)</f>
        <v>323.18581193481282</v>
      </c>
      <c r="AA385" s="6">
        <f>('TE BE'!$AB$25+'TE BF'!$AB$25+'TE CVA'!$AB$25)*(1-CUSTOS!$M$38)</f>
        <v>107.87938095628944</v>
      </c>
      <c r="AB385" s="6">
        <f>$K$385*$V$385</f>
        <v>0</v>
      </c>
      <c r="AC385" s="6">
        <f>$M$385*$W$385</f>
        <v>225271.02817999999</v>
      </c>
      <c r="AD385" s="6">
        <f>$O$385*$X$385</f>
        <v>112164.55425999999</v>
      </c>
      <c r="AE385" s="6">
        <f>$K$385*$Y$385</f>
        <v>0</v>
      </c>
      <c r="AF385" s="6">
        <f ca="1">$M$385*$Z$385</f>
        <v>307489.96979238669</v>
      </c>
      <c r="AG385" s="6">
        <f>$O$385*$AA$385</f>
        <v>102640.11094076629</v>
      </c>
    </row>
    <row r="386" spans="1:33" ht="11.25" customHeight="1" x14ac:dyDescent="0.25">
      <c r="A386" s="4" t="s">
        <v>28</v>
      </c>
      <c r="B386" s="4" t="s">
        <v>42</v>
      </c>
      <c r="C386" s="4" t="s">
        <v>23</v>
      </c>
      <c r="D386" s="4" t="s">
        <v>43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45.685000000000002</v>
      </c>
      <c r="M386" s="6">
        <v>45.685000000000002</v>
      </c>
      <c r="N386" s="6">
        <v>45.685000000000002</v>
      </c>
      <c r="O386" s="6">
        <v>45.685000000000002</v>
      </c>
      <c r="P386" s="6">
        <v>37</v>
      </c>
      <c r="Q386" s="4" t="s">
        <v>26</v>
      </c>
      <c r="R386" s="4">
        <v>0</v>
      </c>
      <c r="S386" s="6">
        <v>0</v>
      </c>
      <c r="T386" s="6">
        <v>30</v>
      </c>
      <c r="U386" s="6">
        <v>74</v>
      </c>
      <c r="V386" s="6">
        <f>IF(ISERROR(VLOOKUP($S$386,'TAR FIN'!$A$1:$O$91,15,0)),0,VLOOKUP($S$386,'TAR FIN'!$A$1:$O$91,15,0))</f>
        <v>0</v>
      </c>
      <c r="W386" s="6">
        <f>IF(ISERROR(VLOOKUP($T$386,'TAR FIN'!$A$1:$O$91,15,0)),0,VLOOKUP($T$386,'TAR FIN'!$A$1:$O$91,15,0))</f>
        <v>236.77</v>
      </c>
      <c r="X386" s="6">
        <f>IF(ISERROR(VLOOKUP($U$386,'TAR FIN'!$A$1:$O$91,15,0)),0,VLOOKUP($U$386,'TAR FIN'!$A$1:$O$91,15,0))</f>
        <v>117.89</v>
      </c>
      <c r="Y386" s="6"/>
      <c r="Z386" s="6">
        <f ca="1">('TUSD BE'!$AM$37+'TUSD BF'!$AM$37+'TUSD CVA'!$AM$37)*(1-CUSTOS!$M$38)</f>
        <v>323.18581193481282</v>
      </c>
      <c r="AA386" s="6">
        <f>('TE BE'!$AB$25+'TE BF'!$AB$25+'TE CVA'!$AB$25)*(1-CUSTOS!$M$38)</f>
        <v>107.87938095628944</v>
      </c>
      <c r="AB386" s="6">
        <f>$K$386*$V$386</f>
        <v>0</v>
      </c>
      <c r="AC386" s="6">
        <f>$M$386*$W$386</f>
        <v>10816.837450000001</v>
      </c>
      <c r="AD386" s="6">
        <f>$O$386*$X$386</f>
        <v>5385.80465</v>
      </c>
      <c r="AE386" s="6">
        <f>$K$386*$Y$386</f>
        <v>0</v>
      </c>
      <c r="AF386" s="6">
        <f ca="1">$M$386*$Z$386</f>
        <v>14764.743818241925</v>
      </c>
      <c r="AG386" s="6">
        <f>$O$386*$AA$386</f>
        <v>4928.4695189880831</v>
      </c>
    </row>
    <row r="387" spans="1:33" ht="11.25" customHeight="1" x14ac:dyDescent="0.25">
      <c r="A387" s="4" t="s">
        <v>21</v>
      </c>
      <c r="B387" s="4" t="s">
        <v>42</v>
      </c>
      <c r="C387" s="4" t="s">
        <v>23</v>
      </c>
      <c r="D387" s="4" t="s">
        <v>43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44713</v>
      </c>
      <c r="J387" s="6">
        <v>0</v>
      </c>
      <c r="K387" s="6">
        <v>0</v>
      </c>
      <c r="L387" s="6">
        <v>934.24300000000005</v>
      </c>
      <c r="M387" s="6">
        <v>934.24300000000005</v>
      </c>
      <c r="N387" s="6">
        <v>934.24300000000005</v>
      </c>
      <c r="O387" s="6">
        <v>934.24300000000005</v>
      </c>
      <c r="P387" s="6">
        <v>2318</v>
      </c>
      <c r="Q387" s="4" t="s">
        <v>26</v>
      </c>
      <c r="R387" s="4">
        <v>0</v>
      </c>
      <c r="S387" s="6">
        <v>0</v>
      </c>
      <c r="T387" s="6">
        <v>30</v>
      </c>
      <c r="U387" s="6">
        <v>74</v>
      </c>
      <c r="V387" s="6">
        <f>IF(ISERROR(VLOOKUP($S$387,'TAR FIN'!$A$1:$O$91,15,0)),0,VLOOKUP($S$387,'TAR FIN'!$A$1:$O$91,15,0))</f>
        <v>0</v>
      </c>
      <c r="W387" s="6">
        <f>IF(ISERROR(VLOOKUP($T$387,'TAR FIN'!$A$1:$O$91,15,0)),0,VLOOKUP($T$387,'TAR FIN'!$A$1:$O$91,15,0))</f>
        <v>236.77</v>
      </c>
      <c r="X387" s="6">
        <f>IF(ISERROR(VLOOKUP($U$387,'TAR FIN'!$A$1:$O$91,15,0)),0,VLOOKUP($U$387,'TAR FIN'!$A$1:$O$91,15,0))</f>
        <v>117.89</v>
      </c>
      <c r="Y387" s="6"/>
      <c r="Z387" s="6">
        <f ca="1">('TUSD BE'!$AM$37+'TUSD BF'!$AM$37+'TUSD CVA'!$AM$37)*(1-CUSTOS!$M$38)</f>
        <v>323.18581193481282</v>
      </c>
      <c r="AA387" s="6">
        <f>('TE BE'!$AB$25+'TE BF'!$AB$25+'TE CVA'!$AB$25)*(1-CUSTOS!$M$38)</f>
        <v>107.87938095628944</v>
      </c>
      <c r="AB387" s="6">
        <f>$K$387*$V$387</f>
        <v>0</v>
      </c>
      <c r="AC387" s="6">
        <f>$M$387*$W$387</f>
        <v>221200.71511000002</v>
      </c>
      <c r="AD387" s="6">
        <f>$O$387*$X$387</f>
        <v>110137.90727000001</v>
      </c>
      <c r="AE387" s="6">
        <f>$K$387*$Y$387</f>
        <v>0</v>
      </c>
      <c r="AF387" s="6">
        <f ca="1">$M$387*$Z$387</f>
        <v>301934.08249941532</v>
      </c>
      <c r="AG387" s="6">
        <f>$O$387*$AA$387</f>
        <v>100785.55650274672</v>
      </c>
    </row>
    <row r="388" spans="1:33" ht="11.25" customHeight="1" x14ac:dyDescent="0.25">
      <c r="A388" s="4" t="s">
        <v>28</v>
      </c>
      <c r="B388" s="4" t="s">
        <v>42</v>
      </c>
      <c r="C388" s="4" t="s">
        <v>23</v>
      </c>
      <c r="D388" s="4" t="s">
        <v>43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29.890999999999998</v>
      </c>
      <c r="M388" s="6">
        <v>29.890999999999998</v>
      </c>
      <c r="N388" s="6">
        <v>29.890999999999998</v>
      </c>
      <c r="O388" s="6">
        <v>29.890999999999998</v>
      </c>
      <c r="P388" s="6">
        <v>41</v>
      </c>
      <c r="Q388" s="4" t="s">
        <v>26</v>
      </c>
      <c r="R388" s="4">
        <v>0</v>
      </c>
      <c r="S388" s="6">
        <v>0</v>
      </c>
      <c r="T388" s="6">
        <v>30</v>
      </c>
      <c r="U388" s="6">
        <v>74</v>
      </c>
      <c r="V388" s="6">
        <f>IF(ISERROR(VLOOKUP($S$388,'TAR FIN'!$A$1:$O$91,15,0)),0,VLOOKUP($S$388,'TAR FIN'!$A$1:$O$91,15,0))</f>
        <v>0</v>
      </c>
      <c r="W388" s="6">
        <f>IF(ISERROR(VLOOKUP($T$388,'TAR FIN'!$A$1:$O$91,15,0)),0,VLOOKUP($T$388,'TAR FIN'!$A$1:$O$91,15,0))</f>
        <v>236.77</v>
      </c>
      <c r="X388" s="6">
        <f>IF(ISERROR(VLOOKUP($U$388,'TAR FIN'!$A$1:$O$91,15,0)),0,VLOOKUP($U$388,'TAR FIN'!$A$1:$O$91,15,0))</f>
        <v>117.89</v>
      </c>
      <c r="Y388" s="6"/>
      <c r="Z388" s="6">
        <f ca="1">('TUSD BE'!$AM$37+'TUSD BF'!$AM$37+'TUSD CVA'!$AM$37)*(1-CUSTOS!$M$38)</f>
        <v>323.18581193481282</v>
      </c>
      <c r="AA388" s="6">
        <f>('TE BE'!$AB$25+'TE BF'!$AB$25+'TE CVA'!$AB$25)*(1-CUSTOS!$M$38)</f>
        <v>107.87938095628944</v>
      </c>
      <c r="AB388" s="6">
        <f>$K$388*$V$388</f>
        <v>0</v>
      </c>
      <c r="AC388" s="6">
        <f>$M$388*$W$388</f>
        <v>7077.2920699999995</v>
      </c>
      <c r="AD388" s="6">
        <f>$O$388*$X$388</f>
        <v>3523.8499899999997</v>
      </c>
      <c r="AE388" s="6">
        <f>$K$388*$Y$388</f>
        <v>0</v>
      </c>
      <c r="AF388" s="6">
        <f ca="1">$M$388*$Z$388</f>
        <v>9660.347104543489</v>
      </c>
      <c r="AG388" s="6">
        <f>$O$388*$AA$388</f>
        <v>3224.6225761644473</v>
      </c>
    </row>
    <row r="389" spans="1:33" ht="11.25" customHeight="1" x14ac:dyDescent="0.25">
      <c r="A389" s="4" t="s">
        <v>21</v>
      </c>
      <c r="B389" s="4" t="s">
        <v>42</v>
      </c>
      <c r="C389" s="4" t="s">
        <v>23</v>
      </c>
      <c r="D389" s="4" t="s">
        <v>43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44743</v>
      </c>
      <c r="J389" s="6">
        <v>0</v>
      </c>
      <c r="K389" s="6">
        <v>0</v>
      </c>
      <c r="L389" s="6">
        <v>938.06500000000005</v>
      </c>
      <c r="M389" s="6">
        <v>938.06500000000005</v>
      </c>
      <c r="N389" s="6">
        <v>938.06500000000005</v>
      </c>
      <c r="O389" s="6">
        <v>938.06500000000005</v>
      </c>
      <c r="P389" s="6">
        <v>2303</v>
      </c>
      <c r="Q389" s="4" t="s">
        <v>26</v>
      </c>
      <c r="R389" s="4">
        <v>0</v>
      </c>
      <c r="S389" s="6">
        <v>0</v>
      </c>
      <c r="T389" s="6">
        <v>30</v>
      </c>
      <c r="U389" s="6">
        <v>74</v>
      </c>
      <c r="V389" s="6">
        <f>IF(ISERROR(VLOOKUP($S$389,'TAR FIN'!$A$1:$O$91,15,0)),0,VLOOKUP($S$389,'TAR FIN'!$A$1:$O$91,15,0))</f>
        <v>0</v>
      </c>
      <c r="W389" s="6">
        <f>IF(ISERROR(VLOOKUP($T$389,'TAR FIN'!$A$1:$O$91,15,0)),0,VLOOKUP($T$389,'TAR FIN'!$A$1:$O$91,15,0))</f>
        <v>236.77</v>
      </c>
      <c r="X389" s="6">
        <f>IF(ISERROR(VLOOKUP($U$389,'TAR FIN'!$A$1:$O$91,15,0)),0,VLOOKUP($U$389,'TAR FIN'!$A$1:$O$91,15,0))</f>
        <v>117.89</v>
      </c>
      <c r="Y389" s="6"/>
      <c r="Z389" s="6">
        <f ca="1">('TUSD BE'!$AM$37+'TUSD BF'!$AM$37+'TUSD CVA'!$AM$37)*(1-CUSTOS!$M$38)</f>
        <v>323.18581193481282</v>
      </c>
      <c r="AA389" s="6">
        <f>('TE BE'!$AB$25+'TE BF'!$AB$25+'TE CVA'!$AB$25)*(1-CUSTOS!$M$38)</f>
        <v>107.87938095628944</v>
      </c>
      <c r="AB389" s="6">
        <f>$K$389*$V$389</f>
        <v>0</v>
      </c>
      <c r="AC389" s="6">
        <f>$M$389*$W$389</f>
        <v>222105.65005000003</v>
      </c>
      <c r="AD389" s="6">
        <f>$O$389*$X$389</f>
        <v>110588.48285</v>
      </c>
      <c r="AE389" s="6">
        <f>$K$389*$Y$389</f>
        <v>0</v>
      </c>
      <c r="AF389" s="6">
        <f ca="1">$M$389*$Z$389</f>
        <v>303169.29867263022</v>
      </c>
      <c r="AG389" s="6">
        <f>$O$389*$AA$389</f>
        <v>101197.87149676165</v>
      </c>
    </row>
    <row r="390" spans="1:33" ht="11.25" customHeight="1" x14ac:dyDescent="0.25">
      <c r="A390" s="4" t="s">
        <v>27</v>
      </c>
      <c r="B390" s="4" t="s">
        <v>42</v>
      </c>
      <c r="C390" s="4" t="s">
        <v>23</v>
      </c>
      <c r="D390" s="4" t="s">
        <v>43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44743</v>
      </c>
      <c r="J390" s="6">
        <v>0</v>
      </c>
      <c r="K390" s="6">
        <v>0</v>
      </c>
      <c r="L390" s="6">
        <v>-0.17199999999999999</v>
      </c>
      <c r="M390" s="6">
        <v>-0.17199999999999999</v>
      </c>
      <c r="N390" s="6">
        <v>-0.17199999999999999</v>
      </c>
      <c r="O390" s="6">
        <v>-0.17199999999999999</v>
      </c>
      <c r="P390" s="6">
        <v>0</v>
      </c>
      <c r="Q390" s="4" t="s">
        <v>26</v>
      </c>
      <c r="R390" s="4">
        <v>0</v>
      </c>
      <c r="S390" s="6">
        <v>0</v>
      </c>
      <c r="T390" s="6">
        <v>30</v>
      </c>
      <c r="U390" s="6">
        <v>74</v>
      </c>
      <c r="V390" s="6">
        <f>IF(ISERROR(VLOOKUP($S$390,'TAR FIN'!$A$1:$O$91,15,0)),0,VLOOKUP($S$390,'TAR FIN'!$A$1:$O$91,15,0))</f>
        <v>0</v>
      </c>
      <c r="W390" s="6">
        <f>IF(ISERROR(VLOOKUP($T$390,'TAR FIN'!$A$1:$O$91,15,0)),0,VLOOKUP($T$390,'TAR FIN'!$A$1:$O$91,15,0))</f>
        <v>236.77</v>
      </c>
      <c r="X390" s="6">
        <f>IF(ISERROR(VLOOKUP($U$390,'TAR FIN'!$A$1:$O$91,15,0)),0,VLOOKUP($U$390,'TAR FIN'!$A$1:$O$91,15,0))</f>
        <v>117.89</v>
      </c>
      <c r="Y390" s="6"/>
      <c r="Z390" s="6">
        <f ca="1">('TUSD BE'!$AM$37+'TUSD BF'!$AM$37+'TUSD CVA'!$AM$37)*(1-CUSTOS!$M$38)</f>
        <v>323.18581193481282</v>
      </c>
      <c r="AA390" s="6">
        <f>('TE BE'!$AB$25+'TE BF'!$AB$25+'TE CVA'!$AB$25)*(1-CUSTOS!$M$38)</f>
        <v>107.87938095628944</v>
      </c>
      <c r="AB390" s="6">
        <f>$K$390*$V$390</f>
        <v>0</v>
      </c>
      <c r="AC390" s="6">
        <f>$M$390*$W$390</f>
        <v>-40.724440000000001</v>
      </c>
      <c r="AD390" s="6">
        <f>$O$390*$X$390</f>
        <v>-20.277079999999998</v>
      </c>
      <c r="AE390" s="6">
        <f>$K$390*$Y$390</f>
        <v>0</v>
      </c>
      <c r="AF390" s="6">
        <f ca="1">$M$390*$Z$390</f>
        <v>-55.587959652787802</v>
      </c>
      <c r="AG390" s="6">
        <f>$O$390*$AA$390</f>
        <v>-18.555253524481781</v>
      </c>
    </row>
    <row r="391" spans="1:33" ht="11.25" customHeight="1" x14ac:dyDescent="0.25">
      <c r="A391" s="4" t="s">
        <v>28</v>
      </c>
      <c r="B391" s="4" t="s">
        <v>42</v>
      </c>
      <c r="C391" s="4" t="s">
        <v>23</v>
      </c>
      <c r="D391" s="4" t="s">
        <v>43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44743</v>
      </c>
      <c r="J391" s="6">
        <v>0</v>
      </c>
      <c r="K391" s="6">
        <v>0</v>
      </c>
      <c r="L391" s="6">
        <v>35.591999999999999</v>
      </c>
      <c r="M391" s="6">
        <v>35.591999999999999</v>
      </c>
      <c r="N391" s="6">
        <v>35.591999999999999</v>
      </c>
      <c r="O391" s="6">
        <v>35.591999999999999</v>
      </c>
      <c r="P391" s="6">
        <v>49</v>
      </c>
      <c r="Q391" s="4" t="s">
        <v>26</v>
      </c>
      <c r="R391" s="4">
        <v>0</v>
      </c>
      <c r="S391" s="6">
        <v>0</v>
      </c>
      <c r="T391" s="6">
        <v>30</v>
      </c>
      <c r="U391" s="6">
        <v>74</v>
      </c>
      <c r="V391" s="6">
        <f>IF(ISERROR(VLOOKUP($S$391,'TAR FIN'!$A$1:$O$91,15,0)),0,VLOOKUP($S$391,'TAR FIN'!$A$1:$O$91,15,0))</f>
        <v>0</v>
      </c>
      <c r="W391" s="6">
        <f>IF(ISERROR(VLOOKUP($T$391,'TAR FIN'!$A$1:$O$91,15,0)),0,VLOOKUP($T$391,'TAR FIN'!$A$1:$O$91,15,0))</f>
        <v>236.77</v>
      </c>
      <c r="X391" s="6">
        <f>IF(ISERROR(VLOOKUP($U$391,'TAR FIN'!$A$1:$O$91,15,0)),0,VLOOKUP($U$391,'TAR FIN'!$A$1:$O$91,15,0))</f>
        <v>117.89</v>
      </c>
      <c r="Y391" s="6"/>
      <c r="Z391" s="6">
        <f ca="1">('TUSD BE'!$AM$37+'TUSD BF'!$AM$37+'TUSD CVA'!$AM$37)*(1-CUSTOS!$M$38)</f>
        <v>323.18581193481282</v>
      </c>
      <c r="AA391" s="6">
        <f>('TE BE'!$AB$25+'TE BF'!$AB$25+'TE CVA'!$AB$25)*(1-CUSTOS!$M$38)</f>
        <v>107.87938095628944</v>
      </c>
      <c r="AB391" s="6">
        <f>$K$391*$V$391</f>
        <v>0</v>
      </c>
      <c r="AC391" s="6">
        <f>$M$391*$W$391</f>
        <v>8427.1178400000008</v>
      </c>
      <c r="AD391" s="6">
        <f>$O$391*$X$391</f>
        <v>4195.9408800000001</v>
      </c>
      <c r="AE391" s="6">
        <f>$K$391*$Y$391</f>
        <v>0</v>
      </c>
      <c r="AF391" s="6">
        <f ca="1">$M$391*$Z$391</f>
        <v>11502.829418383857</v>
      </c>
      <c r="AG391" s="6">
        <f>$O$391*$AA$391</f>
        <v>3839.6429269962537</v>
      </c>
    </row>
    <row r="392" spans="1:33" ht="11.25" customHeight="1" x14ac:dyDescent="0.25">
      <c r="A392" s="4" t="s">
        <v>57</v>
      </c>
      <c r="B392" s="4" t="s">
        <v>42</v>
      </c>
      <c r="C392" s="4" t="s">
        <v>23</v>
      </c>
      <c r="D392" s="4" t="s">
        <v>43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44774</v>
      </c>
      <c r="J392" s="6">
        <v>0</v>
      </c>
      <c r="K392" s="6">
        <v>0</v>
      </c>
      <c r="L392" s="6">
        <v>938.06500000000005</v>
      </c>
      <c r="M392" s="6">
        <v>938.06500000000005</v>
      </c>
      <c r="N392" s="6">
        <v>938.06500000000005</v>
      </c>
      <c r="O392" s="6">
        <v>938.06500000000005</v>
      </c>
      <c r="P392" s="6">
        <v>2303</v>
      </c>
      <c r="Q392" s="4" t="s">
        <v>26</v>
      </c>
      <c r="R392" s="4">
        <v>0</v>
      </c>
      <c r="S392" s="6">
        <v>0</v>
      </c>
      <c r="T392" s="6">
        <v>30</v>
      </c>
      <c r="U392" s="6">
        <v>74</v>
      </c>
      <c r="V392" s="6">
        <f>IF(ISERROR(VLOOKUP($S$392,'TAR FIN'!$A$1:$O$91,15,0)),0,VLOOKUP($S$392,'TAR FIN'!$A$1:$O$91,15,0))</f>
        <v>0</v>
      </c>
      <c r="W392" s="6">
        <f>IF(ISERROR(VLOOKUP($T$392,'TAR FIN'!$A$1:$O$91,15,0)),0,VLOOKUP($T$392,'TAR FIN'!$A$1:$O$91,15,0))</f>
        <v>236.77</v>
      </c>
      <c r="X392" s="6">
        <f>IF(ISERROR(VLOOKUP($U$392,'TAR FIN'!$A$1:$O$91,15,0)),0,VLOOKUP($U$392,'TAR FIN'!$A$1:$O$91,15,0))</f>
        <v>117.89</v>
      </c>
      <c r="Y392" s="6"/>
      <c r="Z392" s="6">
        <f ca="1">('TUSD BE'!$AM$37+'TUSD BF'!$AM$37+'TUSD CVA'!$AM$37)*(1-CUSTOS!$M$38)</f>
        <v>323.18581193481282</v>
      </c>
      <c r="AA392" s="6">
        <f>('TE BE'!$AB$25+'TE BF'!$AB$25+'TE CVA'!$AB$25)*(1-CUSTOS!$M$38)</f>
        <v>107.87938095628944</v>
      </c>
      <c r="AB392" s="6">
        <f>$K$392*$V$392</f>
        <v>0</v>
      </c>
      <c r="AC392" s="6">
        <f>$M$392*$W$392</f>
        <v>222105.65005000003</v>
      </c>
      <c r="AD392" s="6">
        <f>$O$392*$X$392</f>
        <v>110588.48285</v>
      </c>
      <c r="AE392" s="6">
        <f>$K$392*$Y$392</f>
        <v>0</v>
      </c>
      <c r="AF392" s="6">
        <f ca="1">$M$392*$Z$392</f>
        <v>303169.29867263022</v>
      </c>
      <c r="AG392" s="6">
        <f>$O$392*$AA$392</f>
        <v>101197.87149676165</v>
      </c>
    </row>
    <row r="393" spans="1:33" ht="11.25" customHeight="1" x14ac:dyDescent="0.25">
      <c r="A393" s="4" t="s">
        <v>57</v>
      </c>
      <c r="B393" s="4" t="s">
        <v>42</v>
      </c>
      <c r="C393" s="4" t="s">
        <v>23</v>
      </c>
      <c r="D393" s="4" t="s">
        <v>43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44774</v>
      </c>
      <c r="J393" s="6">
        <v>0</v>
      </c>
      <c r="K393" s="6">
        <v>0</v>
      </c>
      <c r="L393" s="6">
        <v>-0.17199999999999999</v>
      </c>
      <c r="M393" s="6">
        <v>-0.17199999999999999</v>
      </c>
      <c r="N393" s="6">
        <v>-0.17199999999999999</v>
      </c>
      <c r="O393" s="6">
        <v>-0.17199999999999999</v>
      </c>
      <c r="P393" s="6">
        <v>0</v>
      </c>
      <c r="Q393" s="4" t="s">
        <v>26</v>
      </c>
      <c r="R393" s="4">
        <v>0</v>
      </c>
      <c r="S393" s="6">
        <v>0</v>
      </c>
      <c r="T393" s="6">
        <v>30</v>
      </c>
      <c r="U393" s="6">
        <v>74</v>
      </c>
      <c r="V393" s="6">
        <f>IF(ISERROR(VLOOKUP($S$393,'TAR FIN'!$A$1:$O$91,15,0)),0,VLOOKUP($S$393,'TAR FIN'!$A$1:$O$91,15,0))</f>
        <v>0</v>
      </c>
      <c r="W393" s="6">
        <f>IF(ISERROR(VLOOKUP($T$393,'TAR FIN'!$A$1:$O$91,15,0)),0,VLOOKUP($T$393,'TAR FIN'!$A$1:$O$91,15,0))</f>
        <v>236.77</v>
      </c>
      <c r="X393" s="6">
        <f>IF(ISERROR(VLOOKUP($U$393,'TAR FIN'!$A$1:$O$91,15,0)),0,VLOOKUP($U$393,'TAR FIN'!$A$1:$O$91,15,0))</f>
        <v>117.89</v>
      </c>
      <c r="Y393" s="6"/>
      <c r="Z393" s="6">
        <f ca="1">('TUSD BE'!$AM$37+'TUSD BF'!$AM$37+'TUSD CVA'!$AM$37)*(1-CUSTOS!$M$38)</f>
        <v>323.18581193481282</v>
      </c>
      <c r="AA393" s="6">
        <f>('TE BE'!$AB$25+'TE BF'!$AB$25+'TE CVA'!$AB$25)*(1-CUSTOS!$M$38)</f>
        <v>107.87938095628944</v>
      </c>
      <c r="AB393" s="6">
        <f>$K$393*$V$393</f>
        <v>0</v>
      </c>
      <c r="AC393" s="6">
        <f>$M$393*$W$393</f>
        <v>-40.724440000000001</v>
      </c>
      <c r="AD393" s="6">
        <f>$O$393*$X$393</f>
        <v>-20.277079999999998</v>
      </c>
      <c r="AE393" s="6">
        <f>$K$393*$Y$393</f>
        <v>0</v>
      </c>
      <c r="AF393" s="6">
        <f ca="1">$M$393*$Z$393</f>
        <v>-55.587959652787802</v>
      </c>
      <c r="AG393" s="6">
        <f>$O$393*$AA$393</f>
        <v>-18.555253524481781</v>
      </c>
    </row>
    <row r="394" spans="1:33" ht="11.25" customHeight="1" x14ac:dyDescent="0.25">
      <c r="A394" s="4" t="s">
        <v>57</v>
      </c>
      <c r="B394" s="4" t="s">
        <v>42</v>
      </c>
      <c r="C394" s="4" t="s">
        <v>23</v>
      </c>
      <c r="D394" s="4" t="s">
        <v>43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44774</v>
      </c>
      <c r="J394" s="6">
        <v>0</v>
      </c>
      <c r="K394" s="6">
        <v>0</v>
      </c>
      <c r="L394" s="6">
        <v>35.591999999999999</v>
      </c>
      <c r="M394" s="6">
        <v>35.591999999999999</v>
      </c>
      <c r="N394" s="6">
        <v>35.591999999999999</v>
      </c>
      <c r="O394" s="6">
        <v>35.591999999999999</v>
      </c>
      <c r="P394" s="6">
        <v>49</v>
      </c>
      <c r="Q394" s="4" t="s">
        <v>26</v>
      </c>
      <c r="R394" s="4">
        <v>0</v>
      </c>
      <c r="S394" s="6">
        <v>0</v>
      </c>
      <c r="T394" s="6">
        <v>30</v>
      </c>
      <c r="U394" s="6">
        <v>74</v>
      </c>
      <c r="V394" s="6">
        <f>IF(ISERROR(VLOOKUP($S$394,'TAR FIN'!$A$1:$O$91,15,0)),0,VLOOKUP($S$394,'TAR FIN'!$A$1:$O$91,15,0))</f>
        <v>0</v>
      </c>
      <c r="W394" s="6">
        <f>IF(ISERROR(VLOOKUP($T$394,'TAR FIN'!$A$1:$O$91,15,0)),0,VLOOKUP($T$394,'TAR FIN'!$A$1:$O$91,15,0))</f>
        <v>236.77</v>
      </c>
      <c r="X394" s="6">
        <f>IF(ISERROR(VLOOKUP($U$394,'TAR FIN'!$A$1:$O$91,15,0)),0,VLOOKUP($U$394,'TAR FIN'!$A$1:$O$91,15,0))</f>
        <v>117.89</v>
      </c>
      <c r="Y394" s="6"/>
      <c r="Z394" s="6">
        <f ca="1">('TUSD BE'!$AM$37+'TUSD BF'!$AM$37+'TUSD CVA'!$AM$37)*(1-CUSTOS!$M$38)</f>
        <v>323.18581193481282</v>
      </c>
      <c r="AA394" s="6">
        <f>('TE BE'!$AB$25+'TE BF'!$AB$25+'TE CVA'!$AB$25)*(1-CUSTOS!$M$38)</f>
        <v>107.87938095628944</v>
      </c>
      <c r="AB394" s="6">
        <f>$K$394*$V$394</f>
        <v>0</v>
      </c>
      <c r="AC394" s="6">
        <f>$M$394*$W$394</f>
        <v>8427.1178400000008</v>
      </c>
      <c r="AD394" s="6">
        <f>$O$394*$X$394</f>
        <v>4195.9408800000001</v>
      </c>
      <c r="AE394" s="6">
        <f>$K$394*$Y$394</f>
        <v>0</v>
      </c>
      <c r="AF394" s="6">
        <f ca="1">$M$394*$Z$394</f>
        <v>11502.829418383857</v>
      </c>
      <c r="AG394" s="6">
        <f>$O$394*$AA$394</f>
        <v>3839.6429269962537</v>
      </c>
    </row>
    <row r="395" spans="1:33" ht="11.25" customHeight="1" x14ac:dyDescent="0.25">
      <c r="A395" s="4" t="s">
        <v>21</v>
      </c>
      <c r="B395" s="4" t="s">
        <v>33</v>
      </c>
      <c r="C395" s="4" t="s">
        <v>23</v>
      </c>
      <c r="D395" s="4" t="s">
        <v>41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44440</v>
      </c>
      <c r="J395" s="6">
        <v>0</v>
      </c>
      <c r="K395" s="6">
        <v>0</v>
      </c>
      <c r="L395" s="6">
        <v>1024.357</v>
      </c>
      <c r="M395" s="6">
        <v>1024.357</v>
      </c>
      <c r="N395" s="6">
        <v>1024.357</v>
      </c>
      <c r="O395" s="6">
        <v>1024.357</v>
      </c>
      <c r="P395" s="6">
        <v>1641</v>
      </c>
      <c r="Q395" s="4" t="s">
        <v>26</v>
      </c>
      <c r="R395" s="4">
        <v>0</v>
      </c>
      <c r="S395" s="6">
        <v>0</v>
      </c>
      <c r="T395" s="6">
        <v>26</v>
      </c>
      <c r="U395" s="6">
        <v>75</v>
      </c>
      <c r="V395" s="6">
        <f>IF(ISERROR(VLOOKUP($S$395,'TAR FIN'!$A$1:$O$91,15,0)),0,VLOOKUP($S$395,'TAR FIN'!$A$1:$O$91,15,0))</f>
        <v>0</v>
      </c>
      <c r="W395" s="6">
        <f>IF(ISERROR(VLOOKUP($T$395,'TAR FIN'!$A$1:$O$91,15,0)),0,VLOOKUP($T$395,'TAR FIN'!$A$1:$O$91,15,0))</f>
        <v>269.06</v>
      </c>
      <c r="X395" s="6">
        <f>IF(ISERROR(VLOOKUP($U$395,'TAR FIN'!$A$1:$O$91,15,0)),0,VLOOKUP($U$395,'TAR FIN'!$A$1:$O$91,15,0))</f>
        <v>133.97</v>
      </c>
      <c r="Y395" s="6"/>
      <c r="Z395" s="6">
        <f ca="1">('TUSD BE'!$AM$52+'TUSD BF'!$AM$52+'TUSD CVA'!$AM$52)*1</f>
        <v>343.81469354767324</v>
      </c>
      <c r="AA395" s="6">
        <f>('TE BE'!$AB$40+'TE BF'!$AB$40+'TE CVA'!$AB$40)*1</f>
        <v>114.76529888966962</v>
      </c>
      <c r="AB395" s="6">
        <f>$K$395*$V$395</f>
        <v>0</v>
      </c>
      <c r="AC395" s="6">
        <f>$M$395*$W$395</f>
        <v>275613.49442</v>
      </c>
      <c r="AD395" s="6">
        <f>$O$395*$X$395</f>
        <v>137233.10728999999</v>
      </c>
      <c r="AE395" s="6">
        <f>$K$395*$Y$395</f>
        <v>0</v>
      </c>
      <c r="AF395" s="6">
        <f ca="1">$M$395*$Z$395</f>
        <v>352188.98803841393</v>
      </c>
      <c r="AG395" s="6">
        <f>$O$395*$AA$395</f>
        <v>117560.6372747253</v>
      </c>
    </row>
    <row r="396" spans="1:33" ht="11.25" customHeight="1" x14ac:dyDescent="0.25">
      <c r="A396" s="4" t="s">
        <v>28</v>
      </c>
      <c r="B396" s="4" t="s">
        <v>33</v>
      </c>
      <c r="C396" s="4" t="s">
        <v>23</v>
      </c>
      <c r="D396" s="4" t="s">
        <v>41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44440</v>
      </c>
      <c r="J396" s="6">
        <v>0</v>
      </c>
      <c r="K396" s="6">
        <v>0</v>
      </c>
      <c r="L396" s="6">
        <v>0.49</v>
      </c>
      <c r="M396" s="6">
        <v>0.49</v>
      </c>
      <c r="N396" s="6">
        <v>0.49</v>
      </c>
      <c r="O396" s="6">
        <v>0.49</v>
      </c>
      <c r="P396" s="6">
        <v>4</v>
      </c>
      <c r="Q396" s="4" t="s">
        <v>26</v>
      </c>
      <c r="R396" s="4">
        <v>0</v>
      </c>
      <c r="S396" s="6">
        <v>0</v>
      </c>
      <c r="T396" s="6">
        <v>26</v>
      </c>
      <c r="U396" s="6">
        <v>75</v>
      </c>
      <c r="V396" s="6">
        <f>IF(ISERROR(VLOOKUP($S$396,'TAR FIN'!$A$1:$O$91,15,0)),0,VLOOKUP($S$396,'TAR FIN'!$A$1:$O$91,15,0))</f>
        <v>0</v>
      </c>
      <c r="W396" s="6">
        <f>IF(ISERROR(VLOOKUP($T$396,'TAR FIN'!$A$1:$O$91,15,0)),0,VLOOKUP($T$396,'TAR FIN'!$A$1:$O$91,15,0))</f>
        <v>269.06</v>
      </c>
      <c r="X396" s="6">
        <f>IF(ISERROR(VLOOKUP($U$396,'TAR FIN'!$A$1:$O$91,15,0)),0,VLOOKUP($U$396,'TAR FIN'!$A$1:$O$91,15,0))</f>
        <v>133.97</v>
      </c>
      <c r="Y396" s="6"/>
      <c r="Z396" s="6">
        <f ca="1">('TUSD BE'!$AM$52+'TUSD BF'!$AM$52+'TUSD CVA'!$AM$52)*1</f>
        <v>343.81469354767324</v>
      </c>
      <c r="AA396" s="6">
        <f>('TE BE'!$AB$40+'TE BF'!$AB$40+'TE CVA'!$AB$40)*1</f>
        <v>114.76529888966962</v>
      </c>
      <c r="AB396" s="6">
        <f>$K$396*$V$396</f>
        <v>0</v>
      </c>
      <c r="AC396" s="6">
        <f>$M$396*$W$396</f>
        <v>131.83940000000001</v>
      </c>
      <c r="AD396" s="6">
        <f>$O$396*$X$396</f>
        <v>65.645299999999992</v>
      </c>
      <c r="AE396" s="6">
        <f>$K$396*$Y$396</f>
        <v>0</v>
      </c>
      <c r="AF396" s="6">
        <f ca="1">$M$396*$Z$396</f>
        <v>168.46919983835988</v>
      </c>
      <c r="AG396" s="6">
        <f>$O$396*$AA$396</f>
        <v>56.234996455938116</v>
      </c>
    </row>
    <row r="397" spans="1:33" ht="11.25" customHeight="1" x14ac:dyDescent="0.25">
      <c r="A397" s="4" t="s">
        <v>21</v>
      </c>
      <c r="B397" s="4" t="s">
        <v>33</v>
      </c>
      <c r="C397" s="4" t="s">
        <v>23</v>
      </c>
      <c r="D397" s="4" t="s">
        <v>41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44470</v>
      </c>
      <c r="J397" s="6">
        <v>0</v>
      </c>
      <c r="K397" s="6">
        <v>0</v>
      </c>
      <c r="L397" s="6">
        <v>1033.7429999999999</v>
      </c>
      <c r="M397" s="6">
        <v>1033.7429999999999</v>
      </c>
      <c r="N397" s="6">
        <v>1033.7429999999999</v>
      </c>
      <c r="O397" s="6">
        <v>1033.7429999999999</v>
      </c>
      <c r="P397" s="6">
        <v>1652</v>
      </c>
      <c r="Q397" s="4" t="s">
        <v>26</v>
      </c>
      <c r="R397" s="4">
        <v>0</v>
      </c>
      <c r="S397" s="6">
        <v>0</v>
      </c>
      <c r="T397" s="6">
        <v>26</v>
      </c>
      <c r="U397" s="6">
        <v>75</v>
      </c>
      <c r="V397" s="6">
        <f>IF(ISERROR(VLOOKUP($S$397,'TAR FIN'!$A$1:$O$91,15,0)),0,VLOOKUP($S$397,'TAR FIN'!$A$1:$O$91,15,0))</f>
        <v>0</v>
      </c>
      <c r="W397" s="6">
        <f>IF(ISERROR(VLOOKUP($T$397,'TAR FIN'!$A$1:$O$91,15,0)),0,VLOOKUP($T$397,'TAR FIN'!$A$1:$O$91,15,0))</f>
        <v>269.06</v>
      </c>
      <c r="X397" s="6">
        <f>IF(ISERROR(VLOOKUP($U$397,'TAR FIN'!$A$1:$O$91,15,0)),0,VLOOKUP($U$397,'TAR FIN'!$A$1:$O$91,15,0))</f>
        <v>133.97</v>
      </c>
      <c r="Y397" s="6"/>
      <c r="Z397" s="6">
        <f ca="1">('TUSD BE'!$AM$52+'TUSD BF'!$AM$52+'TUSD CVA'!$AM$52)*1</f>
        <v>343.81469354767324</v>
      </c>
      <c r="AA397" s="6">
        <f>('TE BE'!$AB$40+'TE BF'!$AB$40+'TE CVA'!$AB$40)*1</f>
        <v>114.76529888966962</v>
      </c>
      <c r="AB397" s="6">
        <f>$K$397*$V$397</f>
        <v>0</v>
      </c>
      <c r="AC397" s="6">
        <f>$M$397*$W$397</f>
        <v>278138.89158</v>
      </c>
      <c r="AD397" s="6">
        <f>$O$397*$X$397</f>
        <v>138490.54970999999</v>
      </c>
      <c r="AE397" s="6">
        <f>$K$397*$Y$397</f>
        <v>0</v>
      </c>
      <c r="AF397" s="6">
        <f ca="1">$M$397*$Z$397</f>
        <v>355416.03275205236</v>
      </c>
      <c r="AG397" s="6">
        <f>$O$397*$AA$397</f>
        <v>118637.82437010374</v>
      </c>
    </row>
    <row r="398" spans="1:33" ht="11.25" customHeight="1" x14ac:dyDescent="0.25">
      <c r="A398" s="4" t="s">
        <v>28</v>
      </c>
      <c r="B398" s="4" t="s">
        <v>33</v>
      </c>
      <c r="C398" s="4" t="s">
        <v>23</v>
      </c>
      <c r="D398" s="4" t="s">
        <v>41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44470</v>
      </c>
      <c r="J398" s="6">
        <v>0</v>
      </c>
      <c r="K398" s="6">
        <v>0</v>
      </c>
      <c r="L398" s="6">
        <v>0.69899999999999995</v>
      </c>
      <c r="M398" s="6">
        <v>0.69899999999999995</v>
      </c>
      <c r="N398" s="6">
        <v>0.69899999999999995</v>
      </c>
      <c r="O398" s="6">
        <v>0.69899999999999995</v>
      </c>
      <c r="P398" s="6">
        <v>4</v>
      </c>
      <c r="Q398" s="4" t="s">
        <v>26</v>
      </c>
      <c r="R398" s="4">
        <v>0</v>
      </c>
      <c r="S398" s="6">
        <v>0</v>
      </c>
      <c r="T398" s="6">
        <v>26</v>
      </c>
      <c r="U398" s="6">
        <v>75</v>
      </c>
      <c r="V398" s="6">
        <f>IF(ISERROR(VLOOKUP($S$398,'TAR FIN'!$A$1:$O$91,15,0)),0,VLOOKUP($S$398,'TAR FIN'!$A$1:$O$91,15,0))</f>
        <v>0</v>
      </c>
      <c r="W398" s="6">
        <f>IF(ISERROR(VLOOKUP($T$398,'TAR FIN'!$A$1:$O$91,15,0)),0,VLOOKUP($T$398,'TAR FIN'!$A$1:$O$91,15,0))</f>
        <v>269.06</v>
      </c>
      <c r="X398" s="6">
        <f>IF(ISERROR(VLOOKUP($U$398,'TAR FIN'!$A$1:$O$91,15,0)),0,VLOOKUP($U$398,'TAR FIN'!$A$1:$O$91,15,0))</f>
        <v>133.97</v>
      </c>
      <c r="Y398" s="6"/>
      <c r="Z398" s="6">
        <f ca="1">('TUSD BE'!$AM$52+'TUSD BF'!$AM$52+'TUSD CVA'!$AM$52)*1</f>
        <v>343.81469354767324</v>
      </c>
      <c r="AA398" s="6">
        <f>('TE BE'!$AB$40+'TE BF'!$AB$40+'TE CVA'!$AB$40)*1</f>
        <v>114.76529888966962</v>
      </c>
      <c r="AB398" s="6">
        <f>$K$398*$V$398</f>
        <v>0</v>
      </c>
      <c r="AC398" s="6">
        <f>$M$398*$W$398</f>
        <v>188.07293999999999</v>
      </c>
      <c r="AD398" s="6">
        <f>$O$398*$X$398</f>
        <v>93.645029999999991</v>
      </c>
      <c r="AE398" s="6">
        <f>$K$398*$Y$398</f>
        <v>0</v>
      </c>
      <c r="AF398" s="6">
        <f ca="1">$M$398*$Z$398</f>
        <v>240.32647078982359</v>
      </c>
      <c r="AG398" s="6">
        <f>$O$398*$AA$398</f>
        <v>80.220943923879062</v>
      </c>
    </row>
    <row r="399" spans="1:33" ht="11.25" customHeight="1" x14ac:dyDescent="0.25">
      <c r="A399" s="4" t="s">
        <v>21</v>
      </c>
      <c r="B399" s="4" t="s">
        <v>33</v>
      </c>
      <c r="C399" s="4" t="s">
        <v>23</v>
      </c>
      <c r="D399" s="4" t="s">
        <v>41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44501</v>
      </c>
      <c r="J399" s="6">
        <v>0</v>
      </c>
      <c r="K399" s="6">
        <v>0</v>
      </c>
      <c r="L399" s="6">
        <v>1053.56</v>
      </c>
      <c r="M399" s="6">
        <v>1053.56</v>
      </c>
      <c r="N399" s="6">
        <v>1053.56</v>
      </c>
      <c r="O399" s="6">
        <v>1053.56</v>
      </c>
      <c r="P399" s="6">
        <v>1653</v>
      </c>
      <c r="Q399" s="4" t="s">
        <v>26</v>
      </c>
      <c r="R399" s="4">
        <v>0</v>
      </c>
      <c r="S399" s="6">
        <v>0</v>
      </c>
      <c r="T399" s="6">
        <v>26</v>
      </c>
      <c r="U399" s="6">
        <v>75</v>
      </c>
      <c r="V399" s="6">
        <f>IF(ISERROR(VLOOKUP($S$399,'TAR FIN'!$A$1:$O$91,15,0)),0,VLOOKUP($S$399,'TAR FIN'!$A$1:$O$91,15,0))</f>
        <v>0</v>
      </c>
      <c r="W399" s="6">
        <f>IF(ISERROR(VLOOKUP($T$399,'TAR FIN'!$A$1:$O$91,15,0)),0,VLOOKUP($T$399,'TAR FIN'!$A$1:$O$91,15,0))</f>
        <v>269.06</v>
      </c>
      <c r="X399" s="6">
        <f>IF(ISERROR(VLOOKUP($U$399,'TAR FIN'!$A$1:$O$91,15,0)),0,VLOOKUP($U$399,'TAR FIN'!$A$1:$O$91,15,0))</f>
        <v>133.97</v>
      </c>
      <c r="Y399" s="6"/>
      <c r="Z399" s="6">
        <f ca="1">('TUSD BE'!$AM$52+'TUSD BF'!$AM$52+'TUSD CVA'!$AM$52)*1</f>
        <v>343.81469354767324</v>
      </c>
      <c r="AA399" s="6">
        <f>('TE BE'!$AB$40+'TE BF'!$AB$40+'TE CVA'!$AB$40)*1</f>
        <v>114.76529888966962</v>
      </c>
      <c r="AB399" s="6">
        <f>$K$399*$V$399</f>
        <v>0</v>
      </c>
      <c r="AC399" s="6">
        <f>$M$399*$W$399</f>
        <v>283470.85359999997</v>
      </c>
      <c r="AD399" s="6">
        <f>$O$399*$X$399</f>
        <v>141145.4332</v>
      </c>
      <c r="AE399" s="6">
        <f>$K$399*$Y$399</f>
        <v>0</v>
      </c>
      <c r="AF399" s="6">
        <f ca="1">$M$399*$Z$399</f>
        <v>362229.4085340866</v>
      </c>
      <c r="AG399" s="6">
        <f>$O$399*$AA$399</f>
        <v>120912.12829820032</v>
      </c>
    </row>
    <row r="400" spans="1:33" ht="11.25" customHeight="1" x14ac:dyDescent="0.25">
      <c r="A400" s="4" t="s">
        <v>27</v>
      </c>
      <c r="B400" s="4" t="s">
        <v>33</v>
      </c>
      <c r="C400" s="4" t="s">
        <v>23</v>
      </c>
      <c r="D400" s="4" t="s">
        <v>41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44501</v>
      </c>
      <c r="J400" s="6">
        <v>0</v>
      </c>
      <c r="K400" s="6">
        <v>0</v>
      </c>
      <c r="L400" s="6">
        <v>0.08</v>
      </c>
      <c r="M400" s="6">
        <v>0.08</v>
      </c>
      <c r="N400" s="6">
        <v>0.08</v>
      </c>
      <c r="O400" s="6">
        <v>0.08</v>
      </c>
      <c r="P400" s="6">
        <v>0</v>
      </c>
      <c r="Q400" s="4" t="s">
        <v>26</v>
      </c>
      <c r="R400" s="4">
        <v>0</v>
      </c>
      <c r="S400" s="6">
        <v>0</v>
      </c>
      <c r="T400" s="6">
        <v>26</v>
      </c>
      <c r="U400" s="6">
        <v>75</v>
      </c>
      <c r="V400" s="6">
        <f>IF(ISERROR(VLOOKUP($S$400,'TAR FIN'!$A$1:$O$91,15,0)),0,VLOOKUP($S$400,'TAR FIN'!$A$1:$O$91,15,0))</f>
        <v>0</v>
      </c>
      <c r="W400" s="6">
        <f>IF(ISERROR(VLOOKUP($T$400,'TAR FIN'!$A$1:$O$91,15,0)),0,VLOOKUP($T$400,'TAR FIN'!$A$1:$O$91,15,0))</f>
        <v>269.06</v>
      </c>
      <c r="X400" s="6">
        <f>IF(ISERROR(VLOOKUP($U$400,'TAR FIN'!$A$1:$O$91,15,0)),0,VLOOKUP($U$400,'TAR FIN'!$A$1:$O$91,15,0))</f>
        <v>133.97</v>
      </c>
      <c r="Y400" s="6"/>
      <c r="Z400" s="6">
        <f ca="1">('TUSD BE'!$AM$52+'TUSD BF'!$AM$52+'TUSD CVA'!$AM$52)*1</f>
        <v>343.81469354767324</v>
      </c>
      <c r="AA400" s="6">
        <f>('TE BE'!$AB$40+'TE BF'!$AB$40+'TE CVA'!$AB$40)*1</f>
        <v>114.76529888966962</v>
      </c>
      <c r="AB400" s="6">
        <f>$K$400*$V$400</f>
        <v>0</v>
      </c>
      <c r="AC400" s="6">
        <f>$M$400*$W$400</f>
        <v>21.524799999999999</v>
      </c>
      <c r="AD400" s="6">
        <f>$O$400*$X$400</f>
        <v>10.717600000000001</v>
      </c>
      <c r="AE400" s="6">
        <f>$K$400*$Y$400</f>
        <v>0</v>
      </c>
      <c r="AF400" s="6">
        <f ca="1">$M$400*$Z$400</f>
        <v>27.505175483813861</v>
      </c>
      <c r="AG400" s="6">
        <f>$O$400*$AA$400</f>
        <v>9.1812239111735696</v>
      </c>
    </row>
    <row r="401" spans="1:33" ht="11.25" customHeight="1" x14ac:dyDescent="0.25">
      <c r="A401" s="4" t="s">
        <v>28</v>
      </c>
      <c r="B401" s="4" t="s">
        <v>33</v>
      </c>
      <c r="C401" s="4" t="s">
        <v>23</v>
      </c>
      <c r="D401" s="4" t="s">
        <v>41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44501</v>
      </c>
      <c r="J401" s="6">
        <v>0</v>
      </c>
      <c r="K401" s="6">
        <v>0</v>
      </c>
      <c r="L401" s="6">
        <v>0.43</v>
      </c>
      <c r="M401" s="6">
        <v>0.43</v>
      </c>
      <c r="N401" s="6">
        <v>0.43</v>
      </c>
      <c r="O401" s="6">
        <v>0.43</v>
      </c>
      <c r="P401" s="6">
        <v>5</v>
      </c>
      <c r="Q401" s="4" t="s">
        <v>26</v>
      </c>
      <c r="R401" s="4">
        <v>0</v>
      </c>
      <c r="S401" s="6">
        <v>0</v>
      </c>
      <c r="T401" s="6">
        <v>26</v>
      </c>
      <c r="U401" s="6">
        <v>75</v>
      </c>
      <c r="V401" s="6">
        <f>IF(ISERROR(VLOOKUP($S$401,'TAR FIN'!$A$1:$O$91,15,0)),0,VLOOKUP($S$401,'TAR FIN'!$A$1:$O$91,15,0))</f>
        <v>0</v>
      </c>
      <c r="W401" s="6">
        <f>IF(ISERROR(VLOOKUP($T$401,'TAR FIN'!$A$1:$O$91,15,0)),0,VLOOKUP($T$401,'TAR FIN'!$A$1:$O$91,15,0))</f>
        <v>269.06</v>
      </c>
      <c r="X401" s="6">
        <f>IF(ISERROR(VLOOKUP($U$401,'TAR FIN'!$A$1:$O$91,15,0)),0,VLOOKUP($U$401,'TAR FIN'!$A$1:$O$91,15,0))</f>
        <v>133.97</v>
      </c>
      <c r="Y401" s="6"/>
      <c r="Z401" s="6">
        <f ca="1">('TUSD BE'!$AM$52+'TUSD BF'!$AM$52+'TUSD CVA'!$AM$52)*1</f>
        <v>343.81469354767324</v>
      </c>
      <c r="AA401" s="6">
        <f>('TE BE'!$AB$40+'TE BF'!$AB$40+'TE CVA'!$AB$40)*1</f>
        <v>114.76529888966962</v>
      </c>
      <c r="AB401" s="6">
        <f>$K$401*$V$401</f>
        <v>0</v>
      </c>
      <c r="AC401" s="6">
        <f>$M$401*$W$401</f>
        <v>115.69580000000001</v>
      </c>
      <c r="AD401" s="6">
        <f>$O$401*$X$401</f>
        <v>57.607099999999996</v>
      </c>
      <c r="AE401" s="6">
        <f>$K$401*$Y$401</f>
        <v>0</v>
      </c>
      <c r="AF401" s="6">
        <f ca="1">$M$401*$Z$401</f>
        <v>147.84031822549949</v>
      </c>
      <c r="AG401" s="6">
        <f>$O$401*$AA$401</f>
        <v>49.349078522557939</v>
      </c>
    </row>
    <row r="402" spans="1:33" ht="11.25" customHeight="1" x14ac:dyDescent="0.25">
      <c r="A402" s="4" t="s">
        <v>21</v>
      </c>
      <c r="B402" s="4" t="s">
        <v>33</v>
      </c>
      <c r="C402" s="4" t="s">
        <v>23</v>
      </c>
      <c r="D402" s="4" t="s">
        <v>41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44531</v>
      </c>
      <c r="J402" s="6">
        <v>0</v>
      </c>
      <c r="K402" s="6">
        <v>0</v>
      </c>
      <c r="L402" s="6">
        <v>1147.079</v>
      </c>
      <c r="M402" s="6">
        <v>1147.079</v>
      </c>
      <c r="N402" s="6">
        <v>1147.079</v>
      </c>
      <c r="O402" s="6">
        <v>1147.079</v>
      </c>
      <c r="P402" s="6">
        <v>1660</v>
      </c>
      <c r="Q402" s="4" t="s">
        <v>26</v>
      </c>
      <c r="R402" s="4">
        <v>0</v>
      </c>
      <c r="S402" s="6">
        <v>0</v>
      </c>
      <c r="T402" s="6">
        <v>26</v>
      </c>
      <c r="U402" s="6">
        <v>75</v>
      </c>
      <c r="V402" s="6">
        <f>IF(ISERROR(VLOOKUP($S$402,'TAR FIN'!$A$1:$O$91,15,0)),0,VLOOKUP($S$402,'TAR FIN'!$A$1:$O$91,15,0))</f>
        <v>0</v>
      </c>
      <c r="W402" s="6">
        <f>IF(ISERROR(VLOOKUP($T$402,'TAR FIN'!$A$1:$O$91,15,0)),0,VLOOKUP($T$402,'TAR FIN'!$A$1:$O$91,15,0))</f>
        <v>269.06</v>
      </c>
      <c r="X402" s="6">
        <f>IF(ISERROR(VLOOKUP($U$402,'TAR FIN'!$A$1:$O$91,15,0)),0,VLOOKUP($U$402,'TAR FIN'!$A$1:$O$91,15,0))</f>
        <v>133.97</v>
      </c>
      <c r="Y402" s="6"/>
      <c r="Z402" s="6">
        <f ca="1">('TUSD BE'!$AM$52+'TUSD BF'!$AM$52+'TUSD CVA'!$AM$52)*1</f>
        <v>343.81469354767324</v>
      </c>
      <c r="AA402" s="6">
        <f>('TE BE'!$AB$40+'TE BF'!$AB$40+'TE CVA'!$AB$40)*1</f>
        <v>114.76529888966962</v>
      </c>
      <c r="AB402" s="6">
        <f>$K$402*$V$402</f>
        <v>0</v>
      </c>
      <c r="AC402" s="6">
        <f>$M$402*$W$402</f>
        <v>308633.07574</v>
      </c>
      <c r="AD402" s="6">
        <f>$O$402*$X$402</f>
        <v>153674.17363</v>
      </c>
      <c r="AE402" s="6">
        <f>$K$402*$Y$402</f>
        <v>0</v>
      </c>
      <c r="AF402" s="6">
        <f ca="1">$M$402*$Z$402</f>
        <v>394382.61485997145</v>
      </c>
      <c r="AG402" s="6">
        <f>$O$402*$AA$402</f>
        <v>131644.86428506335</v>
      </c>
    </row>
    <row r="403" spans="1:33" ht="11.25" customHeight="1" x14ac:dyDescent="0.25">
      <c r="A403" s="4" t="s">
        <v>27</v>
      </c>
      <c r="B403" s="4" t="s">
        <v>33</v>
      </c>
      <c r="C403" s="4" t="s">
        <v>23</v>
      </c>
      <c r="D403" s="4" t="s">
        <v>41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44531</v>
      </c>
      <c r="J403" s="6">
        <v>0</v>
      </c>
      <c r="K403" s="6">
        <v>0</v>
      </c>
      <c r="L403" s="6">
        <v>-0.29899999999999999</v>
      </c>
      <c r="M403" s="6">
        <v>-0.29899999999999999</v>
      </c>
      <c r="N403" s="6">
        <v>-0.29899999999999999</v>
      </c>
      <c r="O403" s="6">
        <v>-0.29899999999999999</v>
      </c>
      <c r="P403" s="6">
        <v>0</v>
      </c>
      <c r="Q403" s="4" t="s">
        <v>26</v>
      </c>
      <c r="R403" s="4">
        <v>0</v>
      </c>
      <c r="S403" s="6">
        <v>0</v>
      </c>
      <c r="T403" s="6">
        <v>26</v>
      </c>
      <c r="U403" s="6">
        <v>75</v>
      </c>
      <c r="V403" s="6">
        <f>IF(ISERROR(VLOOKUP($S$403,'TAR FIN'!$A$1:$O$91,15,0)),0,VLOOKUP($S$403,'TAR FIN'!$A$1:$O$91,15,0))</f>
        <v>0</v>
      </c>
      <c r="W403" s="6">
        <f>IF(ISERROR(VLOOKUP($T$403,'TAR FIN'!$A$1:$O$91,15,0)),0,VLOOKUP($T$403,'TAR FIN'!$A$1:$O$91,15,0))</f>
        <v>269.06</v>
      </c>
      <c r="X403" s="6">
        <f>IF(ISERROR(VLOOKUP($U$403,'TAR FIN'!$A$1:$O$91,15,0)),0,VLOOKUP($U$403,'TAR FIN'!$A$1:$O$91,15,0))</f>
        <v>133.97</v>
      </c>
      <c r="Y403" s="6"/>
      <c r="Z403" s="6">
        <f ca="1">('TUSD BE'!$AM$52+'TUSD BF'!$AM$52+'TUSD CVA'!$AM$52)*1</f>
        <v>343.81469354767324</v>
      </c>
      <c r="AA403" s="6">
        <f>('TE BE'!$AB$40+'TE BF'!$AB$40+'TE CVA'!$AB$40)*1</f>
        <v>114.76529888966962</v>
      </c>
      <c r="AB403" s="6">
        <f>$K$403*$V$403</f>
        <v>0</v>
      </c>
      <c r="AC403" s="6">
        <f>$M$403*$W$403</f>
        <v>-80.448939999999993</v>
      </c>
      <c r="AD403" s="6">
        <f>$O$403*$X$403</f>
        <v>-40.057029999999997</v>
      </c>
      <c r="AE403" s="6">
        <f>$K$403*$Y$403</f>
        <v>0</v>
      </c>
      <c r="AF403" s="6">
        <f ca="1">$M$403*$Z$403</f>
        <v>-102.8005933707543</v>
      </c>
      <c r="AG403" s="6">
        <f>$O$403*$AA$403</f>
        <v>-34.314824368011216</v>
      </c>
    </row>
    <row r="404" spans="1:33" ht="11.25" customHeight="1" x14ac:dyDescent="0.25">
      <c r="A404" s="4" t="s">
        <v>28</v>
      </c>
      <c r="B404" s="4" t="s">
        <v>33</v>
      </c>
      <c r="C404" s="4" t="s">
        <v>23</v>
      </c>
      <c r="D404" s="4" t="s">
        <v>41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44531</v>
      </c>
      <c r="J404" s="6">
        <v>0</v>
      </c>
      <c r="K404" s="6">
        <v>0</v>
      </c>
      <c r="L404" s="6">
        <v>0.43</v>
      </c>
      <c r="M404" s="6">
        <v>0.43</v>
      </c>
      <c r="N404" s="6">
        <v>0.43</v>
      </c>
      <c r="O404" s="6">
        <v>0.43</v>
      </c>
      <c r="P404" s="6">
        <v>5</v>
      </c>
      <c r="Q404" s="4" t="s">
        <v>26</v>
      </c>
      <c r="R404" s="4">
        <v>0</v>
      </c>
      <c r="S404" s="6">
        <v>0</v>
      </c>
      <c r="T404" s="6">
        <v>26</v>
      </c>
      <c r="U404" s="6">
        <v>75</v>
      </c>
      <c r="V404" s="6">
        <f>IF(ISERROR(VLOOKUP($S$404,'TAR FIN'!$A$1:$O$91,15,0)),0,VLOOKUP($S$404,'TAR FIN'!$A$1:$O$91,15,0))</f>
        <v>0</v>
      </c>
      <c r="W404" s="6">
        <f>IF(ISERROR(VLOOKUP($T$404,'TAR FIN'!$A$1:$O$91,15,0)),0,VLOOKUP($T$404,'TAR FIN'!$A$1:$O$91,15,0))</f>
        <v>269.06</v>
      </c>
      <c r="X404" s="6">
        <f>IF(ISERROR(VLOOKUP($U$404,'TAR FIN'!$A$1:$O$91,15,0)),0,VLOOKUP($U$404,'TAR FIN'!$A$1:$O$91,15,0))</f>
        <v>133.97</v>
      </c>
      <c r="Y404" s="6"/>
      <c r="Z404" s="6">
        <f ca="1">('TUSD BE'!$AM$52+'TUSD BF'!$AM$52+'TUSD CVA'!$AM$52)*1</f>
        <v>343.81469354767324</v>
      </c>
      <c r="AA404" s="6">
        <f>('TE BE'!$AB$40+'TE BF'!$AB$40+'TE CVA'!$AB$40)*1</f>
        <v>114.76529888966962</v>
      </c>
      <c r="AB404" s="6">
        <f>$K$404*$V$404</f>
        <v>0</v>
      </c>
      <c r="AC404" s="6">
        <f>$M$404*$W$404</f>
        <v>115.69580000000001</v>
      </c>
      <c r="AD404" s="6">
        <f>$O$404*$X$404</f>
        <v>57.607099999999996</v>
      </c>
      <c r="AE404" s="6">
        <f>$K$404*$Y$404</f>
        <v>0</v>
      </c>
      <c r="AF404" s="6">
        <f ca="1">$M$404*$Z$404</f>
        <v>147.84031822549949</v>
      </c>
      <c r="AG404" s="6">
        <f>$O$404*$AA$404</f>
        <v>49.349078522557939</v>
      </c>
    </row>
    <row r="405" spans="1:33" ht="11.25" customHeight="1" x14ac:dyDescent="0.25">
      <c r="A405" s="4" t="s">
        <v>21</v>
      </c>
      <c r="B405" s="4" t="s">
        <v>33</v>
      </c>
      <c r="C405" s="4" t="s">
        <v>23</v>
      </c>
      <c r="D405" s="4" t="s">
        <v>41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44562</v>
      </c>
      <c r="J405" s="6">
        <v>0</v>
      </c>
      <c r="K405" s="6">
        <v>0</v>
      </c>
      <c r="L405" s="6">
        <v>1327.3530000000001</v>
      </c>
      <c r="M405" s="6">
        <v>1327.3530000000001</v>
      </c>
      <c r="N405" s="6">
        <v>1327.3530000000001</v>
      </c>
      <c r="O405" s="6">
        <v>1327.3530000000001</v>
      </c>
      <c r="P405" s="6">
        <v>1661</v>
      </c>
      <c r="Q405" s="4" t="s">
        <v>26</v>
      </c>
      <c r="R405" s="4">
        <v>0</v>
      </c>
      <c r="S405" s="6">
        <v>0</v>
      </c>
      <c r="T405" s="6">
        <v>26</v>
      </c>
      <c r="U405" s="6">
        <v>75</v>
      </c>
      <c r="V405" s="6">
        <f>IF(ISERROR(VLOOKUP($S$405,'TAR FIN'!$A$1:$O$91,15,0)),0,VLOOKUP($S$405,'TAR FIN'!$A$1:$O$91,15,0))</f>
        <v>0</v>
      </c>
      <c r="W405" s="6">
        <f>IF(ISERROR(VLOOKUP($T$405,'TAR FIN'!$A$1:$O$91,15,0)),0,VLOOKUP($T$405,'TAR FIN'!$A$1:$O$91,15,0))</f>
        <v>269.06</v>
      </c>
      <c r="X405" s="6">
        <f>IF(ISERROR(VLOOKUP($U$405,'TAR FIN'!$A$1:$O$91,15,0)),0,VLOOKUP($U$405,'TAR FIN'!$A$1:$O$91,15,0))</f>
        <v>133.97</v>
      </c>
      <c r="Y405" s="6"/>
      <c r="Z405" s="6">
        <f ca="1">('TUSD BE'!$AM$52+'TUSD BF'!$AM$52+'TUSD CVA'!$AM$52)*1</f>
        <v>343.81469354767324</v>
      </c>
      <c r="AA405" s="6">
        <f>('TE BE'!$AB$40+'TE BF'!$AB$40+'TE CVA'!$AB$40)*1</f>
        <v>114.76529888966962</v>
      </c>
      <c r="AB405" s="6">
        <f>$K$405*$V$405</f>
        <v>0</v>
      </c>
      <c r="AC405" s="6">
        <f>$M$405*$W$405</f>
        <v>357137.59818000003</v>
      </c>
      <c r="AD405" s="6">
        <f>$O$405*$X$405</f>
        <v>177825.48141000001</v>
      </c>
      <c r="AE405" s="6">
        <f>$K$405*$Y$405</f>
        <v>0</v>
      </c>
      <c r="AF405" s="6">
        <f ca="1">$M$405*$Z$405</f>
        <v>456363.46492458472</v>
      </c>
      <c r="AG405" s="6">
        <f>$O$405*$AA$405</f>
        <v>152334.06377709965</v>
      </c>
    </row>
    <row r="406" spans="1:33" ht="11.25" customHeight="1" x14ac:dyDescent="0.25">
      <c r="A406" s="4" t="s">
        <v>27</v>
      </c>
      <c r="B406" s="4" t="s">
        <v>33</v>
      </c>
      <c r="C406" s="4" t="s">
        <v>23</v>
      </c>
      <c r="D406" s="4" t="s">
        <v>41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44562</v>
      </c>
      <c r="J406" s="6">
        <v>0</v>
      </c>
      <c r="K406" s="6">
        <v>0</v>
      </c>
      <c r="L406" s="6">
        <v>-9.4E-2</v>
      </c>
      <c r="M406" s="6">
        <v>-9.4E-2</v>
      </c>
      <c r="N406" s="6">
        <v>-9.4E-2</v>
      </c>
      <c r="O406" s="6">
        <v>-9.4E-2</v>
      </c>
      <c r="P406" s="6">
        <v>0</v>
      </c>
      <c r="Q406" s="4" t="s">
        <v>26</v>
      </c>
      <c r="R406" s="4">
        <v>0</v>
      </c>
      <c r="S406" s="6">
        <v>0</v>
      </c>
      <c r="T406" s="6">
        <v>26</v>
      </c>
      <c r="U406" s="6">
        <v>75</v>
      </c>
      <c r="V406" s="6">
        <f>IF(ISERROR(VLOOKUP($S$406,'TAR FIN'!$A$1:$O$91,15,0)),0,VLOOKUP($S$406,'TAR FIN'!$A$1:$O$91,15,0))</f>
        <v>0</v>
      </c>
      <c r="W406" s="6">
        <f>IF(ISERROR(VLOOKUP($T$406,'TAR FIN'!$A$1:$O$91,15,0)),0,VLOOKUP($T$406,'TAR FIN'!$A$1:$O$91,15,0))</f>
        <v>269.06</v>
      </c>
      <c r="X406" s="6">
        <f>IF(ISERROR(VLOOKUP($U$406,'TAR FIN'!$A$1:$O$91,15,0)),0,VLOOKUP($U$406,'TAR FIN'!$A$1:$O$91,15,0))</f>
        <v>133.97</v>
      </c>
      <c r="Y406" s="6"/>
      <c r="Z406" s="6">
        <f ca="1">('TUSD BE'!$AM$52+'TUSD BF'!$AM$52+'TUSD CVA'!$AM$52)*1</f>
        <v>343.81469354767324</v>
      </c>
      <c r="AA406" s="6">
        <f>('TE BE'!$AB$40+'TE BF'!$AB$40+'TE CVA'!$AB$40)*1</f>
        <v>114.76529888966962</v>
      </c>
      <c r="AB406" s="6">
        <f>$K$406*$V$406</f>
        <v>0</v>
      </c>
      <c r="AC406" s="6">
        <f>$M$406*$W$406</f>
        <v>-25.291640000000001</v>
      </c>
      <c r="AD406" s="6">
        <f>$O$406*$X$406</f>
        <v>-12.59318</v>
      </c>
      <c r="AE406" s="6">
        <f>$K$406*$Y$406</f>
        <v>0</v>
      </c>
      <c r="AF406" s="6">
        <f ca="1">$M$406*$Z$406</f>
        <v>-32.318581193481286</v>
      </c>
      <c r="AG406" s="6">
        <f>$O$406*$AA$406</f>
        <v>-10.787938095628945</v>
      </c>
    </row>
    <row r="407" spans="1:33" ht="11.25" customHeight="1" x14ac:dyDescent="0.25">
      <c r="A407" s="4" t="s">
        <v>28</v>
      </c>
      <c r="B407" s="4" t="s">
        <v>33</v>
      </c>
      <c r="C407" s="4" t="s">
        <v>23</v>
      </c>
      <c r="D407" s="4" t="s">
        <v>41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44562</v>
      </c>
      <c r="J407" s="6">
        <v>0</v>
      </c>
      <c r="K407" s="6">
        <v>0</v>
      </c>
      <c r="L407" s="6">
        <v>0.53</v>
      </c>
      <c r="M407" s="6">
        <v>0.53</v>
      </c>
      <c r="N407" s="6">
        <v>0.53</v>
      </c>
      <c r="O407" s="6">
        <v>0.53</v>
      </c>
      <c r="P407" s="6">
        <v>6</v>
      </c>
      <c r="Q407" s="4" t="s">
        <v>26</v>
      </c>
      <c r="R407" s="4">
        <v>0</v>
      </c>
      <c r="S407" s="6">
        <v>0</v>
      </c>
      <c r="T407" s="6">
        <v>26</v>
      </c>
      <c r="U407" s="6">
        <v>75</v>
      </c>
      <c r="V407" s="6">
        <f>IF(ISERROR(VLOOKUP($S$407,'TAR FIN'!$A$1:$O$91,15,0)),0,VLOOKUP($S$407,'TAR FIN'!$A$1:$O$91,15,0))</f>
        <v>0</v>
      </c>
      <c r="W407" s="6">
        <f>IF(ISERROR(VLOOKUP($T$407,'TAR FIN'!$A$1:$O$91,15,0)),0,VLOOKUP($T$407,'TAR FIN'!$A$1:$O$91,15,0))</f>
        <v>269.06</v>
      </c>
      <c r="X407" s="6">
        <f>IF(ISERROR(VLOOKUP($U$407,'TAR FIN'!$A$1:$O$91,15,0)),0,VLOOKUP($U$407,'TAR FIN'!$A$1:$O$91,15,0))</f>
        <v>133.97</v>
      </c>
      <c r="Y407" s="6"/>
      <c r="Z407" s="6">
        <f ca="1">('TUSD BE'!$AM$52+'TUSD BF'!$AM$52+'TUSD CVA'!$AM$52)*1</f>
        <v>343.81469354767324</v>
      </c>
      <c r="AA407" s="6">
        <f>('TE BE'!$AB$40+'TE BF'!$AB$40+'TE CVA'!$AB$40)*1</f>
        <v>114.76529888966962</v>
      </c>
      <c r="AB407" s="6">
        <f>$K$407*$V$407</f>
        <v>0</v>
      </c>
      <c r="AC407" s="6">
        <f>$M$407*$W$407</f>
        <v>142.6018</v>
      </c>
      <c r="AD407" s="6">
        <f>$O$407*$X$407</f>
        <v>71.004100000000008</v>
      </c>
      <c r="AE407" s="6">
        <f>$K$407*$Y$407</f>
        <v>0</v>
      </c>
      <c r="AF407" s="6">
        <f ca="1">$M$407*$Z$407</f>
        <v>182.22178758026683</v>
      </c>
      <c r="AG407" s="6">
        <f>$O$407*$AA$407</f>
        <v>60.825608411524904</v>
      </c>
    </row>
    <row r="408" spans="1:33" ht="11.25" customHeight="1" x14ac:dyDescent="0.25">
      <c r="A408" s="4" t="s">
        <v>21</v>
      </c>
      <c r="B408" s="4" t="s">
        <v>33</v>
      </c>
      <c r="C408" s="4" t="s">
        <v>23</v>
      </c>
      <c r="D408" s="4" t="s">
        <v>41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44593</v>
      </c>
      <c r="J408" s="6">
        <v>0</v>
      </c>
      <c r="K408" s="6">
        <v>0</v>
      </c>
      <c r="L408" s="6">
        <v>1387.9159999999999</v>
      </c>
      <c r="M408" s="6">
        <v>1387.9159999999999</v>
      </c>
      <c r="N408" s="6">
        <v>1387.9159999999999</v>
      </c>
      <c r="O408" s="6">
        <v>1387.9159999999999</v>
      </c>
      <c r="P408" s="6">
        <v>1662</v>
      </c>
      <c r="Q408" s="4" t="s">
        <v>26</v>
      </c>
      <c r="R408" s="4">
        <v>0</v>
      </c>
      <c r="S408" s="6">
        <v>0</v>
      </c>
      <c r="T408" s="6">
        <v>26</v>
      </c>
      <c r="U408" s="6">
        <v>75</v>
      </c>
      <c r="V408" s="6">
        <f>IF(ISERROR(VLOOKUP($S$408,'TAR FIN'!$A$1:$O$91,15,0)),0,VLOOKUP($S$408,'TAR FIN'!$A$1:$O$91,15,0))</f>
        <v>0</v>
      </c>
      <c r="W408" s="6">
        <f>IF(ISERROR(VLOOKUP($T$408,'TAR FIN'!$A$1:$O$91,15,0)),0,VLOOKUP($T$408,'TAR FIN'!$A$1:$O$91,15,0))</f>
        <v>269.06</v>
      </c>
      <c r="X408" s="6">
        <f>IF(ISERROR(VLOOKUP($U$408,'TAR FIN'!$A$1:$O$91,15,0)),0,VLOOKUP($U$408,'TAR FIN'!$A$1:$O$91,15,0))</f>
        <v>133.97</v>
      </c>
      <c r="Y408" s="6"/>
      <c r="Z408" s="6">
        <f ca="1">('TUSD BE'!$AM$52+'TUSD BF'!$AM$52+'TUSD CVA'!$AM$52)*1</f>
        <v>343.81469354767324</v>
      </c>
      <c r="AA408" s="6">
        <f>('TE BE'!$AB$40+'TE BF'!$AB$40+'TE CVA'!$AB$40)*1</f>
        <v>114.76529888966962</v>
      </c>
      <c r="AB408" s="6">
        <f>$K$408*$V$408</f>
        <v>0</v>
      </c>
      <c r="AC408" s="6">
        <f>$M$408*$W$408</f>
        <v>373432.67895999999</v>
      </c>
      <c r="AD408" s="6">
        <f>$O$408*$X$408</f>
        <v>185939.10652</v>
      </c>
      <c r="AE408" s="6">
        <f>$K$408*$Y$408</f>
        <v>0</v>
      </c>
      <c r="AF408" s="6">
        <f ca="1">$M$408*$Z$408</f>
        <v>477185.91420991241</v>
      </c>
      <c r="AG408" s="6">
        <f>$O$408*$AA$408</f>
        <v>159284.5945737547</v>
      </c>
    </row>
    <row r="409" spans="1:33" ht="11.25" customHeight="1" x14ac:dyDescent="0.25">
      <c r="A409" s="4" t="s">
        <v>27</v>
      </c>
      <c r="B409" s="4" t="s">
        <v>33</v>
      </c>
      <c r="C409" s="4" t="s">
        <v>23</v>
      </c>
      <c r="D409" s="4" t="s">
        <v>41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44593</v>
      </c>
      <c r="J409" s="6">
        <v>0</v>
      </c>
      <c r="K409" s="6">
        <v>0</v>
      </c>
      <c r="L409" s="6">
        <v>-4.7750000000000004</v>
      </c>
      <c r="M409" s="6">
        <v>-4.7750000000000004</v>
      </c>
      <c r="N409" s="6">
        <v>-4.7750000000000004</v>
      </c>
      <c r="O409" s="6">
        <v>-4.7750000000000004</v>
      </c>
      <c r="P409" s="6">
        <v>0</v>
      </c>
      <c r="Q409" s="4" t="s">
        <v>26</v>
      </c>
      <c r="R409" s="4">
        <v>0</v>
      </c>
      <c r="S409" s="6">
        <v>0</v>
      </c>
      <c r="T409" s="6">
        <v>26</v>
      </c>
      <c r="U409" s="6">
        <v>75</v>
      </c>
      <c r="V409" s="6">
        <f>IF(ISERROR(VLOOKUP($S$409,'TAR FIN'!$A$1:$O$91,15,0)),0,VLOOKUP($S$409,'TAR FIN'!$A$1:$O$91,15,0))</f>
        <v>0</v>
      </c>
      <c r="W409" s="6">
        <f>IF(ISERROR(VLOOKUP($T$409,'TAR FIN'!$A$1:$O$91,15,0)),0,VLOOKUP($T$409,'TAR FIN'!$A$1:$O$91,15,0))</f>
        <v>269.06</v>
      </c>
      <c r="X409" s="6">
        <f>IF(ISERROR(VLOOKUP($U$409,'TAR FIN'!$A$1:$O$91,15,0)),0,VLOOKUP($U$409,'TAR FIN'!$A$1:$O$91,15,0))</f>
        <v>133.97</v>
      </c>
      <c r="Y409" s="6"/>
      <c r="Z409" s="6">
        <f ca="1">('TUSD BE'!$AM$52+'TUSD BF'!$AM$52+'TUSD CVA'!$AM$52)*1</f>
        <v>343.81469354767324</v>
      </c>
      <c r="AA409" s="6">
        <f>('TE BE'!$AB$40+'TE BF'!$AB$40+'TE CVA'!$AB$40)*1</f>
        <v>114.76529888966962</v>
      </c>
      <c r="AB409" s="6">
        <f>$K$409*$V$409</f>
        <v>0</v>
      </c>
      <c r="AC409" s="6">
        <f>$M$409*$W$409</f>
        <v>-1284.7615000000001</v>
      </c>
      <c r="AD409" s="6">
        <f>$O$409*$X$409</f>
        <v>-639.70675000000006</v>
      </c>
      <c r="AE409" s="6">
        <f>$K$409*$Y$409</f>
        <v>0</v>
      </c>
      <c r="AF409" s="6">
        <f ca="1">$M$409*$Z$409</f>
        <v>-1641.7151616901399</v>
      </c>
      <c r="AG409" s="6">
        <f>$O$409*$AA$409</f>
        <v>-548.00430219817247</v>
      </c>
    </row>
    <row r="410" spans="1:33" ht="11.25" customHeight="1" x14ac:dyDescent="0.25">
      <c r="A410" s="4" t="s">
        <v>28</v>
      </c>
      <c r="B410" s="4" t="s">
        <v>33</v>
      </c>
      <c r="C410" s="4" t="s">
        <v>23</v>
      </c>
      <c r="D410" s="4" t="s">
        <v>41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0.79</v>
      </c>
      <c r="M410" s="6">
        <v>0.79</v>
      </c>
      <c r="N410" s="6">
        <v>0.79</v>
      </c>
      <c r="O410" s="6">
        <v>0.79</v>
      </c>
      <c r="P410" s="6">
        <v>6</v>
      </c>
      <c r="Q410" s="4" t="s">
        <v>26</v>
      </c>
      <c r="R410" s="4">
        <v>0</v>
      </c>
      <c r="S410" s="6">
        <v>0</v>
      </c>
      <c r="T410" s="6">
        <v>26</v>
      </c>
      <c r="U410" s="6">
        <v>75</v>
      </c>
      <c r="V410" s="6">
        <f>IF(ISERROR(VLOOKUP($S$410,'TAR FIN'!$A$1:$O$91,15,0)),0,VLOOKUP($S$410,'TAR FIN'!$A$1:$O$91,15,0))</f>
        <v>0</v>
      </c>
      <c r="W410" s="6">
        <f>IF(ISERROR(VLOOKUP($T$410,'TAR FIN'!$A$1:$O$91,15,0)),0,VLOOKUP($T$410,'TAR FIN'!$A$1:$O$91,15,0))</f>
        <v>269.06</v>
      </c>
      <c r="X410" s="6">
        <f>IF(ISERROR(VLOOKUP($U$410,'TAR FIN'!$A$1:$O$91,15,0)),0,VLOOKUP($U$410,'TAR FIN'!$A$1:$O$91,15,0))</f>
        <v>133.97</v>
      </c>
      <c r="Y410" s="6"/>
      <c r="Z410" s="6">
        <f ca="1">('TUSD BE'!$AM$52+'TUSD BF'!$AM$52+'TUSD CVA'!$AM$52)*1</f>
        <v>343.81469354767324</v>
      </c>
      <c r="AA410" s="6">
        <f>('TE BE'!$AB$40+'TE BF'!$AB$40+'TE CVA'!$AB$40)*1</f>
        <v>114.76529888966962</v>
      </c>
      <c r="AB410" s="6">
        <f>$K$410*$V$410</f>
        <v>0</v>
      </c>
      <c r="AC410" s="6">
        <f>$M$410*$W$410</f>
        <v>212.5574</v>
      </c>
      <c r="AD410" s="6">
        <f>$O$410*$X$410</f>
        <v>105.83630000000001</v>
      </c>
      <c r="AE410" s="6">
        <f>$K$410*$Y$410</f>
        <v>0</v>
      </c>
      <c r="AF410" s="6">
        <f ca="1">$M$410*$Z$410</f>
        <v>271.6136079026619</v>
      </c>
      <c r="AG410" s="6">
        <f>$O$410*$AA$410</f>
        <v>90.664586122839012</v>
      </c>
    </row>
    <row r="411" spans="1:33" ht="11.25" customHeight="1" x14ac:dyDescent="0.25">
      <c r="A411" s="4" t="s">
        <v>21</v>
      </c>
      <c r="B411" s="4" t="s">
        <v>33</v>
      </c>
      <c r="C411" s="4" t="s">
        <v>23</v>
      </c>
      <c r="D411" s="4" t="s">
        <v>41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44621</v>
      </c>
      <c r="J411" s="6">
        <v>0</v>
      </c>
      <c r="K411" s="6">
        <v>0</v>
      </c>
      <c r="L411" s="6">
        <v>1348.3889999999999</v>
      </c>
      <c r="M411" s="6">
        <v>1348.3889999999999</v>
      </c>
      <c r="N411" s="6">
        <v>1348.3889999999999</v>
      </c>
      <c r="O411" s="6">
        <v>1348.3889999999999</v>
      </c>
      <c r="P411" s="6">
        <v>1666</v>
      </c>
      <c r="Q411" s="4" t="s">
        <v>26</v>
      </c>
      <c r="R411" s="4">
        <v>0</v>
      </c>
      <c r="S411" s="6">
        <v>0</v>
      </c>
      <c r="T411" s="6">
        <v>26</v>
      </c>
      <c r="U411" s="6">
        <v>75</v>
      </c>
      <c r="V411" s="6">
        <f>IF(ISERROR(VLOOKUP($S$411,'TAR FIN'!$A$1:$O$91,15,0)),0,VLOOKUP($S$411,'TAR FIN'!$A$1:$O$91,15,0))</f>
        <v>0</v>
      </c>
      <c r="W411" s="6">
        <f>IF(ISERROR(VLOOKUP($T$411,'TAR FIN'!$A$1:$O$91,15,0)),0,VLOOKUP($T$411,'TAR FIN'!$A$1:$O$91,15,0))</f>
        <v>269.06</v>
      </c>
      <c r="X411" s="6">
        <f>IF(ISERROR(VLOOKUP($U$411,'TAR FIN'!$A$1:$O$91,15,0)),0,VLOOKUP($U$411,'TAR FIN'!$A$1:$O$91,15,0))</f>
        <v>133.97</v>
      </c>
      <c r="Y411" s="6"/>
      <c r="Z411" s="6">
        <f ca="1">('TUSD BE'!$AM$52+'TUSD BF'!$AM$52+'TUSD CVA'!$AM$52)*1</f>
        <v>343.81469354767324</v>
      </c>
      <c r="AA411" s="6">
        <f>('TE BE'!$AB$40+'TE BF'!$AB$40+'TE CVA'!$AB$40)*1</f>
        <v>114.76529888966962</v>
      </c>
      <c r="AB411" s="6">
        <f>$K$411*$V$411</f>
        <v>0</v>
      </c>
      <c r="AC411" s="6">
        <f>$M$411*$W$411</f>
        <v>362797.54433999996</v>
      </c>
      <c r="AD411" s="6">
        <f>$O$411*$X$411</f>
        <v>180643.67432999998</v>
      </c>
      <c r="AE411" s="6">
        <f>$K$411*$Y$411</f>
        <v>0</v>
      </c>
      <c r="AF411" s="6">
        <f ca="1">$M$411*$Z$411</f>
        <v>463595.95081805356</v>
      </c>
      <c r="AG411" s="6">
        <f>$O$411*$AA$411</f>
        <v>154748.26660454273</v>
      </c>
    </row>
    <row r="412" spans="1:33" ht="11.25" customHeight="1" x14ac:dyDescent="0.25">
      <c r="A412" s="4" t="s">
        <v>28</v>
      </c>
      <c r="B412" s="4" t="s">
        <v>33</v>
      </c>
      <c r="C412" s="4" t="s">
        <v>23</v>
      </c>
      <c r="D412" s="4" t="s">
        <v>41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1.5609999999999999</v>
      </c>
      <c r="M412" s="6">
        <v>1.5609999999999999</v>
      </c>
      <c r="N412" s="6">
        <v>1.5609999999999999</v>
      </c>
      <c r="O412" s="6">
        <v>1.5609999999999999</v>
      </c>
      <c r="P412" s="6">
        <v>7</v>
      </c>
      <c r="Q412" s="4" t="s">
        <v>26</v>
      </c>
      <c r="R412" s="4">
        <v>0</v>
      </c>
      <c r="S412" s="6">
        <v>0</v>
      </c>
      <c r="T412" s="6">
        <v>26</v>
      </c>
      <c r="U412" s="6">
        <v>75</v>
      </c>
      <c r="V412" s="6">
        <f>IF(ISERROR(VLOOKUP($S$412,'TAR FIN'!$A$1:$O$91,15,0)),0,VLOOKUP($S$412,'TAR FIN'!$A$1:$O$91,15,0))</f>
        <v>0</v>
      </c>
      <c r="W412" s="6">
        <f>IF(ISERROR(VLOOKUP($T$412,'TAR FIN'!$A$1:$O$91,15,0)),0,VLOOKUP($T$412,'TAR FIN'!$A$1:$O$91,15,0))</f>
        <v>269.06</v>
      </c>
      <c r="X412" s="6">
        <f>IF(ISERROR(VLOOKUP($U$412,'TAR FIN'!$A$1:$O$91,15,0)),0,VLOOKUP($U$412,'TAR FIN'!$A$1:$O$91,15,0))</f>
        <v>133.97</v>
      </c>
      <c r="Y412" s="6"/>
      <c r="Z412" s="6">
        <f ca="1">('TUSD BE'!$AM$52+'TUSD BF'!$AM$52+'TUSD CVA'!$AM$52)*1</f>
        <v>343.81469354767324</v>
      </c>
      <c r="AA412" s="6">
        <f>('TE BE'!$AB$40+'TE BF'!$AB$40+'TE CVA'!$AB$40)*1</f>
        <v>114.76529888966962</v>
      </c>
      <c r="AB412" s="6">
        <f>$K$412*$V$412</f>
        <v>0</v>
      </c>
      <c r="AC412" s="6">
        <f>$M$412*$W$412</f>
        <v>420.00265999999999</v>
      </c>
      <c r="AD412" s="6">
        <f>$O$412*$X$412</f>
        <v>209.12716999999998</v>
      </c>
      <c r="AE412" s="6">
        <f>$K$412*$Y$412</f>
        <v>0</v>
      </c>
      <c r="AF412" s="6">
        <f ca="1">$M$412*$Z$412</f>
        <v>536.69473662791791</v>
      </c>
      <c r="AG412" s="6">
        <f>$O$412*$AA$412</f>
        <v>179.14863156677427</v>
      </c>
    </row>
    <row r="413" spans="1:33" ht="11.25" customHeight="1" x14ac:dyDescent="0.25">
      <c r="A413" s="4" t="s">
        <v>21</v>
      </c>
      <c r="B413" s="4" t="s">
        <v>33</v>
      </c>
      <c r="C413" s="4" t="s">
        <v>23</v>
      </c>
      <c r="D413" s="4" t="s">
        <v>41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44652</v>
      </c>
      <c r="J413" s="6">
        <v>0</v>
      </c>
      <c r="K413" s="6">
        <v>0</v>
      </c>
      <c r="L413" s="6">
        <v>1182.068</v>
      </c>
      <c r="M413" s="6">
        <v>1182.068</v>
      </c>
      <c r="N413" s="6">
        <v>1182.068</v>
      </c>
      <c r="O413" s="6">
        <v>1182.068</v>
      </c>
      <c r="P413" s="6">
        <v>1667</v>
      </c>
      <c r="Q413" s="4" t="s">
        <v>26</v>
      </c>
      <c r="R413" s="4">
        <v>0</v>
      </c>
      <c r="S413" s="6">
        <v>0</v>
      </c>
      <c r="T413" s="6">
        <v>26</v>
      </c>
      <c r="U413" s="6">
        <v>75</v>
      </c>
      <c r="V413" s="6">
        <f>IF(ISERROR(VLOOKUP($S$413,'TAR FIN'!$A$1:$O$91,15,0)),0,VLOOKUP($S$413,'TAR FIN'!$A$1:$O$91,15,0))</f>
        <v>0</v>
      </c>
      <c r="W413" s="6">
        <f>IF(ISERROR(VLOOKUP($T$413,'TAR FIN'!$A$1:$O$91,15,0)),0,VLOOKUP($T$413,'TAR FIN'!$A$1:$O$91,15,0))</f>
        <v>269.06</v>
      </c>
      <c r="X413" s="6">
        <f>IF(ISERROR(VLOOKUP($U$413,'TAR FIN'!$A$1:$O$91,15,0)),0,VLOOKUP($U$413,'TAR FIN'!$A$1:$O$91,15,0))</f>
        <v>133.97</v>
      </c>
      <c r="Y413" s="6"/>
      <c r="Z413" s="6">
        <f ca="1">('TUSD BE'!$AM$52+'TUSD BF'!$AM$52+'TUSD CVA'!$AM$52)*1</f>
        <v>343.81469354767324</v>
      </c>
      <c r="AA413" s="6">
        <f>('TE BE'!$AB$40+'TE BF'!$AB$40+'TE CVA'!$AB$40)*1</f>
        <v>114.76529888966962</v>
      </c>
      <c r="AB413" s="6">
        <f>$K$413*$V$413</f>
        <v>0</v>
      </c>
      <c r="AC413" s="6">
        <f>$M$413*$W$413</f>
        <v>318047.21607999998</v>
      </c>
      <c r="AD413" s="6">
        <f>$O$413*$X$413</f>
        <v>158361.64996000001</v>
      </c>
      <c r="AE413" s="6">
        <f>$K$413*$Y$413</f>
        <v>0</v>
      </c>
      <c r="AF413" s="6">
        <f ca="1">$M$413*$Z$413</f>
        <v>406412.34717251098</v>
      </c>
      <c r="AG413" s="6">
        <f>$O$413*$AA$413</f>
        <v>135660.38732791398</v>
      </c>
    </row>
    <row r="414" spans="1:33" ht="11.25" customHeight="1" x14ac:dyDescent="0.25">
      <c r="A414" s="4" t="s">
        <v>28</v>
      </c>
      <c r="B414" s="4" t="s">
        <v>33</v>
      </c>
      <c r="C414" s="4" t="s">
        <v>23</v>
      </c>
      <c r="D414" s="4" t="s">
        <v>41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2.09</v>
      </c>
      <c r="M414" s="6">
        <v>2.09</v>
      </c>
      <c r="N414" s="6">
        <v>2.09</v>
      </c>
      <c r="O414" s="6">
        <v>2.09</v>
      </c>
      <c r="P414" s="6">
        <v>9</v>
      </c>
      <c r="Q414" s="4" t="s">
        <v>26</v>
      </c>
      <c r="R414" s="4">
        <v>0</v>
      </c>
      <c r="S414" s="6">
        <v>0</v>
      </c>
      <c r="T414" s="6">
        <v>26</v>
      </c>
      <c r="U414" s="6">
        <v>75</v>
      </c>
      <c r="V414" s="6">
        <f>IF(ISERROR(VLOOKUP($S$414,'TAR FIN'!$A$1:$O$91,15,0)),0,VLOOKUP($S$414,'TAR FIN'!$A$1:$O$91,15,0))</f>
        <v>0</v>
      </c>
      <c r="W414" s="6">
        <f>IF(ISERROR(VLOOKUP($T$414,'TAR FIN'!$A$1:$O$91,15,0)),0,VLOOKUP($T$414,'TAR FIN'!$A$1:$O$91,15,0))</f>
        <v>269.06</v>
      </c>
      <c r="X414" s="6">
        <f>IF(ISERROR(VLOOKUP($U$414,'TAR FIN'!$A$1:$O$91,15,0)),0,VLOOKUP($U$414,'TAR FIN'!$A$1:$O$91,15,0))</f>
        <v>133.97</v>
      </c>
      <c r="Y414" s="6"/>
      <c r="Z414" s="6">
        <f ca="1">('TUSD BE'!$AM$52+'TUSD BF'!$AM$52+'TUSD CVA'!$AM$52)*1</f>
        <v>343.81469354767324</v>
      </c>
      <c r="AA414" s="6">
        <f>('TE BE'!$AB$40+'TE BF'!$AB$40+'TE CVA'!$AB$40)*1</f>
        <v>114.76529888966962</v>
      </c>
      <c r="AB414" s="6">
        <f>$K$414*$V$414</f>
        <v>0</v>
      </c>
      <c r="AC414" s="6">
        <f>$M$414*$W$414</f>
        <v>562.33539999999994</v>
      </c>
      <c r="AD414" s="6">
        <f>$O$414*$X$414</f>
        <v>279.9973</v>
      </c>
      <c r="AE414" s="6">
        <f>$K$414*$Y$414</f>
        <v>0</v>
      </c>
      <c r="AF414" s="6">
        <f ca="1">$M$414*$Z$414</f>
        <v>718.57270951463704</v>
      </c>
      <c r="AG414" s="6">
        <f>$O$414*$AA$414</f>
        <v>239.85947467940949</v>
      </c>
    </row>
    <row r="415" spans="1:33" ht="11.25" customHeight="1" x14ac:dyDescent="0.25">
      <c r="A415" s="4" t="s">
        <v>21</v>
      </c>
      <c r="B415" s="4" t="s">
        <v>33</v>
      </c>
      <c r="C415" s="4" t="s">
        <v>23</v>
      </c>
      <c r="D415" s="4" t="s">
        <v>41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1003.98</v>
      </c>
      <c r="M415" s="6">
        <v>1003.98</v>
      </c>
      <c r="N415" s="6">
        <v>1003.98</v>
      </c>
      <c r="O415" s="6">
        <v>1003.98</v>
      </c>
      <c r="P415" s="6">
        <v>1672</v>
      </c>
      <c r="Q415" s="4" t="s">
        <v>26</v>
      </c>
      <c r="R415" s="4">
        <v>0</v>
      </c>
      <c r="S415" s="6">
        <v>0</v>
      </c>
      <c r="T415" s="6">
        <v>26</v>
      </c>
      <c r="U415" s="6">
        <v>75</v>
      </c>
      <c r="V415" s="6">
        <f>IF(ISERROR(VLOOKUP($S$415,'TAR FIN'!$A$1:$O$91,15,0)),0,VLOOKUP($S$415,'TAR FIN'!$A$1:$O$91,15,0))</f>
        <v>0</v>
      </c>
      <c r="W415" s="6">
        <f>IF(ISERROR(VLOOKUP($T$415,'TAR FIN'!$A$1:$O$91,15,0)),0,VLOOKUP($T$415,'TAR FIN'!$A$1:$O$91,15,0))</f>
        <v>269.06</v>
      </c>
      <c r="X415" s="6">
        <f>IF(ISERROR(VLOOKUP($U$415,'TAR FIN'!$A$1:$O$91,15,0)),0,VLOOKUP($U$415,'TAR FIN'!$A$1:$O$91,15,0))</f>
        <v>133.97</v>
      </c>
      <c r="Y415" s="6"/>
      <c r="Z415" s="6">
        <f ca="1">('TUSD BE'!$AM$52+'TUSD BF'!$AM$52+'TUSD CVA'!$AM$52)*1</f>
        <v>343.81469354767324</v>
      </c>
      <c r="AA415" s="6">
        <f>('TE BE'!$AB$40+'TE BF'!$AB$40+'TE CVA'!$AB$40)*1</f>
        <v>114.76529888966962</v>
      </c>
      <c r="AB415" s="6">
        <f>$K$415*$V$415</f>
        <v>0</v>
      </c>
      <c r="AC415" s="6">
        <f>$M$415*$W$415</f>
        <v>270130.85879999999</v>
      </c>
      <c r="AD415" s="6">
        <f>$O$415*$X$415</f>
        <v>134503.20060000001</v>
      </c>
      <c r="AE415" s="6">
        <f>$K$415*$Y$415</f>
        <v>0</v>
      </c>
      <c r="AF415" s="6">
        <f ca="1">$M$415*$Z$415</f>
        <v>345183.076027993</v>
      </c>
      <c r="AG415" s="6">
        <f>$O$415*$AA$415</f>
        <v>115222.0647792505</v>
      </c>
    </row>
    <row r="416" spans="1:33" ht="11.25" customHeight="1" x14ac:dyDescent="0.25">
      <c r="A416" s="4" t="s">
        <v>27</v>
      </c>
      <c r="B416" s="4" t="s">
        <v>33</v>
      </c>
      <c r="C416" s="4" t="s">
        <v>23</v>
      </c>
      <c r="D416" s="4" t="s">
        <v>41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-0.55600000000000005</v>
      </c>
      <c r="M416" s="6">
        <v>-0.55600000000000005</v>
      </c>
      <c r="N416" s="6">
        <v>-0.55600000000000005</v>
      </c>
      <c r="O416" s="6">
        <v>-0.55600000000000005</v>
      </c>
      <c r="P416" s="6">
        <v>0</v>
      </c>
      <c r="Q416" s="4" t="s">
        <v>26</v>
      </c>
      <c r="R416" s="4">
        <v>0</v>
      </c>
      <c r="S416" s="6">
        <v>0</v>
      </c>
      <c r="T416" s="6">
        <v>26</v>
      </c>
      <c r="U416" s="6">
        <v>75</v>
      </c>
      <c r="V416" s="6">
        <f>IF(ISERROR(VLOOKUP($S$416,'TAR FIN'!$A$1:$O$91,15,0)),0,VLOOKUP($S$416,'TAR FIN'!$A$1:$O$91,15,0))</f>
        <v>0</v>
      </c>
      <c r="W416" s="6">
        <f>IF(ISERROR(VLOOKUP($T$416,'TAR FIN'!$A$1:$O$91,15,0)),0,VLOOKUP($T$416,'TAR FIN'!$A$1:$O$91,15,0))</f>
        <v>269.06</v>
      </c>
      <c r="X416" s="6">
        <f>IF(ISERROR(VLOOKUP($U$416,'TAR FIN'!$A$1:$O$91,15,0)),0,VLOOKUP($U$416,'TAR FIN'!$A$1:$O$91,15,0))</f>
        <v>133.97</v>
      </c>
      <c r="Y416" s="6"/>
      <c r="Z416" s="6">
        <f ca="1">('TUSD BE'!$AM$52+'TUSD BF'!$AM$52+'TUSD CVA'!$AM$52)*1</f>
        <v>343.81469354767324</v>
      </c>
      <c r="AA416" s="6">
        <f>('TE BE'!$AB$40+'TE BF'!$AB$40+'TE CVA'!$AB$40)*1</f>
        <v>114.76529888966962</v>
      </c>
      <c r="AB416" s="6">
        <f>$K$416*$V$416</f>
        <v>0</v>
      </c>
      <c r="AC416" s="6">
        <f>$M$416*$W$416</f>
        <v>-149.59736000000001</v>
      </c>
      <c r="AD416" s="6">
        <f>$O$416*$X$416</f>
        <v>-74.487320000000011</v>
      </c>
      <c r="AE416" s="6">
        <f>$K$416*$Y$416</f>
        <v>0</v>
      </c>
      <c r="AF416" s="6">
        <f ca="1">$M$416*$Z$416</f>
        <v>-191.16096961250634</v>
      </c>
      <c r="AG416" s="6">
        <f>$O$416*$AA$416</f>
        <v>-63.809506182656314</v>
      </c>
    </row>
    <row r="417" spans="1:33" ht="11.25" customHeight="1" x14ac:dyDescent="0.25">
      <c r="A417" s="4" t="s">
        <v>28</v>
      </c>
      <c r="B417" s="4" t="s">
        <v>33</v>
      </c>
      <c r="C417" s="4" t="s">
        <v>23</v>
      </c>
      <c r="D417" s="4" t="s">
        <v>41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2.069</v>
      </c>
      <c r="M417" s="6">
        <v>2.069</v>
      </c>
      <c r="N417" s="6">
        <v>2.069</v>
      </c>
      <c r="O417" s="6">
        <v>2.069</v>
      </c>
      <c r="P417" s="6">
        <v>9</v>
      </c>
      <c r="Q417" s="4" t="s">
        <v>26</v>
      </c>
      <c r="R417" s="4">
        <v>0</v>
      </c>
      <c r="S417" s="6">
        <v>0</v>
      </c>
      <c r="T417" s="6">
        <v>26</v>
      </c>
      <c r="U417" s="6">
        <v>75</v>
      </c>
      <c r="V417" s="6">
        <f>IF(ISERROR(VLOOKUP($S$417,'TAR FIN'!$A$1:$O$91,15,0)),0,VLOOKUP($S$417,'TAR FIN'!$A$1:$O$91,15,0))</f>
        <v>0</v>
      </c>
      <c r="W417" s="6">
        <f>IF(ISERROR(VLOOKUP($T$417,'TAR FIN'!$A$1:$O$91,15,0)),0,VLOOKUP($T$417,'TAR FIN'!$A$1:$O$91,15,0))</f>
        <v>269.06</v>
      </c>
      <c r="X417" s="6">
        <f>IF(ISERROR(VLOOKUP($U$417,'TAR FIN'!$A$1:$O$91,15,0)),0,VLOOKUP($U$417,'TAR FIN'!$A$1:$O$91,15,0))</f>
        <v>133.97</v>
      </c>
      <c r="Y417" s="6"/>
      <c r="Z417" s="6">
        <f ca="1">('TUSD BE'!$AM$52+'TUSD BF'!$AM$52+'TUSD CVA'!$AM$52)*1</f>
        <v>343.81469354767324</v>
      </c>
      <c r="AA417" s="6">
        <f>('TE BE'!$AB$40+'TE BF'!$AB$40+'TE CVA'!$AB$40)*1</f>
        <v>114.76529888966962</v>
      </c>
      <c r="AB417" s="6">
        <f>$K$417*$V$417</f>
        <v>0</v>
      </c>
      <c r="AC417" s="6">
        <f>$M$417*$W$417</f>
        <v>556.68514000000005</v>
      </c>
      <c r="AD417" s="6">
        <f>$O$417*$X$417</f>
        <v>277.18392999999998</v>
      </c>
      <c r="AE417" s="6">
        <f>$K$417*$Y$417</f>
        <v>0</v>
      </c>
      <c r="AF417" s="6">
        <f ca="1">$M$417*$Z$417</f>
        <v>711.35260095013598</v>
      </c>
      <c r="AG417" s="6">
        <f>$O$417*$AA$417</f>
        <v>237.44940340272643</v>
      </c>
    </row>
    <row r="418" spans="1:33" ht="11.25" customHeight="1" x14ac:dyDescent="0.25">
      <c r="A418" s="4" t="s">
        <v>21</v>
      </c>
      <c r="B418" s="4" t="s">
        <v>33</v>
      </c>
      <c r="C418" s="4" t="s">
        <v>23</v>
      </c>
      <c r="D418" s="4" t="s">
        <v>41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989.36900000000003</v>
      </c>
      <c r="M418" s="6">
        <v>989.36900000000003</v>
      </c>
      <c r="N418" s="6">
        <v>989.36900000000003</v>
      </c>
      <c r="O418" s="6">
        <v>989.36900000000003</v>
      </c>
      <c r="P418" s="6">
        <v>1669</v>
      </c>
      <c r="Q418" s="4" t="s">
        <v>26</v>
      </c>
      <c r="R418" s="4">
        <v>0</v>
      </c>
      <c r="S418" s="6">
        <v>0</v>
      </c>
      <c r="T418" s="6">
        <v>26</v>
      </c>
      <c r="U418" s="6">
        <v>75</v>
      </c>
      <c r="V418" s="6">
        <f>IF(ISERROR(VLOOKUP($S$418,'TAR FIN'!$A$1:$O$91,15,0)),0,VLOOKUP($S$418,'TAR FIN'!$A$1:$O$91,15,0))</f>
        <v>0</v>
      </c>
      <c r="W418" s="6">
        <f>IF(ISERROR(VLOOKUP($T$418,'TAR FIN'!$A$1:$O$91,15,0)),0,VLOOKUP($T$418,'TAR FIN'!$A$1:$O$91,15,0))</f>
        <v>269.06</v>
      </c>
      <c r="X418" s="6">
        <f>IF(ISERROR(VLOOKUP($U$418,'TAR FIN'!$A$1:$O$91,15,0)),0,VLOOKUP($U$418,'TAR FIN'!$A$1:$O$91,15,0))</f>
        <v>133.97</v>
      </c>
      <c r="Y418" s="6"/>
      <c r="Z418" s="6">
        <f ca="1">('TUSD BE'!$AM$52+'TUSD BF'!$AM$52+'TUSD CVA'!$AM$52)*1</f>
        <v>343.81469354767324</v>
      </c>
      <c r="AA418" s="6">
        <f>('TE BE'!$AB$40+'TE BF'!$AB$40+'TE CVA'!$AB$40)*1</f>
        <v>114.76529888966962</v>
      </c>
      <c r="AB418" s="6">
        <f>$K$418*$V$418</f>
        <v>0</v>
      </c>
      <c r="AC418" s="6">
        <f>$M$418*$W$418</f>
        <v>266199.62313999998</v>
      </c>
      <c r="AD418" s="6">
        <f>$O$418*$X$418</f>
        <v>132545.76493</v>
      </c>
      <c r="AE418" s="6">
        <f>$K$418*$Y$418</f>
        <v>0</v>
      </c>
      <c r="AF418" s="6">
        <f ca="1">$M$418*$Z$418</f>
        <v>340159.59954056796</v>
      </c>
      <c r="AG418" s="6">
        <f>$O$418*$AA$418</f>
        <v>113545.22899717354</v>
      </c>
    </row>
    <row r="419" spans="1:33" ht="11.25" customHeight="1" x14ac:dyDescent="0.25">
      <c r="A419" s="4" t="s">
        <v>27</v>
      </c>
      <c r="B419" s="4" t="s">
        <v>33</v>
      </c>
      <c r="C419" s="4" t="s">
        <v>23</v>
      </c>
      <c r="D419" s="4" t="s">
        <v>41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-2.0790000000000002</v>
      </c>
      <c r="M419" s="6">
        <v>-2.0790000000000002</v>
      </c>
      <c r="N419" s="6">
        <v>-2.0790000000000002</v>
      </c>
      <c r="O419" s="6">
        <v>-2.0790000000000002</v>
      </c>
      <c r="P419" s="6">
        <v>0</v>
      </c>
      <c r="Q419" s="4" t="s">
        <v>26</v>
      </c>
      <c r="R419" s="4">
        <v>0</v>
      </c>
      <c r="S419" s="6">
        <v>0</v>
      </c>
      <c r="T419" s="6">
        <v>26</v>
      </c>
      <c r="U419" s="6">
        <v>75</v>
      </c>
      <c r="V419" s="6">
        <f>IF(ISERROR(VLOOKUP($S$419,'TAR FIN'!$A$1:$O$91,15,0)),0,VLOOKUP($S$419,'TAR FIN'!$A$1:$O$91,15,0))</f>
        <v>0</v>
      </c>
      <c r="W419" s="6">
        <f>IF(ISERROR(VLOOKUP($T$419,'TAR FIN'!$A$1:$O$91,15,0)),0,VLOOKUP($T$419,'TAR FIN'!$A$1:$O$91,15,0))</f>
        <v>269.06</v>
      </c>
      <c r="X419" s="6">
        <f>IF(ISERROR(VLOOKUP($U$419,'TAR FIN'!$A$1:$O$91,15,0)),0,VLOOKUP($U$419,'TAR FIN'!$A$1:$O$91,15,0))</f>
        <v>133.97</v>
      </c>
      <c r="Y419" s="6"/>
      <c r="Z419" s="6">
        <f ca="1">('TUSD BE'!$AM$52+'TUSD BF'!$AM$52+'TUSD CVA'!$AM$52)*1</f>
        <v>343.81469354767324</v>
      </c>
      <c r="AA419" s="6">
        <f>('TE BE'!$AB$40+'TE BF'!$AB$40+'TE CVA'!$AB$40)*1</f>
        <v>114.76529888966962</v>
      </c>
      <c r="AB419" s="6">
        <f>$K$419*$V$419</f>
        <v>0</v>
      </c>
      <c r="AC419" s="6">
        <f>$M$419*$W$419</f>
        <v>-559.37574000000006</v>
      </c>
      <c r="AD419" s="6">
        <f>$O$419*$X$419</f>
        <v>-278.52363000000003</v>
      </c>
      <c r="AE419" s="6">
        <f>$K$419*$Y$419</f>
        <v>0</v>
      </c>
      <c r="AF419" s="6">
        <f ca="1">$M$419*$Z$419</f>
        <v>-714.79074788561275</v>
      </c>
      <c r="AG419" s="6">
        <f>$O$419*$AA$419</f>
        <v>-238.59705639162317</v>
      </c>
    </row>
    <row r="420" spans="1:33" ht="11.25" customHeight="1" x14ac:dyDescent="0.25">
      <c r="A420" s="4" t="s">
        <v>28</v>
      </c>
      <c r="B420" s="4" t="s">
        <v>33</v>
      </c>
      <c r="C420" s="4" t="s">
        <v>23</v>
      </c>
      <c r="D420" s="4" t="s">
        <v>41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44713</v>
      </c>
      <c r="J420" s="6">
        <v>0</v>
      </c>
      <c r="K420" s="6">
        <v>0</v>
      </c>
      <c r="L420" s="6">
        <v>8.2810000000000006</v>
      </c>
      <c r="M420" s="6">
        <v>8.2810000000000006</v>
      </c>
      <c r="N420" s="6">
        <v>8.2810000000000006</v>
      </c>
      <c r="O420" s="6">
        <v>8.2810000000000006</v>
      </c>
      <c r="P420" s="6">
        <v>15</v>
      </c>
      <c r="Q420" s="4" t="s">
        <v>26</v>
      </c>
      <c r="R420" s="4">
        <v>0</v>
      </c>
      <c r="S420" s="6">
        <v>0</v>
      </c>
      <c r="T420" s="6">
        <v>26</v>
      </c>
      <c r="U420" s="6">
        <v>75</v>
      </c>
      <c r="V420" s="6">
        <f>IF(ISERROR(VLOOKUP($S$420,'TAR FIN'!$A$1:$O$91,15,0)),0,VLOOKUP($S$420,'TAR FIN'!$A$1:$O$91,15,0))</f>
        <v>0</v>
      </c>
      <c r="W420" s="6">
        <f>IF(ISERROR(VLOOKUP($T$420,'TAR FIN'!$A$1:$O$91,15,0)),0,VLOOKUP($T$420,'TAR FIN'!$A$1:$O$91,15,0))</f>
        <v>269.06</v>
      </c>
      <c r="X420" s="6">
        <f>IF(ISERROR(VLOOKUP($U$420,'TAR FIN'!$A$1:$O$91,15,0)),0,VLOOKUP($U$420,'TAR FIN'!$A$1:$O$91,15,0))</f>
        <v>133.97</v>
      </c>
      <c r="Y420" s="6"/>
      <c r="Z420" s="6">
        <f ca="1">('TUSD BE'!$AM$52+'TUSD BF'!$AM$52+'TUSD CVA'!$AM$52)*1</f>
        <v>343.81469354767324</v>
      </c>
      <c r="AA420" s="6">
        <f>('TE BE'!$AB$40+'TE BF'!$AB$40+'TE CVA'!$AB$40)*1</f>
        <v>114.76529888966962</v>
      </c>
      <c r="AB420" s="6">
        <f>$K$420*$V$420</f>
        <v>0</v>
      </c>
      <c r="AC420" s="6">
        <f>$M$420*$W$420</f>
        <v>2228.0858600000001</v>
      </c>
      <c r="AD420" s="6">
        <f>$O$420*$X$420</f>
        <v>1109.4055700000001</v>
      </c>
      <c r="AE420" s="6">
        <f>$K$420*$Y$420</f>
        <v>0</v>
      </c>
      <c r="AF420" s="6">
        <f ca="1">$M$420*$Z$420</f>
        <v>2847.1294772682822</v>
      </c>
      <c r="AG420" s="6">
        <f>$O$420*$AA$420</f>
        <v>950.37144010535417</v>
      </c>
    </row>
    <row r="421" spans="1:33" ht="11.25" customHeight="1" x14ac:dyDescent="0.25">
      <c r="A421" s="4" t="s">
        <v>21</v>
      </c>
      <c r="B421" s="4" t="s">
        <v>33</v>
      </c>
      <c r="C421" s="4" t="s">
        <v>23</v>
      </c>
      <c r="D421" s="4" t="s">
        <v>41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44743</v>
      </c>
      <c r="J421" s="6">
        <v>0</v>
      </c>
      <c r="K421" s="6">
        <v>0</v>
      </c>
      <c r="L421" s="6">
        <v>982.68499999999995</v>
      </c>
      <c r="M421" s="6">
        <v>982.68499999999995</v>
      </c>
      <c r="N421" s="6">
        <v>982.68499999999995</v>
      </c>
      <c r="O421" s="6">
        <v>982.68499999999995</v>
      </c>
      <c r="P421" s="6">
        <v>1676</v>
      </c>
      <c r="Q421" s="4" t="s">
        <v>26</v>
      </c>
      <c r="R421" s="4">
        <v>0</v>
      </c>
      <c r="S421" s="6">
        <v>0</v>
      </c>
      <c r="T421" s="6">
        <v>26</v>
      </c>
      <c r="U421" s="6">
        <v>75</v>
      </c>
      <c r="V421" s="6">
        <f>IF(ISERROR(VLOOKUP($S$421,'TAR FIN'!$A$1:$O$91,15,0)),0,VLOOKUP($S$421,'TAR FIN'!$A$1:$O$91,15,0))</f>
        <v>0</v>
      </c>
      <c r="W421" s="6">
        <f>IF(ISERROR(VLOOKUP($T$421,'TAR FIN'!$A$1:$O$91,15,0)),0,VLOOKUP($T$421,'TAR FIN'!$A$1:$O$91,15,0))</f>
        <v>269.06</v>
      </c>
      <c r="X421" s="6">
        <f>IF(ISERROR(VLOOKUP($U$421,'TAR FIN'!$A$1:$O$91,15,0)),0,VLOOKUP($U$421,'TAR FIN'!$A$1:$O$91,15,0))</f>
        <v>133.97</v>
      </c>
      <c r="Y421" s="6"/>
      <c r="Z421" s="6">
        <f ca="1">('TUSD BE'!$AM$52+'TUSD BF'!$AM$52+'TUSD CVA'!$AM$52)*1</f>
        <v>343.81469354767324</v>
      </c>
      <c r="AA421" s="6">
        <f>('TE BE'!$AB$40+'TE BF'!$AB$40+'TE CVA'!$AB$40)*1</f>
        <v>114.76529888966962</v>
      </c>
      <c r="AB421" s="6">
        <f>$K$421*$V$421</f>
        <v>0</v>
      </c>
      <c r="AC421" s="6">
        <f>$M$421*$W$421</f>
        <v>264401.22609999997</v>
      </c>
      <c r="AD421" s="6">
        <f>$O$421*$X$421</f>
        <v>131650.30945</v>
      </c>
      <c r="AE421" s="6">
        <f>$K$421*$Y$421</f>
        <v>0</v>
      </c>
      <c r="AF421" s="6">
        <f ca="1">$M$421*$Z$421</f>
        <v>337861.54212889523</v>
      </c>
      <c r="AG421" s="6">
        <f>$O$421*$AA$421</f>
        <v>112778.13773939498</v>
      </c>
    </row>
    <row r="422" spans="1:33" ht="11.25" customHeight="1" x14ac:dyDescent="0.25">
      <c r="A422" s="4" t="s">
        <v>28</v>
      </c>
      <c r="B422" s="4" t="s">
        <v>33</v>
      </c>
      <c r="C422" s="4" t="s">
        <v>23</v>
      </c>
      <c r="D422" s="4" t="s">
        <v>41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8.9160000000000004</v>
      </c>
      <c r="M422" s="6">
        <v>8.9160000000000004</v>
      </c>
      <c r="N422" s="6">
        <v>8.9160000000000004</v>
      </c>
      <c r="O422" s="6">
        <v>8.9160000000000004</v>
      </c>
      <c r="P422" s="6">
        <v>17</v>
      </c>
      <c r="Q422" s="4" t="s">
        <v>26</v>
      </c>
      <c r="R422" s="4">
        <v>0</v>
      </c>
      <c r="S422" s="6">
        <v>0</v>
      </c>
      <c r="T422" s="6">
        <v>26</v>
      </c>
      <c r="U422" s="6">
        <v>75</v>
      </c>
      <c r="V422" s="6">
        <f>IF(ISERROR(VLOOKUP($S$422,'TAR FIN'!$A$1:$O$91,15,0)),0,VLOOKUP($S$422,'TAR FIN'!$A$1:$O$91,15,0))</f>
        <v>0</v>
      </c>
      <c r="W422" s="6">
        <f>IF(ISERROR(VLOOKUP($T$422,'TAR FIN'!$A$1:$O$91,15,0)),0,VLOOKUP($T$422,'TAR FIN'!$A$1:$O$91,15,0))</f>
        <v>269.06</v>
      </c>
      <c r="X422" s="6">
        <f>IF(ISERROR(VLOOKUP($U$422,'TAR FIN'!$A$1:$O$91,15,0)),0,VLOOKUP($U$422,'TAR FIN'!$A$1:$O$91,15,0))</f>
        <v>133.97</v>
      </c>
      <c r="Y422" s="6"/>
      <c r="Z422" s="6">
        <f ca="1">('TUSD BE'!$AM$52+'TUSD BF'!$AM$52+'TUSD CVA'!$AM$52)*1</f>
        <v>343.81469354767324</v>
      </c>
      <c r="AA422" s="6">
        <f>('TE BE'!$AB$40+'TE BF'!$AB$40+'TE CVA'!$AB$40)*1</f>
        <v>114.76529888966962</v>
      </c>
      <c r="AB422" s="6">
        <f>$K$422*$V$422</f>
        <v>0</v>
      </c>
      <c r="AC422" s="6">
        <f>$M$422*$W$422</f>
        <v>2398.93896</v>
      </c>
      <c r="AD422" s="6">
        <f>$O$422*$X$422</f>
        <v>1194.4765199999999</v>
      </c>
      <c r="AE422" s="6">
        <f>$K$422*$Y$422</f>
        <v>0</v>
      </c>
      <c r="AF422" s="6">
        <f ca="1">$M$422*$Z$422</f>
        <v>3065.4518076710547</v>
      </c>
      <c r="AG422" s="6">
        <f>$O$422*$AA$422</f>
        <v>1023.2474049002944</v>
      </c>
    </row>
    <row r="423" spans="1:33" ht="11.25" customHeight="1" x14ac:dyDescent="0.25">
      <c r="A423" s="4" t="s">
        <v>57</v>
      </c>
      <c r="B423" s="4" t="s">
        <v>33</v>
      </c>
      <c r="C423" s="4" t="s">
        <v>23</v>
      </c>
      <c r="D423" s="4" t="s">
        <v>41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982.68499999999995</v>
      </c>
      <c r="M423" s="6">
        <v>982.68499999999995</v>
      </c>
      <c r="N423" s="6">
        <v>982.68499999999995</v>
      </c>
      <c r="O423" s="6">
        <v>982.68499999999995</v>
      </c>
      <c r="P423" s="6">
        <v>1676</v>
      </c>
      <c r="Q423" s="4" t="s">
        <v>26</v>
      </c>
      <c r="R423" s="4">
        <v>0</v>
      </c>
      <c r="S423" s="6">
        <v>0</v>
      </c>
      <c r="T423" s="6">
        <v>26</v>
      </c>
      <c r="U423" s="6">
        <v>75</v>
      </c>
      <c r="V423" s="6">
        <f>IF(ISERROR(VLOOKUP($S$423,'TAR FIN'!$A$1:$O$91,15,0)),0,VLOOKUP($S$423,'TAR FIN'!$A$1:$O$91,15,0))</f>
        <v>0</v>
      </c>
      <c r="W423" s="6">
        <f>IF(ISERROR(VLOOKUP($T$423,'TAR FIN'!$A$1:$O$91,15,0)),0,VLOOKUP($T$423,'TAR FIN'!$A$1:$O$91,15,0))</f>
        <v>269.06</v>
      </c>
      <c r="X423" s="6">
        <f>IF(ISERROR(VLOOKUP($U$423,'TAR FIN'!$A$1:$O$91,15,0)),0,VLOOKUP($U$423,'TAR FIN'!$A$1:$O$91,15,0))</f>
        <v>133.97</v>
      </c>
      <c r="Y423" s="6"/>
      <c r="Z423" s="6">
        <f ca="1">('TUSD BE'!$AM$52+'TUSD BF'!$AM$52+'TUSD CVA'!$AM$52)*1</f>
        <v>343.81469354767324</v>
      </c>
      <c r="AA423" s="6">
        <f>('TE BE'!$AB$40+'TE BF'!$AB$40+'TE CVA'!$AB$40)*1</f>
        <v>114.76529888966962</v>
      </c>
      <c r="AB423" s="6">
        <f>$K$423*$V$423</f>
        <v>0</v>
      </c>
      <c r="AC423" s="6">
        <f>$M$423*$W$423</f>
        <v>264401.22609999997</v>
      </c>
      <c r="AD423" s="6">
        <f>$O$423*$X$423</f>
        <v>131650.30945</v>
      </c>
      <c r="AE423" s="6">
        <f>$K$423*$Y$423</f>
        <v>0</v>
      </c>
      <c r="AF423" s="6">
        <f ca="1">$M$423*$Z$423</f>
        <v>337861.54212889523</v>
      </c>
      <c r="AG423" s="6">
        <f>$O$423*$AA$423</f>
        <v>112778.13773939498</v>
      </c>
    </row>
    <row r="424" spans="1:33" ht="11.25" customHeight="1" x14ac:dyDescent="0.25">
      <c r="A424" s="4" t="s">
        <v>57</v>
      </c>
      <c r="B424" s="4" t="s">
        <v>33</v>
      </c>
      <c r="C424" s="4" t="s">
        <v>23</v>
      </c>
      <c r="D424" s="4" t="s">
        <v>41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44774</v>
      </c>
      <c r="J424" s="6">
        <v>0</v>
      </c>
      <c r="K424" s="6">
        <v>0</v>
      </c>
      <c r="L424" s="6">
        <v>8.9160000000000004</v>
      </c>
      <c r="M424" s="6">
        <v>8.9160000000000004</v>
      </c>
      <c r="N424" s="6">
        <v>8.9160000000000004</v>
      </c>
      <c r="O424" s="6">
        <v>8.9160000000000004</v>
      </c>
      <c r="P424" s="6">
        <v>17</v>
      </c>
      <c r="Q424" s="4" t="s">
        <v>26</v>
      </c>
      <c r="R424" s="4">
        <v>0</v>
      </c>
      <c r="S424" s="6">
        <v>0</v>
      </c>
      <c r="T424" s="6">
        <v>26</v>
      </c>
      <c r="U424" s="6">
        <v>75</v>
      </c>
      <c r="V424" s="6">
        <f>IF(ISERROR(VLOOKUP($S$424,'TAR FIN'!$A$1:$O$91,15,0)),0,VLOOKUP($S$424,'TAR FIN'!$A$1:$O$91,15,0))</f>
        <v>0</v>
      </c>
      <c r="W424" s="6">
        <f>IF(ISERROR(VLOOKUP($T$424,'TAR FIN'!$A$1:$O$91,15,0)),0,VLOOKUP($T$424,'TAR FIN'!$A$1:$O$91,15,0))</f>
        <v>269.06</v>
      </c>
      <c r="X424" s="6">
        <f>IF(ISERROR(VLOOKUP($U$424,'TAR FIN'!$A$1:$O$91,15,0)),0,VLOOKUP($U$424,'TAR FIN'!$A$1:$O$91,15,0))</f>
        <v>133.97</v>
      </c>
      <c r="Y424" s="6"/>
      <c r="Z424" s="6">
        <f ca="1">('TUSD BE'!$AM$52+'TUSD BF'!$AM$52+'TUSD CVA'!$AM$52)*1</f>
        <v>343.81469354767324</v>
      </c>
      <c r="AA424" s="6">
        <f>('TE BE'!$AB$40+'TE BF'!$AB$40+'TE CVA'!$AB$40)*1</f>
        <v>114.76529888966962</v>
      </c>
      <c r="AB424" s="6">
        <f>$K$424*$V$424</f>
        <v>0</v>
      </c>
      <c r="AC424" s="6">
        <f>$M$424*$W$424</f>
        <v>2398.93896</v>
      </c>
      <c r="AD424" s="6">
        <f>$O$424*$X$424</f>
        <v>1194.4765199999999</v>
      </c>
      <c r="AE424" s="6">
        <f>$K$424*$Y$424</f>
        <v>0</v>
      </c>
      <c r="AF424" s="6">
        <f ca="1">$M$424*$Z$424</f>
        <v>3065.4518076710547</v>
      </c>
      <c r="AG424" s="6">
        <f>$O$424*$AA$424</f>
        <v>1023.2474049002944</v>
      </c>
    </row>
    <row r="425" spans="1:33" ht="11.25" customHeight="1" x14ac:dyDescent="0.25">
      <c r="A425" s="4" t="s">
        <v>21</v>
      </c>
      <c r="B425" s="4" t="s">
        <v>33</v>
      </c>
      <c r="C425" s="4" t="s">
        <v>23</v>
      </c>
      <c r="D425" s="4" t="s">
        <v>50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0.52</v>
      </c>
      <c r="M425" s="6">
        <v>0.52</v>
      </c>
      <c r="N425" s="6">
        <v>0.52</v>
      </c>
      <c r="O425" s="6">
        <v>0.52</v>
      </c>
      <c r="P425" s="6">
        <v>2</v>
      </c>
      <c r="Q425" s="4" t="s">
        <v>26</v>
      </c>
      <c r="R425" s="4">
        <v>0</v>
      </c>
      <c r="S425" s="6">
        <v>0</v>
      </c>
      <c r="T425" s="6">
        <v>26</v>
      </c>
      <c r="U425" s="6">
        <v>75</v>
      </c>
      <c r="V425" s="6">
        <f>IF(ISERROR(VLOOKUP($S$425,'TAR FIN'!$A$1:$O$91,15,0)),0,VLOOKUP($S$425,'TAR FIN'!$A$1:$O$91,15,0))</f>
        <v>0</v>
      </c>
      <c r="W425" s="6">
        <f>IF(ISERROR(VLOOKUP($T$425,'TAR FIN'!$A$1:$O$91,15,0)),0,VLOOKUP($T$425,'TAR FIN'!$A$1:$O$91,15,0))</f>
        <v>269.06</v>
      </c>
      <c r="X425" s="6">
        <f>IF(ISERROR(VLOOKUP($U$425,'TAR FIN'!$A$1:$O$91,15,0)),0,VLOOKUP($U$425,'TAR FIN'!$A$1:$O$91,15,0))</f>
        <v>133.97</v>
      </c>
      <c r="Y425" s="6"/>
      <c r="Z425" s="6">
        <f ca="1">('TUSD BE'!$AM$52+'TUSD BF'!$AM$52+'TUSD CVA'!$AM$52)*1</f>
        <v>343.81469354767324</v>
      </c>
      <c r="AA425" s="6">
        <f>('TE BE'!$AB$40+'TE BF'!$AB$40+'TE CVA'!$AB$40)*1</f>
        <v>114.76529888966962</v>
      </c>
      <c r="AB425" s="6">
        <f>$K$425*$V$425</f>
        <v>0</v>
      </c>
      <c r="AC425" s="6">
        <f>$M$425*$W$425</f>
        <v>139.91120000000001</v>
      </c>
      <c r="AD425" s="6">
        <f>$O$425*$X$425</f>
        <v>69.664400000000001</v>
      </c>
      <c r="AE425" s="6">
        <f>$K$425*$Y$425</f>
        <v>0</v>
      </c>
      <c r="AF425" s="6">
        <f ca="1">$M$425*$Z$425</f>
        <v>178.7836406447901</v>
      </c>
      <c r="AG425" s="6">
        <f>$O$425*$AA$425</f>
        <v>59.677955422628209</v>
      </c>
    </row>
    <row r="426" spans="1:33" ht="11.25" customHeight="1" x14ac:dyDescent="0.25">
      <c r="A426" s="4" t="s">
        <v>21</v>
      </c>
      <c r="B426" s="4" t="s">
        <v>33</v>
      </c>
      <c r="C426" s="4" t="s">
        <v>23</v>
      </c>
      <c r="D426" s="4" t="s">
        <v>50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44470</v>
      </c>
      <c r="J426" s="6">
        <v>0</v>
      </c>
      <c r="K426" s="6">
        <v>0</v>
      </c>
      <c r="L426" s="6">
        <v>0.51800000000000002</v>
      </c>
      <c r="M426" s="6">
        <v>0.51800000000000002</v>
      </c>
      <c r="N426" s="6">
        <v>0.51800000000000002</v>
      </c>
      <c r="O426" s="6">
        <v>0.51800000000000002</v>
      </c>
      <c r="P426" s="6">
        <v>2</v>
      </c>
      <c r="Q426" s="4" t="s">
        <v>26</v>
      </c>
      <c r="R426" s="4">
        <v>0</v>
      </c>
      <c r="S426" s="6">
        <v>0</v>
      </c>
      <c r="T426" s="6">
        <v>26</v>
      </c>
      <c r="U426" s="6">
        <v>75</v>
      </c>
      <c r="V426" s="6">
        <f>IF(ISERROR(VLOOKUP($S$426,'TAR FIN'!$A$1:$O$91,15,0)),0,VLOOKUP($S$426,'TAR FIN'!$A$1:$O$91,15,0))</f>
        <v>0</v>
      </c>
      <c r="W426" s="6">
        <f>IF(ISERROR(VLOOKUP($T$426,'TAR FIN'!$A$1:$O$91,15,0)),0,VLOOKUP($T$426,'TAR FIN'!$A$1:$O$91,15,0))</f>
        <v>269.06</v>
      </c>
      <c r="X426" s="6">
        <f>IF(ISERROR(VLOOKUP($U$426,'TAR FIN'!$A$1:$O$91,15,0)),0,VLOOKUP($U$426,'TAR FIN'!$A$1:$O$91,15,0))</f>
        <v>133.97</v>
      </c>
      <c r="Y426" s="6"/>
      <c r="Z426" s="6">
        <f ca="1">('TUSD BE'!$AM$52+'TUSD BF'!$AM$52+'TUSD CVA'!$AM$52)*1</f>
        <v>343.81469354767324</v>
      </c>
      <c r="AA426" s="6">
        <f>('TE BE'!$AB$40+'TE BF'!$AB$40+'TE CVA'!$AB$40)*1</f>
        <v>114.76529888966962</v>
      </c>
      <c r="AB426" s="6">
        <f>$K$426*$V$426</f>
        <v>0</v>
      </c>
      <c r="AC426" s="6">
        <f>$M$426*$W$426</f>
        <v>139.37308000000002</v>
      </c>
      <c r="AD426" s="6">
        <f>$O$426*$X$426</f>
        <v>69.396460000000005</v>
      </c>
      <c r="AE426" s="6">
        <f>$K$426*$Y$426</f>
        <v>0</v>
      </c>
      <c r="AF426" s="6">
        <f ca="1">$M$426*$Z$426</f>
        <v>178.09601125769476</v>
      </c>
      <c r="AG426" s="6">
        <f>$O$426*$AA$426</f>
        <v>59.448424824848864</v>
      </c>
    </row>
    <row r="427" spans="1:33" ht="11.25" customHeight="1" x14ac:dyDescent="0.25">
      <c r="A427" s="4" t="s">
        <v>21</v>
      </c>
      <c r="B427" s="4" t="s">
        <v>33</v>
      </c>
      <c r="C427" s="4" t="s">
        <v>23</v>
      </c>
      <c r="D427" s="4" t="s">
        <v>50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44501</v>
      </c>
      <c r="J427" s="6">
        <v>0</v>
      </c>
      <c r="K427" s="6">
        <v>0</v>
      </c>
      <c r="L427" s="6">
        <v>0.47199999999999998</v>
      </c>
      <c r="M427" s="6">
        <v>0.47199999999999998</v>
      </c>
      <c r="N427" s="6">
        <v>0.47199999999999998</v>
      </c>
      <c r="O427" s="6">
        <v>0.47199999999999998</v>
      </c>
      <c r="P427" s="6">
        <v>2</v>
      </c>
      <c r="Q427" s="4" t="s">
        <v>26</v>
      </c>
      <c r="R427" s="4">
        <v>0</v>
      </c>
      <c r="S427" s="6">
        <v>0</v>
      </c>
      <c r="T427" s="6">
        <v>26</v>
      </c>
      <c r="U427" s="6">
        <v>75</v>
      </c>
      <c r="V427" s="6">
        <f>IF(ISERROR(VLOOKUP($S$427,'TAR FIN'!$A$1:$O$91,15,0)),0,VLOOKUP($S$427,'TAR FIN'!$A$1:$O$91,15,0))</f>
        <v>0</v>
      </c>
      <c r="W427" s="6">
        <f>IF(ISERROR(VLOOKUP($T$427,'TAR FIN'!$A$1:$O$91,15,0)),0,VLOOKUP($T$427,'TAR FIN'!$A$1:$O$91,15,0))</f>
        <v>269.06</v>
      </c>
      <c r="X427" s="6">
        <f>IF(ISERROR(VLOOKUP($U$427,'TAR FIN'!$A$1:$O$91,15,0)),0,VLOOKUP($U$427,'TAR FIN'!$A$1:$O$91,15,0))</f>
        <v>133.97</v>
      </c>
      <c r="Y427" s="6"/>
      <c r="Z427" s="6">
        <f ca="1">('TUSD BE'!$AM$52+'TUSD BF'!$AM$52+'TUSD CVA'!$AM$52)*1</f>
        <v>343.81469354767324</v>
      </c>
      <c r="AA427" s="6">
        <f>('TE BE'!$AB$40+'TE BF'!$AB$40+'TE CVA'!$AB$40)*1</f>
        <v>114.76529888966962</v>
      </c>
      <c r="AB427" s="6">
        <f>$K$427*$V$427</f>
        <v>0</v>
      </c>
      <c r="AC427" s="6">
        <f>$M$427*$W$427</f>
        <v>126.99632</v>
      </c>
      <c r="AD427" s="6">
        <f>$O$427*$X$427</f>
        <v>63.233839999999994</v>
      </c>
      <c r="AE427" s="6">
        <f>$K$427*$Y$427</f>
        <v>0</v>
      </c>
      <c r="AF427" s="6">
        <f ca="1">$M$427*$Z$427</f>
        <v>162.28053535450175</v>
      </c>
      <c r="AG427" s="6">
        <f>$O$427*$AA$427</f>
        <v>54.169221075924057</v>
      </c>
    </row>
    <row r="428" spans="1:33" ht="11.25" customHeight="1" x14ac:dyDescent="0.25">
      <c r="A428" s="4" t="s">
        <v>21</v>
      </c>
      <c r="B428" s="4" t="s">
        <v>33</v>
      </c>
      <c r="C428" s="4" t="s">
        <v>23</v>
      </c>
      <c r="D428" s="4" t="s">
        <v>50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44531</v>
      </c>
      <c r="J428" s="6">
        <v>0</v>
      </c>
      <c r="K428" s="6">
        <v>0</v>
      </c>
      <c r="L428" s="6">
        <v>0.76400000000000001</v>
      </c>
      <c r="M428" s="6">
        <v>0.76400000000000001</v>
      </c>
      <c r="N428" s="6">
        <v>0.76400000000000001</v>
      </c>
      <c r="O428" s="6">
        <v>0.76400000000000001</v>
      </c>
      <c r="P428" s="6">
        <v>2</v>
      </c>
      <c r="Q428" s="4" t="s">
        <v>26</v>
      </c>
      <c r="R428" s="4">
        <v>0</v>
      </c>
      <c r="S428" s="6">
        <v>0</v>
      </c>
      <c r="T428" s="6">
        <v>26</v>
      </c>
      <c r="U428" s="6">
        <v>75</v>
      </c>
      <c r="V428" s="6">
        <f>IF(ISERROR(VLOOKUP($S$428,'TAR FIN'!$A$1:$O$91,15,0)),0,VLOOKUP($S$428,'TAR FIN'!$A$1:$O$91,15,0))</f>
        <v>0</v>
      </c>
      <c r="W428" s="6">
        <f>IF(ISERROR(VLOOKUP($T$428,'TAR FIN'!$A$1:$O$91,15,0)),0,VLOOKUP($T$428,'TAR FIN'!$A$1:$O$91,15,0))</f>
        <v>269.06</v>
      </c>
      <c r="X428" s="6">
        <f>IF(ISERROR(VLOOKUP($U$428,'TAR FIN'!$A$1:$O$91,15,0)),0,VLOOKUP($U$428,'TAR FIN'!$A$1:$O$91,15,0))</f>
        <v>133.97</v>
      </c>
      <c r="Y428" s="6"/>
      <c r="Z428" s="6">
        <f ca="1">('TUSD BE'!$AM$52+'TUSD BF'!$AM$52+'TUSD CVA'!$AM$52)*1</f>
        <v>343.81469354767324</v>
      </c>
      <c r="AA428" s="6">
        <f>('TE BE'!$AB$40+'TE BF'!$AB$40+'TE CVA'!$AB$40)*1</f>
        <v>114.76529888966962</v>
      </c>
      <c r="AB428" s="6">
        <f>$K$428*$V$428</f>
        <v>0</v>
      </c>
      <c r="AC428" s="6">
        <f>$M$428*$W$428</f>
        <v>205.56184000000002</v>
      </c>
      <c r="AD428" s="6">
        <f>$O$428*$X$428</f>
        <v>102.35308000000001</v>
      </c>
      <c r="AE428" s="6">
        <f>$K$428*$Y$428</f>
        <v>0</v>
      </c>
      <c r="AF428" s="6">
        <f ca="1">$M$428*$Z$428</f>
        <v>262.67442587042234</v>
      </c>
      <c r="AG428" s="6">
        <f>$O$428*$AA$428</f>
        <v>87.680688351707587</v>
      </c>
    </row>
    <row r="429" spans="1:33" ht="11.25" customHeight="1" x14ac:dyDescent="0.25">
      <c r="A429" s="4" t="s">
        <v>21</v>
      </c>
      <c r="B429" s="4" t="s">
        <v>33</v>
      </c>
      <c r="C429" s="4" t="s">
        <v>23</v>
      </c>
      <c r="D429" s="4" t="s">
        <v>50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44562</v>
      </c>
      <c r="J429" s="6">
        <v>0</v>
      </c>
      <c r="K429" s="6">
        <v>0</v>
      </c>
      <c r="L429" s="6">
        <v>0.78600000000000003</v>
      </c>
      <c r="M429" s="6">
        <v>0.78600000000000003</v>
      </c>
      <c r="N429" s="6">
        <v>0.78600000000000003</v>
      </c>
      <c r="O429" s="6">
        <v>0.78600000000000003</v>
      </c>
      <c r="P429" s="6">
        <v>2</v>
      </c>
      <c r="Q429" s="4" t="s">
        <v>26</v>
      </c>
      <c r="R429" s="4">
        <v>0</v>
      </c>
      <c r="S429" s="6">
        <v>0</v>
      </c>
      <c r="T429" s="6">
        <v>26</v>
      </c>
      <c r="U429" s="6">
        <v>75</v>
      </c>
      <c r="V429" s="6">
        <f>IF(ISERROR(VLOOKUP($S$429,'TAR FIN'!$A$1:$O$91,15,0)),0,VLOOKUP($S$429,'TAR FIN'!$A$1:$O$91,15,0))</f>
        <v>0</v>
      </c>
      <c r="W429" s="6">
        <f>IF(ISERROR(VLOOKUP($T$429,'TAR FIN'!$A$1:$O$91,15,0)),0,VLOOKUP($T$429,'TAR FIN'!$A$1:$O$91,15,0))</f>
        <v>269.06</v>
      </c>
      <c r="X429" s="6">
        <f>IF(ISERROR(VLOOKUP($U$429,'TAR FIN'!$A$1:$O$91,15,0)),0,VLOOKUP($U$429,'TAR FIN'!$A$1:$O$91,15,0))</f>
        <v>133.97</v>
      </c>
      <c r="Y429" s="6"/>
      <c r="Z429" s="6">
        <f ca="1">('TUSD BE'!$AM$52+'TUSD BF'!$AM$52+'TUSD CVA'!$AM$52)*1</f>
        <v>343.81469354767324</v>
      </c>
      <c r="AA429" s="6">
        <f>('TE BE'!$AB$40+'TE BF'!$AB$40+'TE CVA'!$AB$40)*1</f>
        <v>114.76529888966962</v>
      </c>
      <c r="AB429" s="6">
        <f>$K$429*$V$429</f>
        <v>0</v>
      </c>
      <c r="AC429" s="6">
        <f>$M$429*$W$429</f>
        <v>211.48116000000002</v>
      </c>
      <c r="AD429" s="6">
        <f>$O$429*$X$429</f>
        <v>105.30042</v>
      </c>
      <c r="AE429" s="6">
        <f>$K$429*$Y$429</f>
        <v>0</v>
      </c>
      <c r="AF429" s="6">
        <f ca="1">$M$429*$Z$429</f>
        <v>270.23834912847116</v>
      </c>
      <c r="AG429" s="6">
        <f>$O$429*$AA$429</f>
        <v>90.205524927280322</v>
      </c>
    </row>
    <row r="430" spans="1:33" ht="11.25" customHeight="1" x14ac:dyDescent="0.25">
      <c r="A430" s="4" t="s">
        <v>21</v>
      </c>
      <c r="B430" s="4" t="s">
        <v>33</v>
      </c>
      <c r="C430" s="4" t="s">
        <v>23</v>
      </c>
      <c r="D430" s="4" t="s">
        <v>50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44593</v>
      </c>
      <c r="J430" s="6">
        <v>0</v>
      </c>
      <c r="K430" s="6">
        <v>0</v>
      </c>
      <c r="L430" s="6">
        <v>0.88100000000000001</v>
      </c>
      <c r="M430" s="6">
        <v>0.88100000000000001</v>
      </c>
      <c r="N430" s="6">
        <v>0.88100000000000001</v>
      </c>
      <c r="O430" s="6">
        <v>0.88100000000000001</v>
      </c>
      <c r="P430" s="6">
        <v>2</v>
      </c>
      <c r="Q430" s="4" t="s">
        <v>26</v>
      </c>
      <c r="R430" s="4">
        <v>0</v>
      </c>
      <c r="S430" s="6">
        <v>0</v>
      </c>
      <c r="T430" s="6">
        <v>26</v>
      </c>
      <c r="U430" s="6">
        <v>75</v>
      </c>
      <c r="V430" s="6">
        <f>IF(ISERROR(VLOOKUP($S$430,'TAR FIN'!$A$1:$O$91,15,0)),0,VLOOKUP($S$430,'TAR FIN'!$A$1:$O$91,15,0))</f>
        <v>0</v>
      </c>
      <c r="W430" s="6">
        <f>IF(ISERROR(VLOOKUP($T$430,'TAR FIN'!$A$1:$O$91,15,0)),0,VLOOKUP($T$430,'TAR FIN'!$A$1:$O$91,15,0))</f>
        <v>269.06</v>
      </c>
      <c r="X430" s="6">
        <f>IF(ISERROR(VLOOKUP($U$430,'TAR FIN'!$A$1:$O$91,15,0)),0,VLOOKUP($U$430,'TAR FIN'!$A$1:$O$91,15,0))</f>
        <v>133.97</v>
      </c>
      <c r="Y430" s="6"/>
      <c r="Z430" s="6">
        <f ca="1">('TUSD BE'!$AM$52+'TUSD BF'!$AM$52+'TUSD CVA'!$AM$52)*1</f>
        <v>343.81469354767324</v>
      </c>
      <c r="AA430" s="6">
        <f>('TE BE'!$AB$40+'TE BF'!$AB$40+'TE CVA'!$AB$40)*1</f>
        <v>114.76529888966962</v>
      </c>
      <c r="AB430" s="6">
        <f>$K$430*$V$430</f>
        <v>0</v>
      </c>
      <c r="AC430" s="6">
        <f>$M$430*$W$430</f>
        <v>237.04186000000001</v>
      </c>
      <c r="AD430" s="6">
        <f>$O$430*$X$430</f>
        <v>118.02757</v>
      </c>
      <c r="AE430" s="6">
        <f>$K$430*$Y$430</f>
        <v>0</v>
      </c>
      <c r="AF430" s="6">
        <f ca="1">$M$430*$Z$430</f>
        <v>302.90074501550015</v>
      </c>
      <c r="AG430" s="6">
        <f>$O$430*$AA$430</f>
        <v>101.10822832179893</v>
      </c>
    </row>
    <row r="431" spans="1:33" ht="11.25" customHeight="1" x14ac:dyDescent="0.25">
      <c r="A431" s="4" t="s">
        <v>21</v>
      </c>
      <c r="B431" s="4" t="s">
        <v>33</v>
      </c>
      <c r="C431" s="4" t="s">
        <v>23</v>
      </c>
      <c r="D431" s="4" t="s">
        <v>50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44621</v>
      </c>
      <c r="J431" s="6">
        <v>0</v>
      </c>
      <c r="K431" s="6">
        <v>0</v>
      </c>
      <c r="L431" s="6">
        <v>1.0189999999999999</v>
      </c>
      <c r="M431" s="6">
        <v>1.0189999999999999</v>
      </c>
      <c r="N431" s="6">
        <v>1.0189999999999999</v>
      </c>
      <c r="O431" s="6">
        <v>1.0189999999999999</v>
      </c>
      <c r="P431" s="6">
        <v>3</v>
      </c>
      <c r="Q431" s="4" t="s">
        <v>26</v>
      </c>
      <c r="R431" s="4">
        <v>0</v>
      </c>
      <c r="S431" s="6">
        <v>0</v>
      </c>
      <c r="T431" s="6">
        <v>26</v>
      </c>
      <c r="U431" s="6">
        <v>75</v>
      </c>
      <c r="V431" s="6">
        <f>IF(ISERROR(VLOOKUP($S$431,'TAR FIN'!$A$1:$O$91,15,0)),0,VLOOKUP($S$431,'TAR FIN'!$A$1:$O$91,15,0))</f>
        <v>0</v>
      </c>
      <c r="W431" s="6">
        <f>IF(ISERROR(VLOOKUP($T$431,'TAR FIN'!$A$1:$O$91,15,0)),0,VLOOKUP($T$431,'TAR FIN'!$A$1:$O$91,15,0))</f>
        <v>269.06</v>
      </c>
      <c r="X431" s="6">
        <f>IF(ISERROR(VLOOKUP($U$431,'TAR FIN'!$A$1:$O$91,15,0)),0,VLOOKUP($U$431,'TAR FIN'!$A$1:$O$91,15,0))</f>
        <v>133.97</v>
      </c>
      <c r="Y431" s="6"/>
      <c r="Z431" s="6">
        <f ca="1">('TUSD BE'!$AM$52+'TUSD BF'!$AM$52+'TUSD CVA'!$AM$52)*1</f>
        <v>343.81469354767324</v>
      </c>
      <c r="AA431" s="6">
        <f>('TE BE'!$AB$40+'TE BF'!$AB$40+'TE CVA'!$AB$40)*1</f>
        <v>114.76529888966962</v>
      </c>
      <c r="AB431" s="6">
        <f>$K$431*$V$431</f>
        <v>0</v>
      </c>
      <c r="AC431" s="6">
        <f>$M$431*$W$431</f>
        <v>274.17213999999996</v>
      </c>
      <c r="AD431" s="6">
        <f>$O$431*$X$431</f>
        <v>136.51542999999998</v>
      </c>
      <c r="AE431" s="6">
        <f>$K$431*$Y$431</f>
        <v>0</v>
      </c>
      <c r="AF431" s="6">
        <f ca="1">$M$431*$Z$431</f>
        <v>350.34717272507902</v>
      </c>
      <c r="AG431" s="6">
        <f>$O$431*$AA$431</f>
        <v>116.94583956857333</v>
      </c>
    </row>
    <row r="432" spans="1:33" ht="11.25" customHeight="1" x14ac:dyDescent="0.25">
      <c r="A432" s="4" t="s">
        <v>21</v>
      </c>
      <c r="B432" s="4" t="s">
        <v>33</v>
      </c>
      <c r="C432" s="4" t="s">
        <v>23</v>
      </c>
      <c r="D432" s="4" t="s">
        <v>50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44652</v>
      </c>
      <c r="J432" s="6">
        <v>0</v>
      </c>
      <c r="K432" s="6">
        <v>0</v>
      </c>
      <c r="L432" s="6">
        <v>1.4019999999999999</v>
      </c>
      <c r="M432" s="6">
        <v>1.4019999999999999</v>
      </c>
      <c r="N432" s="6">
        <v>1.4019999999999999</v>
      </c>
      <c r="O432" s="6">
        <v>1.4019999999999999</v>
      </c>
      <c r="P432" s="6">
        <v>2</v>
      </c>
      <c r="Q432" s="4" t="s">
        <v>26</v>
      </c>
      <c r="R432" s="4">
        <v>0</v>
      </c>
      <c r="S432" s="6">
        <v>0</v>
      </c>
      <c r="T432" s="6">
        <v>26</v>
      </c>
      <c r="U432" s="6">
        <v>75</v>
      </c>
      <c r="V432" s="6">
        <f>IF(ISERROR(VLOOKUP($S$432,'TAR FIN'!$A$1:$O$91,15,0)),0,VLOOKUP($S$432,'TAR FIN'!$A$1:$O$91,15,0))</f>
        <v>0</v>
      </c>
      <c r="W432" s="6">
        <f>IF(ISERROR(VLOOKUP($T$432,'TAR FIN'!$A$1:$O$91,15,0)),0,VLOOKUP($T$432,'TAR FIN'!$A$1:$O$91,15,0))</f>
        <v>269.06</v>
      </c>
      <c r="X432" s="6">
        <f>IF(ISERROR(VLOOKUP($U$432,'TAR FIN'!$A$1:$O$91,15,0)),0,VLOOKUP($U$432,'TAR FIN'!$A$1:$O$91,15,0))</f>
        <v>133.97</v>
      </c>
      <c r="Y432" s="6"/>
      <c r="Z432" s="6">
        <f ca="1">('TUSD BE'!$AM$52+'TUSD BF'!$AM$52+'TUSD CVA'!$AM$52)*1</f>
        <v>343.81469354767324</v>
      </c>
      <c r="AA432" s="6">
        <f>('TE BE'!$AB$40+'TE BF'!$AB$40+'TE CVA'!$AB$40)*1</f>
        <v>114.76529888966962</v>
      </c>
      <c r="AB432" s="6">
        <f>$K$432*$V$432</f>
        <v>0</v>
      </c>
      <c r="AC432" s="6">
        <f>$M$432*$W$432</f>
        <v>377.22211999999996</v>
      </c>
      <c r="AD432" s="6">
        <f>$O$432*$X$432</f>
        <v>187.82593999999997</v>
      </c>
      <c r="AE432" s="6">
        <f>$K$432*$Y$432</f>
        <v>0</v>
      </c>
      <c r="AF432" s="6">
        <f ca="1">$M$432*$Z$432</f>
        <v>482.02820035383786</v>
      </c>
      <c r="AG432" s="6">
        <f>$O$432*$AA$432</f>
        <v>160.90094904331681</v>
      </c>
    </row>
    <row r="433" spans="1:33" ht="11.25" customHeight="1" x14ac:dyDescent="0.25">
      <c r="A433" s="4" t="s">
        <v>28</v>
      </c>
      <c r="B433" s="4" t="s">
        <v>33</v>
      </c>
      <c r="C433" s="4" t="s">
        <v>23</v>
      </c>
      <c r="D433" s="4" t="s">
        <v>50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44652</v>
      </c>
      <c r="J433" s="6">
        <v>0</v>
      </c>
      <c r="K433" s="6">
        <v>0</v>
      </c>
      <c r="L433" s="6">
        <v>0.03</v>
      </c>
      <c r="M433" s="6">
        <v>0.03</v>
      </c>
      <c r="N433" s="6">
        <v>0.03</v>
      </c>
      <c r="O433" s="6">
        <v>0.03</v>
      </c>
      <c r="P433" s="6">
        <v>1</v>
      </c>
      <c r="Q433" s="4" t="s">
        <v>26</v>
      </c>
      <c r="R433" s="4">
        <v>0</v>
      </c>
      <c r="S433" s="6">
        <v>0</v>
      </c>
      <c r="T433" s="6">
        <v>26</v>
      </c>
      <c r="U433" s="6">
        <v>75</v>
      </c>
      <c r="V433" s="6">
        <f>IF(ISERROR(VLOOKUP($S$433,'TAR FIN'!$A$1:$O$91,15,0)),0,VLOOKUP($S$433,'TAR FIN'!$A$1:$O$91,15,0))</f>
        <v>0</v>
      </c>
      <c r="W433" s="6">
        <f>IF(ISERROR(VLOOKUP($T$433,'TAR FIN'!$A$1:$O$91,15,0)),0,VLOOKUP($T$433,'TAR FIN'!$A$1:$O$91,15,0))</f>
        <v>269.06</v>
      </c>
      <c r="X433" s="6">
        <f>IF(ISERROR(VLOOKUP($U$433,'TAR FIN'!$A$1:$O$91,15,0)),0,VLOOKUP($U$433,'TAR FIN'!$A$1:$O$91,15,0))</f>
        <v>133.97</v>
      </c>
      <c r="Y433" s="6"/>
      <c r="Z433" s="6">
        <f ca="1">('TUSD BE'!$AM$52+'TUSD BF'!$AM$52+'TUSD CVA'!$AM$52)*1</f>
        <v>343.81469354767324</v>
      </c>
      <c r="AA433" s="6">
        <f>('TE BE'!$AB$40+'TE BF'!$AB$40+'TE CVA'!$AB$40)*1</f>
        <v>114.76529888966962</v>
      </c>
      <c r="AB433" s="6">
        <f>$K$433*$V$433</f>
        <v>0</v>
      </c>
      <c r="AC433" s="6">
        <f>$M$433*$W$433</f>
        <v>8.0717999999999996</v>
      </c>
      <c r="AD433" s="6">
        <f>$O$433*$X$433</f>
        <v>4.0190999999999999</v>
      </c>
      <c r="AE433" s="6">
        <f>$K$433*$Y$433</f>
        <v>0</v>
      </c>
      <c r="AF433" s="6">
        <f ca="1">$M$433*$Z$433</f>
        <v>10.314440806430197</v>
      </c>
      <c r="AG433" s="6">
        <f>$O$433*$AA$433</f>
        <v>3.4429589666900884</v>
      </c>
    </row>
    <row r="434" spans="1:33" ht="11.25" customHeight="1" x14ac:dyDescent="0.25">
      <c r="A434" s="4" t="s">
        <v>21</v>
      </c>
      <c r="B434" s="4" t="s">
        <v>33</v>
      </c>
      <c r="C434" s="4" t="s">
        <v>23</v>
      </c>
      <c r="D434" s="4" t="s">
        <v>50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44682</v>
      </c>
      <c r="J434" s="6">
        <v>0</v>
      </c>
      <c r="K434" s="6">
        <v>0</v>
      </c>
      <c r="L434" s="6">
        <v>1.002</v>
      </c>
      <c r="M434" s="6">
        <v>1.002</v>
      </c>
      <c r="N434" s="6">
        <v>1.002</v>
      </c>
      <c r="O434" s="6">
        <v>1.002</v>
      </c>
      <c r="P434" s="6">
        <v>2</v>
      </c>
      <c r="Q434" s="4" t="s">
        <v>26</v>
      </c>
      <c r="R434" s="4">
        <v>0</v>
      </c>
      <c r="S434" s="6">
        <v>0</v>
      </c>
      <c r="T434" s="6">
        <v>26</v>
      </c>
      <c r="U434" s="6">
        <v>75</v>
      </c>
      <c r="V434" s="6">
        <f>IF(ISERROR(VLOOKUP($S$434,'TAR FIN'!$A$1:$O$91,15,0)),0,VLOOKUP($S$434,'TAR FIN'!$A$1:$O$91,15,0))</f>
        <v>0</v>
      </c>
      <c r="W434" s="6">
        <f>IF(ISERROR(VLOOKUP($T$434,'TAR FIN'!$A$1:$O$91,15,0)),0,VLOOKUP($T$434,'TAR FIN'!$A$1:$O$91,15,0))</f>
        <v>269.06</v>
      </c>
      <c r="X434" s="6">
        <f>IF(ISERROR(VLOOKUP($U$434,'TAR FIN'!$A$1:$O$91,15,0)),0,VLOOKUP($U$434,'TAR FIN'!$A$1:$O$91,15,0))</f>
        <v>133.97</v>
      </c>
      <c r="Y434" s="6"/>
      <c r="Z434" s="6">
        <f ca="1">('TUSD BE'!$AM$52+'TUSD BF'!$AM$52+'TUSD CVA'!$AM$52)*1</f>
        <v>343.81469354767324</v>
      </c>
      <c r="AA434" s="6">
        <f>('TE BE'!$AB$40+'TE BF'!$AB$40+'TE CVA'!$AB$40)*1</f>
        <v>114.76529888966962</v>
      </c>
      <c r="AB434" s="6">
        <f>$K$434*$V$434</f>
        <v>0</v>
      </c>
      <c r="AC434" s="6">
        <f>$M$434*$W$434</f>
        <v>269.59811999999999</v>
      </c>
      <c r="AD434" s="6">
        <f>$O$434*$X$434</f>
        <v>134.23794000000001</v>
      </c>
      <c r="AE434" s="6">
        <f>$K$434*$Y$434</f>
        <v>0</v>
      </c>
      <c r="AF434" s="6">
        <f ca="1">$M$434*$Z$434</f>
        <v>344.50232293476859</v>
      </c>
      <c r="AG434" s="6">
        <f>$O$434*$AA$434</f>
        <v>114.99482948744897</v>
      </c>
    </row>
    <row r="435" spans="1:33" ht="11.25" customHeight="1" x14ac:dyDescent="0.25">
      <c r="A435" s="4" t="s">
        <v>28</v>
      </c>
      <c r="B435" s="4" t="s">
        <v>33</v>
      </c>
      <c r="C435" s="4" t="s">
        <v>23</v>
      </c>
      <c r="D435" s="4" t="s">
        <v>50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44682</v>
      </c>
      <c r="J435" s="6">
        <v>0</v>
      </c>
      <c r="K435" s="6">
        <v>0</v>
      </c>
      <c r="L435" s="6">
        <v>0.03</v>
      </c>
      <c r="M435" s="6">
        <v>0.03</v>
      </c>
      <c r="N435" s="6">
        <v>0.03</v>
      </c>
      <c r="O435" s="6">
        <v>0.03</v>
      </c>
      <c r="P435" s="6">
        <v>1</v>
      </c>
      <c r="Q435" s="4" t="s">
        <v>26</v>
      </c>
      <c r="R435" s="4">
        <v>0</v>
      </c>
      <c r="S435" s="6">
        <v>0</v>
      </c>
      <c r="T435" s="6">
        <v>26</v>
      </c>
      <c r="U435" s="6">
        <v>75</v>
      </c>
      <c r="V435" s="6">
        <f>IF(ISERROR(VLOOKUP($S$435,'TAR FIN'!$A$1:$O$91,15,0)),0,VLOOKUP($S$435,'TAR FIN'!$A$1:$O$91,15,0))</f>
        <v>0</v>
      </c>
      <c r="W435" s="6">
        <f>IF(ISERROR(VLOOKUP($T$435,'TAR FIN'!$A$1:$O$91,15,0)),0,VLOOKUP($T$435,'TAR FIN'!$A$1:$O$91,15,0))</f>
        <v>269.06</v>
      </c>
      <c r="X435" s="6">
        <f>IF(ISERROR(VLOOKUP($U$435,'TAR FIN'!$A$1:$O$91,15,0)),0,VLOOKUP($U$435,'TAR FIN'!$A$1:$O$91,15,0))</f>
        <v>133.97</v>
      </c>
      <c r="Y435" s="6"/>
      <c r="Z435" s="6">
        <f ca="1">('TUSD BE'!$AM$52+'TUSD BF'!$AM$52+'TUSD CVA'!$AM$52)*1</f>
        <v>343.81469354767324</v>
      </c>
      <c r="AA435" s="6">
        <f>('TE BE'!$AB$40+'TE BF'!$AB$40+'TE CVA'!$AB$40)*1</f>
        <v>114.76529888966962</v>
      </c>
      <c r="AB435" s="6">
        <f>$K$435*$V$435</f>
        <v>0</v>
      </c>
      <c r="AC435" s="6">
        <f>$M$435*$W$435</f>
        <v>8.0717999999999996</v>
      </c>
      <c r="AD435" s="6">
        <f>$O$435*$X$435</f>
        <v>4.0190999999999999</v>
      </c>
      <c r="AE435" s="6">
        <f>$K$435*$Y$435</f>
        <v>0</v>
      </c>
      <c r="AF435" s="6">
        <f ca="1">$M$435*$Z$435</f>
        <v>10.314440806430197</v>
      </c>
      <c r="AG435" s="6">
        <f>$O$435*$AA$435</f>
        <v>3.4429589666900884</v>
      </c>
    </row>
    <row r="436" spans="1:33" ht="11.25" customHeight="1" x14ac:dyDescent="0.25">
      <c r="A436" s="4" t="s">
        <v>21</v>
      </c>
      <c r="B436" s="4" t="s">
        <v>33</v>
      </c>
      <c r="C436" s="4" t="s">
        <v>23</v>
      </c>
      <c r="D436" s="4" t="s">
        <v>50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44713</v>
      </c>
      <c r="J436" s="6">
        <v>0</v>
      </c>
      <c r="K436" s="6">
        <v>0</v>
      </c>
      <c r="L436" s="6">
        <v>0.999</v>
      </c>
      <c r="M436" s="6">
        <v>0.999</v>
      </c>
      <c r="N436" s="6">
        <v>0.999</v>
      </c>
      <c r="O436" s="6">
        <v>0.999</v>
      </c>
      <c r="P436" s="6">
        <v>2</v>
      </c>
      <c r="Q436" s="4" t="s">
        <v>26</v>
      </c>
      <c r="R436" s="4">
        <v>0</v>
      </c>
      <c r="S436" s="6">
        <v>0</v>
      </c>
      <c r="T436" s="6">
        <v>26</v>
      </c>
      <c r="U436" s="6">
        <v>75</v>
      </c>
      <c r="V436" s="6">
        <f>IF(ISERROR(VLOOKUP($S$436,'TAR FIN'!$A$1:$O$91,15,0)),0,VLOOKUP($S$436,'TAR FIN'!$A$1:$O$91,15,0))</f>
        <v>0</v>
      </c>
      <c r="W436" s="6">
        <f>IF(ISERROR(VLOOKUP($T$436,'TAR FIN'!$A$1:$O$91,15,0)),0,VLOOKUP($T$436,'TAR FIN'!$A$1:$O$91,15,0))</f>
        <v>269.06</v>
      </c>
      <c r="X436" s="6">
        <f>IF(ISERROR(VLOOKUP($U$436,'TAR FIN'!$A$1:$O$91,15,0)),0,VLOOKUP($U$436,'TAR FIN'!$A$1:$O$91,15,0))</f>
        <v>133.97</v>
      </c>
      <c r="Y436" s="6"/>
      <c r="Z436" s="6">
        <f ca="1">('TUSD BE'!$AM$52+'TUSD BF'!$AM$52+'TUSD CVA'!$AM$52)*1</f>
        <v>343.81469354767324</v>
      </c>
      <c r="AA436" s="6">
        <f>('TE BE'!$AB$40+'TE BF'!$AB$40+'TE CVA'!$AB$40)*1</f>
        <v>114.76529888966962</v>
      </c>
      <c r="AB436" s="6">
        <f>$K$436*$V$436</f>
        <v>0</v>
      </c>
      <c r="AC436" s="6">
        <f>$M$436*$W$436</f>
        <v>268.79093999999998</v>
      </c>
      <c r="AD436" s="6">
        <f>$O$436*$X$436</f>
        <v>133.83602999999999</v>
      </c>
      <c r="AE436" s="6">
        <f>$K$436*$Y$436</f>
        <v>0</v>
      </c>
      <c r="AF436" s="6">
        <f ca="1">$M$436*$Z$436</f>
        <v>343.47087885412554</v>
      </c>
      <c r="AG436" s="6">
        <f>$O$436*$AA$436</f>
        <v>114.65053359077996</v>
      </c>
    </row>
    <row r="437" spans="1:33" ht="11.25" customHeight="1" x14ac:dyDescent="0.25">
      <c r="A437" s="4" t="s">
        <v>28</v>
      </c>
      <c r="B437" s="4" t="s">
        <v>33</v>
      </c>
      <c r="C437" s="4" t="s">
        <v>23</v>
      </c>
      <c r="D437" s="4" t="s">
        <v>50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44713</v>
      </c>
      <c r="J437" s="6">
        <v>0</v>
      </c>
      <c r="K437" s="6">
        <v>0</v>
      </c>
      <c r="L437" s="6">
        <v>0.03</v>
      </c>
      <c r="M437" s="6">
        <v>0.03</v>
      </c>
      <c r="N437" s="6">
        <v>0.03</v>
      </c>
      <c r="O437" s="6">
        <v>0.03</v>
      </c>
      <c r="P437" s="6">
        <v>1</v>
      </c>
      <c r="Q437" s="4" t="s">
        <v>26</v>
      </c>
      <c r="R437" s="4">
        <v>0</v>
      </c>
      <c r="S437" s="6">
        <v>0</v>
      </c>
      <c r="T437" s="6">
        <v>26</v>
      </c>
      <c r="U437" s="6">
        <v>75</v>
      </c>
      <c r="V437" s="6">
        <f>IF(ISERROR(VLOOKUP($S$437,'TAR FIN'!$A$1:$O$91,15,0)),0,VLOOKUP($S$437,'TAR FIN'!$A$1:$O$91,15,0))</f>
        <v>0</v>
      </c>
      <c r="W437" s="6">
        <f>IF(ISERROR(VLOOKUP($T$437,'TAR FIN'!$A$1:$O$91,15,0)),0,VLOOKUP($T$437,'TAR FIN'!$A$1:$O$91,15,0))</f>
        <v>269.06</v>
      </c>
      <c r="X437" s="6">
        <f>IF(ISERROR(VLOOKUP($U$437,'TAR FIN'!$A$1:$O$91,15,0)),0,VLOOKUP($U$437,'TAR FIN'!$A$1:$O$91,15,0))</f>
        <v>133.97</v>
      </c>
      <c r="Y437" s="6"/>
      <c r="Z437" s="6">
        <f ca="1">('TUSD BE'!$AM$52+'TUSD BF'!$AM$52+'TUSD CVA'!$AM$52)*1</f>
        <v>343.81469354767324</v>
      </c>
      <c r="AA437" s="6">
        <f>('TE BE'!$AB$40+'TE BF'!$AB$40+'TE CVA'!$AB$40)*1</f>
        <v>114.76529888966962</v>
      </c>
      <c r="AB437" s="6">
        <f>$K$437*$V$437</f>
        <v>0</v>
      </c>
      <c r="AC437" s="6">
        <f>$M$437*$W$437</f>
        <v>8.0717999999999996</v>
      </c>
      <c r="AD437" s="6">
        <f>$O$437*$X$437</f>
        <v>4.0190999999999999</v>
      </c>
      <c r="AE437" s="6">
        <f>$K$437*$Y$437</f>
        <v>0</v>
      </c>
      <c r="AF437" s="6">
        <f ca="1">$M$437*$Z$437</f>
        <v>10.314440806430197</v>
      </c>
      <c r="AG437" s="6">
        <f>$O$437*$AA$437</f>
        <v>3.4429589666900884</v>
      </c>
    </row>
    <row r="438" spans="1:33" ht="11.25" customHeight="1" x14ac:dyDescent="0.25">
      <c r="A438" s="4" t="s">
        <v>21</v>
      </c>
      <c r="B438" s="4" t="s">
        <v>33</v>
      </c>
      <c r="C438" s="4" t="s">
        <v>23</v>
      </c>
      <c r="D438" s="4" t="s">
        <v>50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44743</v>
      </c>
      <c r="J438" s="6">
        <v>0</v>
      </c>
      <c r="K438" s="6">
        <v>0</v>
      </c>
      <c r="L438" s="6">
        <v>0.998</v>
      </c>
      <c r="M438" s="6">
        <v>0.998</v>
      </c>
      <c r="N438" s="6">
        <v>0.998</v>
      </c>
      <c r="O438" s="6">
        <v>0.998</v>
      </c>
      <c r="P438" s="6">
        <v>2</v>
      </c>
      <c r="Q438" s="4" t="s">
        <v>26</v>
      </c>
      <c r="R438" s="4">
        <v>0</v>
      </c>
      <c r="S438" s="6">
        <v>0</v>
      </c>
      <c r="T438" s="6">
        <v>26</v>
      </c>
      <c r="U438" s="6">
        <v>75</v>
      </c>
      <c r="V438" s="6">
        <f>IF(ISERROR(VLOOKUP($S$438,'TAR FIN'!$A$1:$O$91,15,0)),0,VLOOKUP($S$438,'TAR FIN'!$A$1:$O$91,15,0))</f>
        <v>0</v>
      </c>
      <c r="W438" s="6">
        <f>IF(ISERROR(VLOOKUP($T$438,'TAR FIN'!$A$1:$O$91,15,0)),0,VLOOKUP($T$438,'TAR FIN'!$A$1:$O$91,15,0))</f>
        <v>269.06</v>
      </c>
      <c r="X438" s="6">
        <f>IF(ISERROR(VLOOKUP($U$438,'TAR FIN'!$A$1:$O$91,15,0)),0,VLOOKUP($U$438,'TAR FIN'!$A$1:$O$91,15,0))</f>
        <v>133.97</v>
      </c>
      <c r="Y438" s="6"/>
      <c r="Z438" s="6">
        <f ca="1">('TUSD BE'!$AM$52+'TUSD BF'!$AM$52+'TUSD CVA'!$AM$52)*1</f>
        <v>343.81469354767324</v>
      </c>
      <c r="AA438" s="6">
        <f>('TE BE'!$AB$40+'TE BF'!$AB$40+'TE CVA'!$AB$40)*1</f>
        <v>114.76529888966962</v>
      </c>
      <c r="AB438" s="6">
        <f>$K$438*$V$438</f>
        <v>0</v>
      </c>
      <c r="AC438" s="6">
        <f>$M$438*$W$438</f>
        <v>268.52188000000001</v>
      </c>
      <c r="AD438" s="6">
        <f>$O$438*$X$438</f>
        <v>133.70205999999999</v>
      </c>
      <c r="AE438" s="6">
        <f>$K$438*$Y$438</f>
        <v>0</v>
      </c>
      <c r="AF438" s="6">
        <f ca="1">$M$438*$Z$438</f>
        <v>343.1270641605779</v>
      </c>
      <c r="AG438" s="6">
        <f>$O$438*$AA$438</f>
        <v>114.53576829189028</v>
      </c>
    </row>
    <row r="439" spans="1:33" ht="11.25" customHeight="1" x14ac:dyDescent="0.25">
      <c r="A439" s="4" t="s">
        <v>28</v>
      </c>
      <c r="B439" s="4" t="s">
        <v>33</v>
      </c>
      <c r="C439" s="4" t="s">
        <v>23</v>
      </c>
      <c r="D439" s="4" t="s">
        <v>50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44743</v>
      </c>
      <c r="J439" s="6">
        <v>0</v>
      </c>
      <c r="K439" s="6">
        <v>0</v>
      </c>
      <c r="L439" s="6">
        <v>0.03</v>
      </c>
      <c r="M439" s="6">
        <v>0.03</v>
      </c>
      <c r="N439" s="6">
        <v>0.03</v>
      </c>
      <c r="O439" s="6">
        <v>0.03</v>
      </c>
      <c r="P439" s="6">
        <v>1</v>
      </c>
      <c r="Q439" s="4" t="s">
        <v>26</v>
      </c>
      <c r="R439" s="4">
        <v>0</v>
      </c>
      <c r="S439" s="6">
        <v>0</v>
      </c>
      <c r="T439" s="6">
        <v>26</v>
      </c>
      <c r="U439" s="6">
        <v>75</v>
      </c>
      <c r="V439" s="6">
        <f>IF(ISERROR(VLOOKUP($S$439,'TAR FIN'!$A$1:$O$91,15,0)),0,VLOOKUP($S$439,'TAR FIN'!$A$1:$O$91,15,0))</f>
        <v>0</v>
      </c>
      <c r="W439" s="6">
        <f>IF(ISERROR(VLOOKUP($T$439,'TAR FIN'!$A$1:$O$91,15,0)),0,VLOOKUP($T$439,'TAR FIN'!$A$1:$O$91,15,0))</f>
        <v>269.06</v>
      </c>
      <c r="X439" s="6">
        <f>IF(ISERROR(VLOOKUP($U$439,'TAR FIN'!$A$1:$O$91,15,0)),0,VLOOKUP($U$439,'TAR FIN'!$A$1:$O$91,15,0))</f>
        <v>133.97</v>
      </c>
      <c r="Y439" s="6"/>
      <c r="Z439" s="6">
        <f ca="1">('TUSD BE'!$AM$52+'TUSD BF'!$AM$52+'TUSD CVA'!$AM$52)*1</f>
        <v>343.81469354767324</v>
      </c>
      <c r="AA439" s="6">
        <f>('TE BE'!$AB$40+'TE BF'!$AB$40+'TE CVA'!$AB$40)*1</f>
        <v>114.76529888966962</v>
      </c>
      <c r="AB439" s="6">
        <f>$K$439*$V$439</f>
        <v>0</v>
      </c>
      <c r="AC439" s="6">
        <f>$M$439*$W$439</f>
        <v>8.0717999999999996</v>
      </c>
      <c r="AD439" s="6">
        <f>$O$439*$X$439</f>
        <v>4.0190999999999999</v>
      </c>
      <c r="AE439" s="6">
        <f>$K$439*$Y$439</f>
        <v>0</v>
      </c>
      <c r="AF439" s="6">
        <f ca="1">$M$439*$Z$439</f>
        <v>10.314440806430197</v>
      </c>
      <c r="AG439" s="6">
        <f>$O$439*$AA$439</f>
        <v>3.4429589666900884</v>
      </c>
    </row>
    <row r="440" spans="1:33" ht="11.25" customHeight="1" x14ac:dyDescent="0.25">
      <c r="A440" s="4" t="s">
        <v>57</v>
      </c>
      <c r="B440" s="4" t="s">
        <v>33</v>
      </c>
      <c r="C440" s="4" t="s">
        <v>23</v>
      </c>
      <c r="D440" s="4" t="s">
        <v>50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44774</v>
      </c>
      <c r="J440" s="6">
        <v>0</v>
      </c>
      <c r="K440" s="6">
        <v>0</v>
      </c>
      <c r="L440" s="6">
        <v>0.998</v>
      </c>
      <c r="M440" s="6">
        <v>0.998</v>
      </c>
      <c r="N440" s="6">
        <v>0.998</v>
      </c>
      <c r="O440" s="6">
        <v>0.998</v>
      </c>
      <c r="P440" s="6">
        <v>2</v>
      </c>
      <c r="Q440" s="4" t="s">
        <v>26</v>
      </c>
      <c r="R440" s="4">
        <v>0</v>
      </c>
      <c r="S440" s="6">
        <v>0</v>
      </c>
      <c r="T440" s="6">
        <v>26</v>
      </c>
      <c r="U440" s="6">
        <v>75</v>
      </c>
      <c r="V440" s="6">
        <f>IF(ISERROR(VLOOKUP($S$440,'TAR FIN'!$A$1:$O$91,15,0)),0,VLOOKUP($S$440,'TAR FIN'!$A$1:$O$91,15,0))</f>
        <v>0</v>
      </c>
      <c r="W440" s="6">
        <f>IF(ISERROR(VLOOKUP($T$440,'TAR FIN'!$A$1:$O$91,15,0)),0,VLOOKUP($T$440,'TAR FIN'!$A$1:$O$91,15,0))</f>
        <v>269.06</v>
      </c>
      <c r="X440" s="6">
        <f>IF(ISERROR(VLOOKUP($U$440,'TAR FIN'!$A$1:$O$91,15,0)),0,VLOOKUP($U$440,'TAR FIN'!$A$1:$O$91,15,0))</f>
        <v>133.97</v>
      </c>
      <c r="Y440" s="6"/>
      <c r="Z440" s="6">
        <f ca="1">('TUSD BE'!$AM$52+'TUSD BF'!$AM$52+'TUSD CVA'!$AM$52)*1</f>
        <v>343.81469354767324</v>
      </c>
      <c r="AA440" s="6">
        <f>('TE BE'!$AB$40+'TE BF'!$AB$40+'TE CVA'!$AB$40)*1</f>
        <v>114.76529888966962</v>
      </c>
      <c r="AB440" s="6">
        <f>$K$440*$V$440</f>
        <v>0</v>
      </c>
      <c r="AC440" s="6">
        <f>$M$440*$W$440</f>
        <v>268.52188000000001</v>
      </c>
      <c r="AD440" s="6">
        <f>$O$440*$X$440</f>
        <v>133.70205999999999</v>
      </c>
      <c r="AE440" s="6">
        <f>$K$440*$Y$440</f>
        <v>0</v>
      </c>
      <c r="AF440" s="6">
        <f ca="1">$M$440*$Z$440</f>
        <v>343.1270641605779</v>
      </c>
      <c r="AG440" s="6">
        <f>$O$440*$AA$440</f>
        <v>114.53576829189028</v>
      </c>
    </row>
    <row r="441" spans="1:33" ht="11.25" customHeight="1" x14ac:dyDescent="0.25">
      <c r="A441" s="4" t="s">
        <v>57</v>
      </c>
      <c r="B441" s="4" t="s">
        <v>33</v>
      </c>
      <c r="C441" s="4" t="s">
        <v>23</v>
      </c>
      <c r="D441" s="4" t="s">
        <v>50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44774</v>
      </c>
      <c r="J441" s="6">
        <v>0</v>
      </c>
      <c r="K441" s="6">
        <v>0</v>
      </c>
      <c r="L441" s="6">
        <v>0.03</v>
      </c>
      <c r="M441" s="6">
        <v>0.03</v>
      </c>
      <c r="N441" s="6">
        <v>0.03</v>
      </c>
      <c r="O441" s="6">
        <v>0.03</v>
      </c>
      <c r="P441" s="6">
        <v>1</v>
      </c>
      <c r="Q441" s="4" t="s">
        <v>26</v>
      </c>
      <c r="R441" s="4">
        <v>0</v>
      </c>
      <c r="S441" s="6">
        <v>0</v>
      </c>
      <c r="T441" s="6">
        <v>26</v>
      </c>
      <c r="U441" s="6">
        <v>75</v>
      </c>
      <c r="V441" s="6">
        <f>IF(ISERROR(VLOOKUP($S$441,'TAR FIN'!$A$1:$O$91,15,0)),0,VLOOKUP($S$441,'TAR FIN'!$A$1:$O$91,15,0))</f>
        <v>0</v>
      </c>
      <c r="W441" s="6">
        <f>IF(ISERROR(VLOOKUP($T$441,'TAR FIN'!$A$1:$O$91,15,0)),0,VLOOKUP($T$441,'TAR FIN'!$A$1:$O$91,15,0))</f>
        <v>269.06</v>
      </c>
      <c r="X441" s="6">
        <f>IF(ISERROR(VLOOKUP($U$441,'TAR FIN'!$A$1:$O$91,15,0)),0,VLOOKUP($U$441,'TAR FIN'!$A$1:$O$91,15,0))</f>
        <v>133.97</v>
      </c>
      <c r="Y441" s="6"/>
      <c r="Z441" s="6">
        <f ca="1">('TUSD BE'!$AM$52+'TUSD BF'!$AM$52+'TUSD CVA'!$AM$52)*1</f>
        <v>343.81469354767324</v>
      </c>
      <c r="AA441" s="6">
        <f>('TE BE'!$AB$40+'TE BF'!$AB$40+'TE CVA'!$AB$40)*1</f>
        <v>114.76529888966962</v>
      </c>
      <c r="AB441" s="6">
        <f>$K$441*$V$441</f>
        <v>0</v>
      </c>
      <c r="AC441" s="6">
        <f>$M$441*$W$441</f>
        <v>8.0717999999999996</v>
      </c>
      <c r="AD441" s="6">
        <f>$O$441*$X$441</f>
        <v>4.0190999999999999</v>
      </c>
      <c r="AE441" s="6">
        <f>$K$441*$Y$441</f>
        <v>0</v>
      </c>
      <c r="AF441" s="6">
        <f ca="1">$M$441*$Z$441</f>
        <v>10.314440806430197</v>
      </c>
      <c r="AG441" s="6">
        <f>$O$441*$AA$441</f>
        <v>3.4429589666900884</v>
      </c>
    </row>
    <row r="442" spans="1:33" ht="11.25" customHeight="1" x14ac:dyDescent="0.25">
      <c r="A442" s="4" t="s">
        <v>21</v>
      </c>
      <c r="B442" s="4" t="s">
        <v>33</v>
      </c>
      <c r="C442" s="4" t="s">
        <v>23</v>
      </c>
      <c r="D442" s="4" t="s">
        <v>34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44440</v>
      </c>
      <c r="J442" s="6">
        <v>0</v>
      </c>
      <c r="K442" s="6">
        <v>0</v>
      </c>
      <c r="L442" s="6">
        <v>421.32799999999997</v>
      </c>
      <c r="M442" s="6">
        <v>421.32799999999997</v>
      </c>
      <c r="N442" s="6">
        <v>421.32799999999997</v>
      </c>
      <c r="O442" s="6">
        <v>421.32799999999997</v>
      </c>
      <c r="P442" s="6">
        <v>210</v>
      </c>
      <c r="Q442" s="4" t="s">
        <v>26</v>
      </c>
      <c r="R442" s="4">
        <v>0</v>
      </c>
      <c r="S442" s="6">
        <v>0</v>
      </c>
      <c r="T442" s="6">
        <v>26</v>
      </c>
      <c r="U442" s="6">
        <v>75</v>
      </c>
      <c r="V442" s="6">
        <f>IF(ISERROR(VLOOKUP($S$442,'TAR FIN'!$A$1:$O$91,15,0)),0,VLOOKUP($S$442,'TAR FIN'!$A$1:$O$91,15,0))</f>
        <v>0</v>
      </c>
      <c r="W442" s="6">
        <f>IF(ISERROR(VLOOKUP($T$442,'TAR FIN'!$A$1:$O$91,15,0)),0,VLOOKUP($T$442,'TAR FIN'!$A$1:$O$91,15,0))</f>
        <v>269.06</v>
      </c>
      <c r="X442" s="6">
        <f>IF(ISERROR(VLOOKUP($U$442,'TAR FIN'!$A$1:$O$91,15,0)),0,VLOOKUP($U$442,'TAR FIN'!$A$1:$O$91,15,0))</f>
        <v>133.97</v>
      </c>
      <c r="Y442" s="6"/>
      <c r="Z442" s="6">
        <f ca="1">('TUSD BE'!$AM$52+'TUSD BF'!$AM$52+'TUSD CVA'!$AM$52)*1</f>
        <v>343.81469354767324</v>
      </c>
      <c r="AA442" s="6">
        <f>('TE BE'!$AB$40+'TE BF'!$AB$40+'TE CVA'!$AB$40)*1</f>
        <v>114.76529888966962</v>
      </c>
      <c r="AB442" s="6">
        <f>$K$442*$V$442</f>
        <v>0</v>
      </c>
      <c r="AC442" s="6">
        <f>$M$442*$W$442</f>
        <v>113362.51168</v>
      </c>
      <c r="AD442" s="6">
        <f>$O$442*$X$442</f>
        <v>56445.312159999994</v>
      </c>
      <c r="AE442" s="6">
        <f>$K$442*$Y$442</f>
        <v>0</v>
      </c>
      <c r="AF442" s="6">
        <f ca="1">$M$442*$Z$442</f>
        <v>144858.75720305406</v>
      </c>
      <c r="AG442" s="6">
        <f>$O$442*$AA$442</f>
        <v>48353.833850586721</v>
      </c>
    </row>
    <row r="443" spans="1:33" ht="11.25" customHeight="1" x14ac:dyDescent="0.25">
      <c r="A443" s="4" t="s">
        <v>28</v>
      </c>
      <c r="B443" s="4" t="s">
        <v>33</v>
      </c>
      <c r="C443" s="4" t="s">
        <v>23</v>
      </c>
      <c r="D443" s="4" t="s">
        <v>34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44440</v>
      </c>
      <c r="J443" s="6">
        <v>0</v>
      </c>
      <c r="K443" s="6">
        <v>0</v>
      </c>
      <c r="L443" s="6">
        <v>8.4740000000000002</v>
      </c>
      <c r="M443" s="6">
        <v>8.4740000000000002</v>
      </c>
      <c r="N443" s="6">
        <v>8.4740000000000002</v>
      </c>
      <c r="O443" s="6">
        <v>8.4740000000000002</v>
      </c>
      <c r="P443" s="6">
        <v>2</v>
      </c>
      <c r="Q443" s="4" t="s">
        <v>26</v>
      </c>
      <c r="R443" s="4">
        <v>0</v>
      </c>
      <c r="S443" s="6">
        <v>0</v>
      </c>
      <c r="T443" s="6">
        <v>26</v>
      </c>
      <c r="U443" s="6">
        <v>75</v>
      </c>
      <c r="V443" s="6">
        <f>IF(ISERROR(VLOOKUP($S$443,'TAR FIN'!$A$1:$O$91,15,0)),0,VLOOKUP($S$443,'TAR FIN'!$A$1:$O$91,15,0))</f>
        <v>0</v>
      </c>
      <c r="W443" s="6">
        <f>IF(ISERROR(VLOOKUP($T$443,'TAR FIN'!$A$1:$O$91,15,0)),0,VLOOKUP($T$443,'TAR FIN'!$A$1:$O$91,15,0))</f>
        <v>269.06</v>
      </c>
      <c r="X443" s="6">
        <f>IF(ISERROR(VLOOKUP($U$443,'TAR FIN'!$A$1:$O$91,15,0)),0,VLOOKUP($U$443,'TAR FIN'!$A$1:$O$91,15,0))</f>
        <v>133.97</v>
      </c>
      <c r="Y443" s="6"/>
      <c r="Z443" s="6">
        <f ca="1">('TUSD BE'!$AM$52+'TUSD BF'!$AM$52+'TUSD CVA'!$AM$52)*1</f>
        <v>343.81469354767324</v>
      </c>
      <c r="AA443" s="6">
        <f>('TE BE'!$AB$40+'TE BF'!$AB$40+'TE CVA'!$AB$40)*1</f>
        <v>114.76529888966962</v>
      </c>
      <c r="AB443" s="6">
        <f>$K$443*$V$443</f>
        <v>0</v>
      </c>
      <c r="AC443" s="6">
        <f>$M$443*$W$443</f>
        <v>2280.0144399999999</v>
      </c>
      <c r="AD443" s="6">
        <f>$O$443*$X$443</f>
        <v>1135.26178</v>
      </c>
      <c r="AE443" s="6">
        <f>$K$443*$Y$443</f>
        <v>0</v>
      </c>
      <c r="AF443" s="6">
        <f ca="1">$M$443*$Z$443</f>
        <v>2913.4857131229833</v>
      </c>
      <c r="AG443" s="6">
        <f>$O$443*$AA$443</f>
        <v>972.52114279106036</v>
      </c>
    </row>
    <row r="444" spans="1:33" ht="11.25" customHeight="1" x14ac:dyDescent="0.25">
      <c r="A444" s="4" t="s">
        <v>21</v>
      </c>
      <c r="B444" s="4" t="s">
        <v>33</v>
      </c>
      <c r="C444" s="4" t="s">
        <v>23</v>
      </c>
      <c r="D444" s="4" t="s">
        <v>34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44470</v>
      </c>
      <c r="J444" s="6">
        <v>0</v>
      </c>
      <c r="K444" s="6">
        <v>0</v>
      </c>
      <c r="L444" s="6">
        <v>403.44600000000003</v>
      </c>
      <c r="M444" s="6">
        <v>403.44600000000003</v>
      </c>
      <c r="N444" s="6">
        <v>403.44600000000003</v>
      </c>
      <c r="O444" s="6">
        <v>403.44600000000003</v>
      </c>
      <c r="P444" s="6">
        <v>208</v>
      </c>
      <c r="Q444" s="4" t="s">
        <v>26</v>
      </c>
      <c r="R444" s="4">
        <v>0</v>
      </c>
      <c r="S444" s="6">
        <v>0</v>
      </c>
      <c r="T444" s="6">
        <v>26</v>
      </c>
      <c r="U444" s="6">
        <v>75</v>
      </c>
      <c r="V444" s="6">
        <f>IF(ISERROR(VLOOKUP($S$444,'TAR FIN'!$A$1:$O$91,15,0)),0,VLOOKUP($S$444,'TAR FIN'!$A$1:$O$91,15,0))</f>
        <v>0</v>
      </c>
      <c r="W444" s="6">
        <f>IF(ISERROR(VLOOKUP($T$444,'TAR FIN'!$A$1:$O$91,15,0)),0,VLOOKUP($T$444,'TAR FIN'!$A$1:$O$91,15,0))</f>
        <v>269.06</v>
      </c>
      <c r="X444" s="6">
        <f>IF(ISERROR(VLOOKUP($U$444,'TAR FIN'!$A$1:$O$91,15,0)),0,VLOOKUP($U$444,'TAR FIN'!$A$1:$O$91,15,0))</f>
        <v>133.97</v>
      </c>
      <c r="Y444" s="6"/>
      <c r="Z444" s="6">
        <f ca="1">('TUSD BE'!$AM$52+'TUSD BF'!$AM$52+'TUSD CVA'!$AM$52)*1</f>
        <v>343.81469354767324</v>
      </c>
      <c r="AA444" s="6">
        <f>('TE BE'!$AB$40+'TE BF'!$AB$40+'TE CVA'!$AB$40)*1</f>
        <v>114.76529888966962</v>
      </c>
      <c r="AB444" s="6">
        <f>$K$444*$V$444</f>
        <v>0</v>
      </c>
      <c r="AC444" s="6">
        <f>$M$444*$W$444</f>
        <v>108551.18076</v>
      </c>
      <c r="AD444" s="6">
        <f>$O$444*$X$444</f>
        <v>54049.660620000002</v>
      </c>
      <c r="AE444" s="6">
        <f>$K$444*$Y$444</f>
        <v>0</v>
      </c>
      <c r="AF444" s="6">
        <f ca="1">$M$444*$Z$444</f>
        <v>138710.66285303459</v>
      </c>
      <c r="AG444" s="6">
        <f>$O$444*$AA$444</f>
        <v>46301.600775841653</v>
      </c>
    </row>
    <row r="445" spans="1:33" ht="11.25" customHeight="1" x14ac:dyDescent="0.25">
      <c r="A445" s="4" t="s">
        <v>28</v>
      </c>
      <c r="B445" s="4" t="s">
        <v>33</v>
      </c>
      <c r="C445" s="4" t="s">
        <v>23</v>
      </c>
      <c r="D445" s="4" t="s">
        <v>34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44470</v>
      </c>
      <c r="J445" s="6">
        <v>0</v>
      </c>
      <c r="K445" s="6">
        <v>0</v>
      </c>
      <c r="L445" s="6">
        <v>7.7519999999999998</v>
      </c>
      <c r="M445" s="6">
        <v>7.7519999999999998</v>
      </c>
      <c r="N445" s="6">
        <v>7.7519999999999998</v>
      </c>
      <c r="O445" s="6">
        <v>7.7519999999999998</v>
      </c>
      <c r="P445" s="6">
        <v>2</v>
      </c>
      <c r="Q445" s="4" t="s">
        <v>26</v>
      </c>
      <c r="R445" s="4">
        <v>0</v>
      </c>
      <c r="S445" s="6">
        <v>0</v>
      </c>
      <c r="T445" s="6">
        <v>26</v>
      </c>
      <c r="U445" s="6">
        <v>75</v>
      </c>
      <c r="V445" s="6">
        <f>IF(ISERROR(VLOOKUP($S$445,'TAR FIN'!$A$1:$O$91,15,0)),0,VLOOKUP($S$445,'TAR FIN'!$A$1:$O$91,15,0))</f>
        <v>0</v>
      </c>
      <c r="W445" s="6">
        <f>IF(ISERROR(VLOOKUP($T$445,'TAR FIN'!$A$1:$O$91,15,0)),0,VLOOKUP($T$445,'TAR FIN'!$A$1:$O$91,15,0))</f>
        <v>269.06</v>
      </c>
      <c r="X445" s="6">
        <f>IF(ISERROR(VLOOKUP($U$445,'TAR FIN'!$A$1:$O$91,15,0)),0,VLOOKUP($U$445,'TAR FIN'!$A$1:$O$91,15,0))</f>
        <v>133.97</v>
      </c>
      <c r="Y445" s="6"/>
      <c r="Z445" s="6">
        <f ca="1">('TUSD BE'!$AM$52+'TUSD BF'!$AM$52+'TUSD CVA'!$AM$52)*1</f>
        <v>343.81469354767324</v>
      </c>
      <c r="AA445" s="6">
        <f>('TE BE'!$AB$40+'TE BF'!$AB$40+'TE CVA'!$AB$40)*1</f>
        <v>114.76529888966962</v>
      </c>
      <c r="AB445" s="6">
        <f>$K$445*$V$445</f>
        <v>0</v>
      </c>
      <c r="AC445" s="6">
        <f>$M$445*$W$445</f>
        <v>2085.7531199999999</v>
      </c>
      <c r="AD445" s="6">
        <f>$O$445*$X$445</f>
        <v>1038.5354399999999</v>
      </c>
      <c r="AE445" s="6">
        <f>$K$445*$Y$445</f>
        <v>0</v>
      </c>
      <c r="AF445" s="6">
        <f ca="1">$M$445*$Z$445</f>
        <v>2665.2515043815629</v>
      </c>
      <c r="AG445" s="6">
        <f>$O$445*$AA$445</f>
        <v>889.66059699271887</v>
      </c>
    </row>
    <row r="446" spans="1:33" ht="11.25" customHeight="1" x14ac:dyDescent="0.25">
      <c r="A446" s="4" t="s">
        <v>21</v>
      </c>
      <c r="B446" s="4" t="s">
        <v>33</v>
      </c>
      <c r="C446" s="4" t="s">
        <v>23</v>
      </c>
      <c r="D446" s="4" t="s">
        <v>34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44501</v>
      </c>
      <c r="J446" s="6">
        <v>0</v>
      </c>
      <c r="K446" s="6">
        <v>0</v>
      </c>
      <c r="L446" s="6">
        <v>396.29</v>
      </c>
      <c r="M446" s="6">
        <v>396.29</v>
      </c>
      <c r="N446" s="6">
        <v>396.29</v>
      </c>
      <c r="O446" s="6">
        <v>396.29</v>
      </c>
      <c r="P446" s="6">
        <v>211</v>
      </c>
      <c r="Q446" s="4" t="s">
        <v>26</v>
      </c>
      <c r="R446" s="4">
        <v>0</v>
      </c>
      <c r="S446" s="6">
        <v>0</v>
      </c>
      <c r="T446" s="6">
        <v>26</v>
      </c>
      <c r="U446" s="6">
        <v>75</v>
      </c>
      <c r="V446" s="6">
        <f>IF(ISERROR(VLOOKUP($S$446,'TAR FIN'!$A$1:$O$91,15,0)),0,VLOOKUP($S$446,'TAR FIN'!$A$1:$O$91,15,0))</f>
        <v>0</v>
      </c>
      <c r="W446" s="6">
        <f>IF(ISERROR(VLOOKUP($T$446,'TAR FIN'!$A$1:$O$91,15,0)),0,VLOOKUP($T$446,'TAR FIN'!$A$1:$O$91,15,0))</f>
        <v>269.06</v>
      </c>
      <c r="X446" s="6">
        <f>IF(ISERROR(VLOOKUP($U$446,'TAR FIN'!$A$1:$O$91,15,0)),0,VLOOKUP($U$446,'TAR FIN'!$A$1:$O$91,15,0))</f>
        <v>133.97</v>
      </c>
      <c r="Y446" s="6"/>
      <c r="Z446" s="6">
        <f ca="1">('TUSD BE'!$AM$52+'TUSD BF'!$AM$52+'TUSD CVA'!$AM$52)*1</f>
        <v>343.81469354767324</v>
      </c>
      <c r="AA446" s="6">
        <f>('TE BE'!$AB$40+'TE BF'!$AB$40+'TE CVA'!$AB$40)*1</f>
        <v>114.76529888966962</v>
      </c>
      <c r="AB446" s="6">
        <f>$K$446*$V$446</f>
        <v>0</v>
      </c>
      <c r="AC446" s="6">
        <f>$M$446*$W$446</f>
        <v>106625.7874</v>
      </c>
      <c r="AD446" s="6">
        <f>$O$446*$X$446</f>
        <v>53090.971300000005</v>
      </c>
      <c r="AE446" s="6">
        <f>$K$446*$Y$446</f>
        <v>0</v>
      </c>
      <c r="AF446" s="6">
        <f ca="1">$M$446*$Z$446</f>
        <v>136250.32490600744</v>
      </c>
      <c r="AG446" s="6">
        <f>$O$446*$AA$446</f>
        <v>45480.340296987175</v>
      </c>
    </row>
    <row r="447" spans="1:33" ht="11.25" customHeight="1" x14ac:dyDescent="0.25">
      <c r="A447" s="4" t="s">
        <v>28</v>
      </c>
      <c r="B447" s="4" t="s">
        <v>33</v>
      </c>
      <c r="C447" s="4" t="s">
        <v>23</v>
      </c>
      <c r="D447" s="4" t="s">
        <v>34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44501</v>
      </c>
      <c r="J447" s="6">
        <v>0</v>
      </c>
      <c r="K447" s="6">
        <v>0</v>
      </c>
      <c r="L447" s="6">
        <v>2.9119999999999999</v>
      </c>
      <c r="M447" s="6">
        <v>2.9119999999999999</v>
      </c>
      <c r="N447" s="6">
        <v>2.9119999999999999</v>
      </c>
      <c r="O447" s="6">
        <v>2.9119999999999999</v>
      </c>
      <c r="P447" s="6">
        <v>2</v>
      </c>
      <c r="Q447" s="4" t="s">
        <v>26</v>
      </c>
      <c r="R447" s="4">
        <v>0</v>
      </c>
      <c r="S447" s="6">
        <v>0</v>
      </c>
      <c r="T447" s="6">
        <v>26</v>
      </c>
      <c r="U447" s="6">
        <v>75</v>
      </c>
      <c r="V447" s="6">
        <f>IF(ISERROR(VLOOKUP($S$447,'TAR FIN'!$A$1:$O$91,15,0)),0,VLOOKUP($S$447,'TAR FIN'!$A$1:$O$91,15,0))</f>
        <v>0</v>
      </c>
      <c r="W447" s="6">
        <f>IF(ISERROR(VLOOKUP($T$447,'TAR FIN'!$A$1:$O$91,15,0)),0,VLOOKUP($T$447,'TAR FIN'!$A$1:$O$91,15,0))</f>
        <v>269.06</v>
      </c>
      <c r="X447" s="6">
        <f>IF(ISERROR(VLOOKUP($U$447,'TAR FIN'!$A$1:$O$91,15,0)),0,VLOOKUP($U$447,'TAR FIN'!$A$1:$O$91,15,0))</f>
        <v>133.97</v>
      </c>
      <c r="Y447" s="6"/>
      <c r="Z447" s="6">
        <f ca="1">('TUSD BE'!$AM$52+'TUSD BF'!$AM$52+'TUSD CVA'!$AM$52)*1</f>
        <v>343.81469354767324</v>
      </c>
      <c r="AA447" s="6">
        <f>('TE BE'!$AB$40+'TE BF'!$AB$40+'TE CVA'!$AB$40)*1</f>
        <v>114.76529888966962</v>
      </c>
      <c r="AB447" s="6">
        <f>$K$447*$V$447</f>
        <v>0</v>
      </c>
      <c r="AC447" s="6">
        <f>$M$447*$W$447</f>
        <v>783.50271999999995</v>
      </c>
      <c r="AD447" s="6">
        <f>$O$447*$X$447</f>
        <v>390.12063999999998</v>
      </c>
      <c r="AE447" s="6">
        <f>$K$447*$Y$447</f>
        <v>0</v>
      </c>
      <c r="AF447" s="6">
        <f ca="1">$M$447*$Z$447</f>
        <v>1001.1883876108244</v>
      </c>
      <c r="AG447" s="6">
        <f>$O$447*$AA$447</f>
        <v>334.19655036671793</v>
      </c>
    </row>
    <row r="448" spans="1:33" ht="11.25" customHeight="1" x14ac:dyDescent="0.25">
      <c r="A448" s="4" t="s">
        <v>21</v>
      </c>
      <c r="B448" s="4" t="s">
        <v>33</v>
      </c>
      <c r="C448" s="4" t="s">
        <v>23</v>
      </c>
      <c r="D448" s="4" t="s">
        <v>34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44531</v>
      </c>
      <c r="J448" s="6">
        <v>0</v>
      </c>
      <c r="K448" s="6">
        <v>0</v>
      </c>
      <c r="L448" s="6">
        <v>408.26499999999999</v>
      </c>
      <c r="M448" s="6">
        <v>408.26499999999999</v>
      </c>
      <c r="N448" s="6">
        <v>408.26499999999999</v>
      </c>
      <c r="O448" s="6">
        <v>408.26499999999999</v>
      </c>
      <c r="P448" s="6">
        <v>216</v>
      </c>
      <c r="Q448" s="4" t="s">
        <v>26</v>
      </c>
      <c r="R448" s="4">
        <v>0</v>
      </c>
      <c r="S448" s="6">
        <v>0</v>
      </c>
      <c r="T448" s="6">
        <v>26</v>
      </c>
      <c r="U448" s="6">
        <v>75</v>
      </c>
      <c r="V448" s="6">
        <f>IF(ISERROR(VLOOKUP($S$448,'TAR FIN'!$A$1:$O$91,15,0)),0,VLOOKUP($S$448,'TAR FIN'!$A$1:$O$91,15,0))</f>
        <v>0</v>
      </c>
      <c r="W448" s="6">
        <f>IF(ISERROR(VLOOKUP($T$448,'TAR FIN'!$A$1:$O$91,15,0)),0,VLOOKUP($T$448,'TAR FIN'!$A$1:$O$91,15,0))</f>
        <v>269.06</v>
      </c>
      <c r="X448" s="6">
        <f>IF(ISERROR(VLOOKUP($U$448,'TAR FIN'!$A$1:$O$91,15,0)),0,VLOOKUP($U$448,'TAR FIN'!$A$1:$O$91,15,0))</f>
        <v>133.97</v>
      </c>
      <c r="Y448" s="6"/>
      <c r="Z448" s="6">
        <f ca="1">('TUSD BE'!$AM$52+'TUSD BF'!$AM$52+'TUSD CVA'!$AM$52)*1</f>
        <v>343.81469354767324</v>
      </c>
      <c r="AA448" s="6">
        <f>('TE BE'!$AB$40+'TE BF'!$AB$40+'TE CVA'!$AB$40)*1</f>
        <v>114.76529888966962</v>
      </c>
      <c r="AB448" s="6">
        <f>$K$448*$V$448</f>
        <v>0</v>
      </c>
      <c r="AC448" s="6">
        <f>$M$448*$W$448</f>
        <v>109847.7809</v>
      </c>
      <c r="AD448" s="6">
        <f>$O$448*$X$448</f>
        <v>54695.262049999998</v>
      </c>
      <c r="AE448" s="6">
        <f>$K$448*$Y$448</f>
        <v>0</v>
      </c>
      <c r="AF448" s="6">
        <f ca="1">$M$448*$Z$448</f>
        <v>140367.50586124082</v>
      </c>
      <c r="AG448" s="6">
        <f>$O$448*$AA$448</f>
        <v>46854.654751190967</v>
      </c>
    </row>
    <row r="449" spans="1:33" ht="11.25" customHeight="1" x14ac:dyDescent="0.25">
      <c r="A449" s="4" t="s">
        <v>28</v>
      </c>
      <c r="B449" s="4" t="s">
        <v>33</v>
      </c>
      <c r="C449" s="4" t="s">
        <v>23</v>
      </c>
      <c r="D449" s="4" t="s">
        <v>34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44531</v>
      </c>
      <c r="J449" s="6">
        <v>0</v>
      </c>
      <c r="K449" s="6">
        <v>0</v>
      </c>
      <c r="L449" s="6">
        <v>2.2069999999999999</v>
      </c>
      <c r="M449" s="6">
        <v>2.2069999999999999</v>
      </c>
      <c r="N449" s="6">
        <v>2.2069999999999999</v>
      </c>
      <c r="O449" s="6">
        <v>2.2069999999999999</v>
      </c>
      <c r="P449" s="6">
        <v>2</v>
      </c>
      <c r="Q449" s="4" t="s">
        <v>26</v>
      </c>
      <c r="R449" s="4">
        <v>0</v>
      </c>
      <c r="S449" s="6">
        <v>0</v>
      </c>
      <c r="T449" s="6">
        <v>26</v>
      </c>
      <c r="U449" s="6">
        <v>75</v>
      </c>
      <c r="V449" s="6">
        <f>IF(ISERROR(VLOOKUP($S$449,'TAR FIN'!$A$1:$O$91,15,0)),0,VLOOKUP($S$449,'TAR FIN'!$A$1:$O$91,15,0))</f>
        <v>0</v>
      </c>
      <c r="W449" s="6">
        <f>IF(ISERROR(VLOOKUP($T$449,'TAR FIN'!$A$1:$O$91,15,0)),0,VLOOKUP($T$449,'TAR FIN'!$A$1:$O$91,15,0))</f>
        <v>269.06</v>
      </c>
      <c r="X449" s="6">
        <f>IF(ISERROR(VLOOKUP($U$449,'TAR FIN'!$A$1:$O$91,15,0)),0,VLOOKUP($U$449,'TAR FIN'!$A$1:$O$91,15,0))</f>
        <v>133.97</v>
      </c>
      <c r="Y449" s="6"/>
      <c r="Z449" s="6">
        <f ca="1">('TUSD BE'!$AM$52+'TUSD BF'!$AM$52+'TUSD CVA'!$AM$52)*1</f>
        <v>343.81469354767324</v>
      </c>
      <c r="AA449" s="6">
        <f>('TE BE'!$AB$40+'TE BF'!$AB$40+'TE CVA'!$AB$40)*1</f>
        <v>114.76529888966962</v>
      </c>
      <c r="AB449" s="6">
        <f>$K$449*$V$449</f>
        <v>0</v>
      </c>
      <c r="AC449" s="6">
        <f>$M$449*$W$449</f>
        <v>593.81542000000002</v>
      </c>
      <c r="AD449" s="6">
        <f>$O$449*$X$449</f>
        <v>295.67178999999999</v>
      </c>
      <c r="AE449" s="6">
        <f>$K$449*$Y$449</f>
        <v>0</v>
      </c>
      <c r="AF449" s="6">
        <f ca="1">$M$449*$Z$449</f>
        <v>758.79902865971485</v>
      </c>
      <c r="AG449" s="6">
        <f>$O$449*$AA$449</f>
        <v>253.28701464950083</v>
      </c>
    </row>
    <row r="450" spans="1:33" ht="11.25" customHeight="1" x14ac:dyDescent="0.25">
      <c r="A450" s="4" t="s">
        <v>21</v>
      </c>
      <c r="B450" s="4" t="s">
        <v>33</v>
      </c>
      <c r="C450" s="4" t="s">
        <v>23</v>
      </c>
      <c r="D450" s="4" t="s">
        <v>34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44562</v>
      </c>
      <c r="J450" s="6">
        <v>0</v>
      </c>
      <c r="K450" s="6">
        <v>0</v>
      </c>
      <c r="L450" s="6">
        <v>360.74799999999999</v>
      </c>
      <c r="M450" s="6">
        <v>360.74799999999999</v>
      </c>
      <c r="N450" s="6">
        <v>360.74799999999999</v>
      </c>
      <c r="O450" s="6">
        <v>360.74799999999999</v>
      </c>
      <c r="P450" s="6">
        <v>218</v>
      </c>
      <c r="Q450" s="4" t="s">
        <v>26</v>
      </c>
      <c r="R450" s="4">
        <v>0</v>
      </c>
      <c r="S450" s="6">
        <v>0</v>
      </c>
      <c r="T450" s="6">
        <v>26</v>
      </c>
      <c r="U450" s="6">
        <v>75</v>
      </c>
      <c r="V450" s="6">
        <f>IF(ISERROR(VLOOKUP($S$450,'TAR FIN'!$A$1:$O$91,15,0)),0,VLOOKUP($S$450,'TAR FIN'!$A$1:$O$91,15,0))</f>
        <v>0</v>
      </c>
      <c r="W450" s="6">
        <f>IF(ISERROR(VLOOKUP($T$450,'TAR FIN'!$A$1:$O$91,15,0)),0,VLOOKUP($T$450,'TAR FIN'!$A$1:$O$91,15,0))</f>
        <v>269.06</v>
      </c>
      <c r="X450" s="6">
        <f>IF(ISERROR(VLOOKUP($U$450,'TAR FIN'!$A$1:$O$91,15,0)),0,VLOOKUP($U$450,'TAR FIN'!$A$1:$O$91,15,0))</f>
        <v>133.97</v>
      </c>
      <c r="Y450" s="6"/>
      <c r="Z450" s="6">
        <f ca="1">('TUSD BE'!$AM$52+'TUSD BF'!$AM$52+'TUSD CVA'!$AM$52)*1</f>
        <v>343.81469354767324</v>
      </c>
      <c r="AA450" s="6">
        <f>('TE BE'!$AB$40+'TE BF'!$AB$40+'TE CVA'!$AB$40)*1</f>
        <v>114.76529888966962</v>
      </c>
      <c r="AB450" s="6">
        <f>$K$450*$V$450</f>
        <v>0</v>
      </c>
      <c r="AC450" s="6">
        <f>$M$450*$W$450</f>
        <v>97062.856879999992</v>
      </c>
      <c r="AD450" s="6">
        <f>$O$450*$X$450</f>
        <v>48329.40956</v>
      </c>
      <c r="AE450" s="6">
        <f>$K$450*$Y$450</f>
        <v>0</v>
      </c>
      <c r="AF450" s="6">
        <f ca="1">$M$450*$Z$450</f>
        <v>124030.46306793603</v>
      </c>
      <c r="AG450" s="6">
        <f>$O$450*$AA$450</f>
        <v>41401.352043850537</v>
      </c>
    </row>
    <row r="451" spans="1:33" ht="11.25" customHeight="1" x14ac:dyDescent="0.25">
      <c r="A451" s="4" t="s">
        <v>28</v>
      </c>
      <c r="B451" s="4" t="s">
        <v>33</v>
      </c>
      <c r="C451" s="4" t="s">
        <v>23</v>
      </c>
      <c r="D451" s="4" t="s">
        <v>34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44562</v>
      </c>
      <c r="J451" s="6">
        <v>0</v>
      </c>
      <c r="K451" s="6">
        <v>0</v>
      </c>
      <c r="L451" s="6">
        <v>0.2</v>
      </c>
      <c r="M451" s="6">
        <v>0.2</v>
      </c>
      <c r="N451" s="6">
        <v>0.2</v>
      </c>
      <c r="O451" s="6">
        <v>0.2</v>
      </c>
      <c r="P451" s="6">
        <v>2</v>
      </c>
      <c r="Q451" s="4" t="s">
        <v>26</v>
      </c>
      <c r="R451" s="4">
        <v>0</v>
      </c>
      <c r="S451" s="6">
        <v>0</v>
      </c>
      <c r="T451" s="6">
        <v>26</v>
      </c>
      <c r="U451" s="6">
        <v>75</v>
      </c>
      <c r="V451" s="6">
        <f>IF(ISERROR(VLOOKUP($S$451,'TAR FIN'!$A$1:$O$91,15,0)),0,VLOOKUP($S$451,'TAR FIN'!$A$1:$O$91,15,0))</f>
        <v>0</v>
      </c>
      <c r="W451" s="6">
        <f>IF(ISERROR(VLOOKUP($T$451,'TAR FIN'!$A$1:$O$91,15,0)),0,VLOOKUP($T$451,'TAR FIN'!$A$1:$O$91,15,0))</f>
        <v>269.06</v>
      </c>
      <c r="X451" s="6">
        <f>IF(ISERROR(VLOOKUP($U$451,'TAR FIN'!$A$1:$O$91,15,0)),0,VLOOKUP($U$451,'TAR FIN'!$A$1:$O$91,15,0))</f>
        <v>133.97</v>
      </c>
      <c r="Y451" s="6"/>
      <c r="Z451" s="6">
        <f ca="1">('TUSD BE'!$AM$52+'TUSD BF'!$AM$52+'TUSD CVA'!$AM$52)*1</f>
        <v>343.81469354767324</v>
      </c>
      <c r="AA451" s="6">
        <f>('TE BE'!$AB$40+'TE BF'!$AB$40+'TE CVA'!$AB$40)*1</f>
        <v>114.76529888966962</v>
      </c>
      <c r="AB451" s="6">
        <f>$K$451*$V$451</f>
        <v>0</v>
      </c>
      <c r="AC451" s="6">
        <f>$M$451*$W$451</f>
        <v>53.812000000000005</v>
      </c>
      <c r="AD451" s="6">
        <f>$O$451*$X$451</f>
        <v>26.794</v>
      </c>
      <c r="AE451" s="6">
        <f>$K$451*$Y$451</f>
        <v>0</v>
      </c>
      <c r="AF451" s="6">
        <f ca="1">$M$451*$Z$451</f>
        <v>68.762938709534652</v>
      </c>
      <c r="AG451" s="6">
        <f>$O$451*$AA$451</f>
        <v>22.953059777933927</v>
      </c>
    </row>
    <row r="452" spans="1:33" ht="11.25" customHeight="1" x14ac:dyDescent="0.25">
      <c r="A452" s="4" t="s">
        <v>21</v>
      </c>
      <c r="B452" s="4" t="s">
        <v>33</v>
      </c>
      <c r="C452" s="4" t="s">
        <v>23</v>
      </c>
      <c r="D452" s="4" t="s">
        <v>34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44593</v>
      </c>
      <c r="J452" s="6">
        <v>0</v>
      </c>
      <c r="K452" s="6">
        <v>0</v>
      </c>
      <c r="L452" s="6">
        <v>452.41800000000001</v>
      </c>
      <c r="M452" s="6">
        <v>452.41800000000001</v>
      </c>
      <c r="N452" s="6">
        <v>452.41800000000001</v>
      </c>
      <c r="O452" s="6">
        <v>452.41800000000001</v>
      </c>
      <c r="P452" s="6">
        <v>225</v>
      </c>
      <c r="Q452" s="4" t="s">
        <v>26</v>
      </c>
      <c r="R452" s="4">
        <v>0</v>
      </c>
      <c r="S452" s="6">
        <v>0</v>
      </c>
      <c r="T452" s="6">
        <v>26</v>
      </c>
      <c r="U452" s="6">
        <v>75</v>
      </c>
      <c r="V452" s="6">
        <f>IF(ISERROR(VLOOKUP($S$452,'TAR FIN'!$A$1:$O$91,15,0)),0,VLOOKUP($S$452,'TAR FIN'!$A$1:$O$91,15,0))</f>
        <v>0</v>
      </c>
      <c r="W452" s="6">
        <f>IF(ISERROR(VLOOKUP($T$452,'TAR FIN'!$A$1:$O$91,15,0)),0,VLOOKUP($T$452,'TAR FIN'!$A$1:$O$91,15,0))</f>
        <v>269.06</v>
      </c>
      <c r="X452" s="6">
        <f>IF(ISERROR(VLOOKUP($U$452,'TAR FIN'!$A$1:$O$91,15,0)),0,VLOOKUP($U$452,'TAR FIN'!$A$1:$O$91,15,0))</f>
        <v>133.97</v>
      </c>
      <c r="Y452" s="6"/>
      <c r="Z452" s="6">
        <f ca="1">('TUSD BE'!$AM$52+'TUSD BF'!$AM$52+'TUSD CVA'!$AM$52)*1</f>
        <v>343.81469354767324</v>
      </c>
      <c r="AA452" s="6">
        <f>('TE BE'!$AB$40+'TE BF'!$AB$40+'TE CVA'!$AB$40)*1</f>
        <v>114.76529888966962</v>
      </c>
      <c r="AB452" s="6">
        <f>$K$452*$V$452</f>
        <v>0</v>
      </c>
      <c r="AC452" s="6">
        <f>$M$452*$W$452</f>
        <v>121727.58708</v>
      </c>
      <c r="AD452" s="6">
        <f>$O$452*$X$452</f>
        <v>60610.439460000001</v>
      </c>
      <c r="AE452" s="6">
        <f>$K$452*$Y$452</f>
        <v>0</v>
      </c>
      <c r="AF452" s="6">
        <f ca="1">$M$452*$Z$452</f>
        <v>155547.95602545125</v>
      </c>
      <c r="AG452" s="6">
        <f>$O$452*$AA$452</f>
        <v>51921.886993066553</v>
      </c>
    </row>
    <row r="453" spans="1:33" ht="11.25" customHeight="1" x14ac:dyDescent="0.25">
      <c r="A453" s="4" t="s">
        <v>28</v>
      </c>
      <c r="B453" s="4" t="s">
        <v>33</v>
      </c>
      <c r="C453" s="4" t="s">
        <v>23</v>
      </c>
      <c r="D453" s="4" t="s">
        <v>34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44593</v>
      </c>
      <c r="J453" s="6">
        <v>0</v>
      </c>
      <c r="K453" s="6">
        <v>0</v>
      </c>
      <c r="L453" s="6">
        <v>0.2</v>
      </c>
      <c r="M453" s="6">
        <v>0.2</v>
      </c>
      <c r="N453" s="6">
        <v>0.2</v>
      </c>
      <c r="O453" s="6">
        <v>0.2</v>
      </c>
      <c r="P453" s="6">
        <v>2</v>
      </c>
      <c r="Q453" s="4" t="s">
        <v>26</v>
      </c>
      <c r="R453" s="4">
        <v>0</v>
      </c>
      <c r="S453" s="6">
        <v>0</v>
      </c>
      <c r="T453" s="6">
        <v>26</v>
      </c>
      <c r="U453" s="6">
        <v>75</v>
      </c>
      <c r="V453" s="6">
        <f>IF(ISERROR(VLOOKUP($S$453,'TAR FIN'!$A$1:$O$91,15,0)),0,VLOOKUP($S$453,'TAR FIN'!$A$1:$O$91,15,0))</f>
        <v>0</v>
      </c>
      <c r="W453" s="6">
        <f>IF(ISERROR(VLOOKUP($T$453,'TAR FIN'!$A$1:$O$91,15,0)),0,VLOOKUP($T$453,'TAR FIN'!$A$1:$O$91,15,0))</f>
        <v>269.06</v>
      </c>
      <c r="X453" s="6">
        <f>IF(ISERROR(VLOOKUP($U$453,'TAR FIN'!$A$1:$O$91,15,0)),0,VLOOKUP($U$453,'TAR FIN'!$A$1:$O$91,15,0))</f>
        <v>133.97</v>
      </c>
      <c r="Y453" s="6"/>
      <c r="Z453" s="6">
        <f ca="1">('TUSD BE'!$AM$52+'TUSD BF'!$AM$52+'TUSD CVA'!$AM$52)*1</f>
        <v>343.81469354767324</v>
      </c>
      <c r="AA453" s="6">
        <f>('TE BE'!$AB$40+'TE BF'!$AB$40+'TE CVA'!$AB$40)*1</f>
        <v>114.76529888966962</v>
      </c>
      <c r="AB453" s="6">
        <f>$K$453*$V$453</f>
        <v>0</v>
      </c>
      <c r="AC453" s="6">
        <f>$M$453*$W$453</f>
        <v>53.812000000000005</v>
      </c>
      <c r="AD453" s="6">
        <f>$O$453*$X$453</f>
        <v>26.794</v>
      </c>
      <c r="AE453" s="6">
        <f>$K$453*$Y$453</f>
        <v>0</v>
      </c>
      <c r="AF453" s="6">
        <f ca="1">$M$453*$Z$453</f>
        <v>68.762938709534652</v>
      </c>
      <c r="AG453" s="6">
        <f>$O$453*$AA$453</f>
        <v>22.953059777933927</v>
      </c>
    </row>
    <row r="454" spans="1:33" ht="11.25" customHeight="1" x14ac:dyDescent="0.25">
      <c r="A454" s="4" t="s">
        <v>21</v>
      </c>
      <c r="B454" s="4" t="s">
        <v>33</v>
      </c>
      <c r="C454" s="4" t="s">
        <v>23</v>
      </c>
      <c r="D454" s="4" t="s">
        <v>34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44621</v>
      </c>
      <c r="J454" s="6">
        <v>0</v>
      </c>
      <c r="K454" s="6">
        <v>0</v>
      </c>
      <c r="L454" s="6">
        <v>456.41500000000002</v>
      </c>
      <c r="M454" s="6">
        <v>456.41500000000002</v>
      </c>
      <c r="N454" s="6">
        <v>456.41500000000002</v>
      </c>
      <c r="O454" s="6">
        <v>456.41500000000002</v>
      </c>
      <c r="P454" s="6">
        <v>227</v>
      </c>
      <c r="Q454" s="4" t="s">
        <v>26</v>
      </c>
      <c r="R454" s="4">
        <v>0</v>
      </c>
      <c r="S454" s="6">
        <v>0</v>
      </c>
      <c r="T454" s="6">
        <v>26</v>
      </c>
      <c r="U454" s="6">
        <v>75</v>
      </c>
      <c r="V454" s="6">
        <f>IF(ISERROR(VLOOKUP($S$454,'TAR FIN'!$A$1:$O$91,15,0)),0,VLOOKUP($S$454,'TAR FIN'!$A$1:$O$91,15,0))</f>
        <v>0</v>
      </c>
      <c r="W454" s="6">
        <f>IF(ISERROR(VLOOKUP($T$454,'TAR FIN'!$A$1:$O$91,15,0)),0,VLOOKUP($T$454,'TAR FIN'!$A$1:$O$91,15,0))</f>
        <v>269.06</v>
      </c>
      <c r="X454" s="6">
        <f>IF(ISERROR(VLOOKUP($U$454,'TAR FIN'!$A$1:$O$91,15,0)),0,VLOOKUP($U$454,'TAR FIN'!$A$1:$O$91,15,0))</f>
        <v>133.97</v>
      </c>
      <c r="Y454" s="6"/>
      <c r="Z454" s="6">
        <f ca="1">('TUSD BE'!$AM$52+'TUSD BF'!$AM$52+'TUSD CVA'!$AM$52)*1</f>
        <v>343.81469354767324</v>
      </c>
      <c r="AA454" s="6">
        <f>('TE BE'!$AB$40+'TE BF'!$AB$40+'TE CVA'!$AB$40)*1</f>
        <v>114.76529888966962</v>
      </c>
      <c r="AB454" s="6">
        <f>$K$454*$V$454</f>
        <v>0</v>
      </c>
      <c r="AC454" s="6">
        <f>$M$454*$W$454</f>
        <v>122803.0199</v>
      </c>
      <c r="AD454" s="6">
        <f>$O$454*$X$454</f>
        <v>61145.917550000006</v>
      </c>
      <c r="AE454" s="6">
        <f>$K$454*$Y$454</f>
        <v>0</v>
      </c>
      <c r="AF454" s="6">
        <f ca="1">$M$454*$Z$454</f>
        <v>156922.18335556128</v>
      </c>
      <c r="AG454" s="6">
        <f>$O$454*$AA$454</f>
        <v>52380.603892728563</v>
      </c>
    </row>
    <row r="455" spans="1:33" ht="11.25" customHeight="1" x14ac:dyDescent="0.25">
      <c r="A455" s="4" t="s">
        <v>28</v>
      </c>
      <c r="B455" s="4" t="s">
        <v>33</v>
      </c>
      <c r="C455" s="4" t="s">
        <v>23</v>
      </c>
      <c r="D455" s="4" t="s">
        <v>34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44621</v>
      </c>
      <c r="J455" s="6">
        <v>0</v>
      </c>
      <c r="K455" s="6">
        <v>0</v>
      </c>
      <c r="L455" s="6">
        <v>0.2</v>
      </c>
      <c r="M455" s="6">
        <v>0.2</v>
      </c>
      <c r="N455" s="6">
        <v>0.2</v>
      </c>
      <c r="O455" s="6">
        <v>0.2</v>
      </c>
      <c r="P455" s="6">
        <v>2</v>
      </c>
      <c r="Q455" s="4" t="s">
        <v>26</v>
      </c>
      <c r="R455" s="4">
        <v>0</v>
      </c>
      <c r="S455" s="6">
        <v>0</v>
      </c>
      <c r="T455" s="6">
        <v>26</v>
      </c>
      <c r="U455" s="6">
        <v>75</v>
      </c>
      <c r="V455" s="6">
        <f>IF(ISERROR(VLOOKUP($S$455,'TAR FIN'!$A$1:$O$91,15,0)),0,VLOOKUP($S$455,'TAR FIN'!$A$1:$O$91,15,0))</f>
        <v>0</v>
      </c>
      <c r="W455" s="6">
        <f>IF(ISERROR(VLOOKUP($T$455,'TAR FIN'!$A$1:$O$91,15,0)),0,VLOOKUP($T$455,'TAR FIN'!$A$1:$O$91,15,0))</f>
        <v>269.06</v>
      </c>
      <c r="X455" s="6">
        <f>IF(ISERROR(VLOOKUP($U$455,'TAR FIN'!$A$1:$O$91,15,0)),0,VLOOKUP($U$455,'TAR FIN'!$A$1:$O$91,15,0))</f>
        <v>133.97</v>
      </c>
      <c r="Y455" s="6"/>
      <c r="Z455" s="6">
        <f ca="1">('TUSD BE'!$AM$52+'TUSD BF'!$AM$52+'TUSD CVA'!$AM$52)*1</f>
        <v>343.81469354767324</v>
      </c>
      <c r="AA455" s="6">
        <f>('TE BE'!$AB$40+'TE BF'!$AB$40+'TE CVA'!$AB$40)*1</f>
        <v>114.76529888966962</v>
      </c>
      <c r="AB455" s="6">
        <f>$K$455*$V$455</f>
        <v>0</v>
      </c>
      <c r="AC455" s="6">
        <f>$M$455*$W$455</f>
        <v>53.812000000000005</v>
      </c>
      <c r="AD455" s="6">
        <f>$O$455*$X$455</f>
        <v>26.794</v>
      </c>
      <c r="AE455" s="6">
        <f>$K$455*$Y$455</f>
        <v>0</v>
      </c>
      <c r="AF455" s="6">
        <f ca="1">$M$455*$Z$455</f>
        <v>68.762938709534652</v>
      </c>
      <c r="AG455" s="6">
        <f>$O$455*$AA$455</f>
        <v>22.953059777933927</v>
      </c>
    </row>
    <row r="456" spans="1:33" ht="11.25" customHeight="1" x14ac:dyDescent="0.25">
      <c r="A456" s="4" t="s">
        <v>21</v>
      </c>
      <c r="B456" s="4" t="s">
        <v>33</v>
      </c>
      <c r="C456" s="4" t="s">
        <v>23</v>
      </c>
      <c r="D456" s="4" t="s">
        <v>34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44652</v>
      </c>
      <c r="J456" s="6">
        <v>0</v>
      </c>
      <c r="K456" s="6">
        <v>0</v>
      </c>
      <c r="L456" s="6">
        <v>439.601</v>
      </c>
      <c r="M456" s="6">
        <v>439.601</v>
      </c>
      <c r="N456" s="6">
        <v>439.601</v>
      </c>
      <c r="O456" s="6">
        <v>439.601</v>
      </c>
      <c r="P456" s="6">
        <v>229</v>
      </c>
      <c r="Q456" s="4" t="s">
        <v>26</v>
      </c>
      <c r="R456" s="4">
        <v>0</v>
      </c>
      <c r="S456" s="6">
        <v>0</v>
      </c>
      <c r="T456" s="6">
        <v>26</v>
      </c>
      <c r="U456" s="6">
        <v>75</v>
      </c>
      <c r="V456" s="6">
        <f>IF(ISERROR(VLOOKUP($S$456,'TAR FIN'!$A$1:$O$91,15,0)),0,VLOOKUP($S$456,'TAR FIN'!$A$1:$O$91,15,0))</f>
        <v>0</v>
      </c>
      <c r="W456" s="6">
        <f>IF(ISERROR(VLOOKUP($T$456,'TAR FIN'!$A$1:$O$91,15,0)),0,VLOOKUP($T$456,'TAR FIN'!$A$1:$O$91,15,0))</f>
        <v>269.06</v>
      </c>
      <c r="X456" s="6">
        <f>IF(ISERROR(VLOOKUP($U$456,'TAR FIN'!$A$1:$O$91,15,0)),0,VLOOKUP($U$456,'TAR FIN'!$A$1:$O$91,15,0))</f>
        <v>133.97</v>
      </c>
      <c r="Y456" s="6"/>
      <c r="Z456" s="6">
        <f ca="1">('TUSD BE'!$AM$52+'TUSD BF'!$AM$52+'TUSD CVA'!$AM$52)*1</f>
        <v>343.81469354767324</v>
      </c>
      <c r="AA456" s="6">
        <f>('TE BE'!$AB$40+'TE BF'!$AB$40+'TE CVA'!$AB$40)*1</f>
        <v>114.76529888966962</v>
      </c>
      <c r="AB456" s="6">
        <f>$K$456*$V$456</f>
        <v>0</v>
      </c>
      <c r="AC456" s="6">
        <f>$M$456*$W$456</f>
        <v>118279.04506</v>
      </c>
      <c r="AD456" s="6">
        <f>$O$456*$X$456</f>
        <v>58893.345970000002</v>
      </c>
      <c r="AE456" s="6">
        <f>$K$456*$Y$456</f>
        <v>0</v>
      </c>
      <c r="AF456" s="6">
        <f ca="1">$M$456*$Z$456</f>
        <v>151141.28309825071</v>
      </c>
      <c r="AG456" s="6">
        <f>$O$456*$AA$456</f>
        <v>50450.940157197656</v>
      </c>
    </row>
    <row r="457" spans="1:33" ht="11.25" customHeight="1" x14ac:dyDescent="0.25">
      <c r="A457" s="4" t="s">
        <v>28</v>
      </c>
      <c r="B457" s="4" t="s">
        <v>33</v>
      </c>
      <c r="C457" s="4" t="s">
        <v>23</v>
      </c>
      <c r="D457" s="4" t="s">
        <v>34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44652</v>
      </c>
      <c r="J457" s="6">
        <v>0</v>
      </c>
      <c r="K457" s="6">
        <v>0</v>
      </c>
      <c r="L457" s="6">
        <v>2.9140000000000001</v>
      </c>
      <c r="M457" s="6">
        <v>2.9140000000000001</v>
      </c>
      <c r="N457" s="6">
        <v>2.9140000000000001</v>
      </c>
      <c r="O457" s="6">
        <v>2.9140000000000001</v>
      </c>
      <c r="P457" s="6">
        <v>2</v>
      </c>
      <c r="Q457" s="4" t="s">
        <v>26</v>
      </c>
      <c r="R457" s="4">
        <v>0</v>
      </c>
      <c r="S457" s="6">
        <v>0</v>
      </c>
      <c r="T457" s="6">
        <v>26</v>
      </c>
      <c r="U457" s="6">
        <v>75</v>
      </c>
      <c r="V457" s="6">
        <f>IF(ISERROR(VLOOKUP($S$457,'TAR FIN'!$A$1:$O$91,15,0)),0,VLOOKUP($S$457,'TAR FIN'!$A$1:$O$91,15,0))</f>
        <v>0</v>
      </c>
      <c r="W457" s="6">
        <f>IF(ISERROR(VLOOKUP($T$457,'TAR FIN'!$A$1:$O$91,15,0)),0,VLOOKUP($T$457,'TAR FIN'!$A$1:$O$91,15,0))</f>
        <v>269.06</v>
      </c>
      <c r="X457" s="6">
        <f>IF(ISERROR(VLOOKUP($U$457,'TAR FIN'!$A$1:$O$91,15,0)),0,VLOOKUP($U$457,'TAR FIN'!$A$1:$O$91,15,0))</f>
        <v>133.97</v>
      </c>
      <c r="Y457" s="6"/>
      <c r="Z457" s="6">
        <f ca="1">('TUSD BE'!$AM$52+'TUSD BF'!$AM$52+'TUSD CVA'!$AM$52)*1</f>
        <v>343.81469354767324</v>
      </c>
      <c r="AA457" s="6">
        <f>('TE BE'!$AB$40+'TE BF'!$AB$40+'TE CVA'!$AB$40)*1</f>
        <v>114.76529888966962</v>
      </c>
      <c r="AB457" s="6">
        <f>$K$457*$V$457</f>
        <v>0</v>
      </c>
      <c r="AC457" s="6">
        <f>$M$457*$W$457</f>
        <v>784.04084</v>
      </c>
      <c r="AD457" s="6">
        <f>$O$457*$X$457</f>
        <v>390.38857999999999</v>
      </c>
      <c r="AE457" s="6">
        <f>$K$457*$Y$457</f>
        <v>0</v>
      </c>
      <c r="AF457" s="6">
        <f ca="1">$M$457*$Z$457</f>
        <v>1001.8760169979199</v>
      </c>
      <c r="AG457" s="6">
        <f>$O$457*$AA$457</f>
        <v>334.42608096449732</v>
      </c>
    </row>
    <row r="458" spans="1:33" ht="11.25" customHeight="1" x14ac:dyDescent="0.25">
      <c r="A458" s="4" t="s">
        <v>21</v>
      </c>
      <c r="B458" s="4" t="s">
        <v>33</v>
      </c>
      <c r="C458" s="4" t="s">
        <v>23</v>
      </c>
      <c r="D458" s="4" t="s">
        <v>34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44682</v>
      </c>
      <c r="J458" s="6">
        <v>0</v>
      </c>
      <c r="K458" s="6">
        <v>0</v>
      </c>
      <c r="L458" s="6">
        <v>401.34</v>
      </c>
      <c r="M458" s="6">
        <v>401.34</v>
      </c>
      <c r="N458" s="6">
        <v>401.34</v>
      </c>
      <c r="O458" s="6">
        <v>401.34</v>
      </c>
      <c r="P458" s="6">
        <v>228</v>
      </c>
      <c r="Q458" s="4" t="s">
        <v>26</v>
      </c>
      <c r="R458" s="4">
        <v>0</v>
      </c>
      <c r="S458" s="6">
        <v>0</v>
      </c>
      <c r="T458" s="6">
        <v>26</v>
      </c>
      <c r="U458" s="6">
        <v>75</v>
      </c>
      <c r="V458" s="6">
        <f>IF(ISERROR(VLOOKUP($S$458,'TAR FIN'!$A$1:$O$91,15,0)),0,VLOOKUP($S$458,'TAR FIN'!$A$1:$O$91,15,0))</f>
        <v>0</v>
      </c>
      <c r="W458" s="6">
        <f>IF(ISERROR(VLOOKUP($T$458,'TAR FIN'!$A$1:$O$91,15,0)),0,VLOOKUP($T$458,'TAR FIN'!$A$1:$O$91,15,0))</f>
        <v>269.06</v>
      </c>
      <c r="X458" s="6">
        <f>IF(ISERROR(VLOOKUP($U$458,'TAR FIN'!$A$1:$O$91,15,0)),0,VLOOKUP($U$458,'TAR FIN'!$A$1:$O$91,15,0))</f>
        <v>133.97</v>
      </c>
      <c r="Y458" s="6"/>
      <c r="Z458" s="6">
        <f ca="1">('TUSD BE'!$AM$52+'TUSD BF'!$AM$52+'TUSD CVA'!$AM$52)*1</f>
        <v>343.81469354767324</v>
      </c>
      <c r="AA458" s="6">
        <f>('TE BE'!$AB$40+'TE BF'!$AB$40+'TE CVA'!$AB$40)*1</f>
        <v>114.76529888966962</v>
      </c>
      <c r="AB458" s="6">
        <f>$K$458*$V$458</f>
        <v>0</v>
      </c>
      <c r="AC458" s="6">
        <f>$M$458*$W$458</f>
        <v>107984.5404</v>
      </c>
      <c r="AD458" s="6">
        <f>$O$458*$X$458</f>
        <v>53767.519799999995</v>
      </c>
      <c r="AE458" s="6">
        <f>$K$458*$Y$458</f>
        <v>0</v>
      </c>
      <c r="AF458" s="6">
        <f ca="1">$M$458*$Z$458</f>
        <v>137986.58910842318</v>
      </c>
      <c r="AG458" s="6">
        <f>$O$458*$AA$458</f>
        <v>46059.905056380005</v>
      </c>
    </row>
    <row r="459" spans="1:33" ht="11.25" customHeight="1" x14ac:dyDescent="0.25">
      <c r="A459" s="4" t="s">
        <v>28</v>
      </c>
      <c r="B459" s="4" t="s">
        <v>33</v>
      </c>
      <c r="C459" s="4" t="s">
        <v>23</v>
      </c>
      <c r="D459" s="4" t="s">
        <v>34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44682</v>
      </c>
      <c r="J459" s="6">
        <v>0</v>
      </c>
      <c r="K459" s="6">
        <v>0</v>
      </c>
      <c r="L459" s="6">
        <v>6.3070000000000004</v>
      </c>
      <c r="M459" s="6">
        <v>6.3070000000000004</v>
      </c>
      <c r="N459" s="6">
        <v>6.3070000000000004</v>
      </c>
      <c r="O459" s="6">
        <v>6.3070000000000004</v>
      </c>
      <c r="P459" s="6">
        <v>3</v>
      </c>
      <c r="Q459" s="4" t="s">
        <v>26</v>
      </c>
      <c r="R459" s="4">
        <v>0</v>
      </c>
      <c r="S459" s="6">
        <v>0</v>
      </c>
      <c r="T459" s="6">
        <v>26</v>
      </c>
      <c r="U459" s="6">
        <v>75</v>
      </c>
      <c r="V459" s="6">
        <f>IF(ISERROR(VLOOKUP($S$459,'TAR FIN'!$A$1:$O$91,15,0)),0,VLOOKUP($S$459,'TAR FIN'!$A$1:$O$91,15,0))</f>
        <v>0</v>
      </c>
      <c r="W459" s="6">
        <f>IF(ISERROR(VLOOKUP($T$459,'TAR FIN'!$A$1:$O$91,15,0)),0,VLOOKUP($T$459,'TAR FIN'!$A$1:$O$91,15,0))</f>
        <v>269.06</v>
      </c>
      <c r="X459" s="6">
        <f>IF(ISERROR(VLOOKUP($U$459,'TAR FIN'!$A$1:$O$91,15,0)),0,VLOOKUP($U$459,'TAR FIN'!$A$1:$O$91,15,0))</f>
        <v>133.97</v>
      </c>
      <c r="Y459" s="6"/>
      <c r="Z459" s="6">
        <f ca="1">('TUSD BE'!$AM$52+'TUSD BF'!$AM$52+'TUSD CVA'!$AM$52)*1</f>
        <v>343.81469354767324</v>
      </c>
      <c r="AA459" s="6">
        <f>('TE BE'!$AB$40+'TE BF'!$AB$40+'TE CVA'!$AB$40)*1</f>
        <v>114.76529888966962</v>
      </c>
      <c r="AB459" s="6">
        <f>$K$459*$V$459</f>
        <v>0</v>
      </c>
      <c r="AC459" s="6">
        <f>$M$459*$W$459</f>
        <v>1696.9614200000001</v>
      </c>
      <c r="AD459" s="6">
        <f>$O$459*$X$459</f>
        <v>844.94879000000003</v>
      </c>
      <c r="AE459" s="6">
        <f>$K$459*$Y$459</f>
        <v>0</v>
      </c>
      <c r="AF459" s="6">
        <f ca="1">$M$459*$Z$459</f>
        <v>2168.4392722051753</v>
      </c>
      <c r="AG459" s="6">
        <f>$O$459*$AA$459</f>
        <v>723.82474009714633</v>
      </c>
    </row>
    <row r="460" spans="1:33" ht="11.25" customHeight="1" x14ac:dyDescent="0.25">
      <c r="A460" s="4" t="s">
        <v>21</v>
      </c>
      <c r="B460" s="4" t="s">
        <v>33</v>
      </c>
      <c r="C460" s="4" t="s">
        <v>23</v>
      </c>
      <c r="D460" s="4" t="s">
        <v>34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44713</v>
      </c>
      <c r="J460" s="6">
        <v>0</v>
      </c>
      <c r="K460" s="6">
        <v>0</v>
      </c>
      <c r="L460" s="6">
        <v>391.52</v>
      </c>
      <c r="M460" s="6">
        <v>391.52</v>
      </c>
      <c r="N460" s="6">
        <v>391.52</v>
      </c>
      <c r="O460" s="6">
        <v>391.52</v>
      </c>
      <c r="P460" s="6">
        <v>226</v>
      </c>
      <c r="Q460" s="4" t="s">
        <v>26</v>
      </c>
      <c r="R460" s="4">
        <v>0</v>
      </c>
      <c r="S460" s="6">
        <v>0</v>
      </c>
      <c r="T460" s="6">
        <v>26</v>
      </c>
      <c r="U460" s="6">
        <v>75</v>
      </c>
      <c r="V460" s="6">
        <f>IF(ISERROR(VLOOKUP($S$460,'TAR FIN'!$A$1:$O$91,15,0)),0,VLOOKUP($S$460,'TAR FIN'!$A$1:$O$91,15,0))</f>
        <v>0</v>
      </c>
      <c r="W460" s="6">
        <f>IF(ISERROR(VLOOKUP($T$460,'TAR FIN'!$A$1:$O$91,15,0)),0,VLOOKUP($T$460,'TAR FIN'!$A$1:$O$91,15,0))</f>
        <v>269.06</v>
      </c>
      <c r="X460" s="6">
        <f>IF(ISERROR(VLOOKUP($U$460,'TAR FIN'!$A$1:$O$91,15,0)),0,VLOOKUP($U$460,'TAR FIN'!$A$1:$O$91,15,0))</f>
        <v>133.97</v>
      </c>
      <c r="Y460" s="6"/>
      <c r="Z460" s="6">
        <f ca="1">('TUSD BE'!$AM$52+'TUSD BF'!$AM$52+'TUSD CVA'!$AM$52)*1</f>
        <v>343.81469354767324</v>
      </c>
      <c r="AA460" s="6">
        <f>('TE BE'!$AB$40+'TE BF'!$AB$40+'TE CVA'!$AB$40)*1</f>
        <v>114.76529888966962</v>
      </c>
      <c r="AB460" s="6">
        <f>$K$460*$V$460</f>
        <v>0</v>
      </c>
      <c r="AC460" s="6">
        <f>$M$460*$W$460</f>
        <v>105342.37119999999</v>
      </c>
      <c r="AD460" s="6">
        <f>$O$460*$X$460</f>
        <v>52451.934399999998</v>
      </c>
      <c r="AE460" s="6">
        <f>$K$460*$Y$460</f>
        <v>0</v>
      </c>
      <c r="AF460" s="6">
        <f ca="1">$M$460*$Z$460</f>
        <v>134610.32881778502</v>
      </c>
      <c r="AG460" s="6">
        <f>$O$460*$AA$460</f>
        <v>44932.909821283451</v>
      </c>
    </row>
    <row r="461" spans="1:33" ht="11.25" customHeight="1" x14ac:dyDescent="0.25">
      <c r="A461" s="4" t="s">
        <v>28</v>
      </c>
      <c r="B461" s="4" t="s">
        <v>33</v>
      </c>
      <c r="C461" s="4" t="s">
        <v>23</v>
      </c>
      <c r="D461" s="4" t="s">
        <v>34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44713</v>
      </c>
      <c r="J461" s="6">
        <v>0</v>
      </c>
      <c r="K461" s="6">
        <v>0</v>
      </c>
      <c r="L461" s="6">
        <v>12.25</v>
      </c>
      <c r="M461" s="6">
        <v>12.25</v>
      </c>
      <c r="N461" s="6">
        <v>12.25</v>
      </c>
      <c r="O461" s="6">
        <v>12.25</v>
      </c>
      <c r="P461" s="6">
        <v>5</v>
      </c>
      <c r="Q461" s="4" t="s">
        <v>26</v>
      </c>
      <c r="R461" s="4">
        <v>0</v>
      </c>
      <c r="S461" s="6">
        <v>0</v>
      </c>
      <c r="T461" s="6">
        <v>26</v>
      </c>
      <c r="U461" s="6">
        <v>75</v>
      </c>
      <c r="V461" s="6">
        <f>IF(ISERROR(VLOOKUP($S$461,'TAR FIN'!$A$1:$O$91,15,0)),0,VLOOKUP($S$461,'TAR FIN'!$A$1:$O$91,15,0))</f>
        <v>0</v>
      </c>
      <c r="W461" s="6">
        <f>IF(ISERROR(VLOOKUP($T$461,'TAR FIN'!$A$1:$O$91,15,0)),0,VLOOKUP($T$461,'TAR FIN'!$A$1:$O$91,15,0))</f>
        <v>269.06</v>
      </c>
      <c r="X461" s="6">
        <f>IF(ISERROR(VLOOKUP($U$461,'TAR FIN'!$A$1:$O$91,15,0)),0,VLOOKUP($U$461,'TAR FIN'!$A$1:$O$91,15,0))</f>
        <v>133.97</v>
      </c>
      <c r="Y461" s="6"/>
      <c r="Z461" s="6">
        <f ca="1">('TUSD BE'!$AM$52+'TUSD BF'!$AM$52+'TUSD CVA'!$AM$52)*1</f>
        <v>343.81469354767324</v>
      </c>
      <c r="AA461" s="6">
        <f>('TE BE'!$AB$40+'TE BF'!$AB$40+'TE CVA'!$AB$40)*1</f>
        <v>114.76529888966962</v>
      </c>
      <c r="AB461" s="6">
        <f>$K$461*$V$461</f>
        <v>0</v>
      </c>
      <c r="AC461" s="6">
        <f>$M$461*$W$461</f>
        <v>3295.9850000000001</v>
      </c>
      <c r="AD461" s="6">
        <f>$O$461*$X$461</f>
        <v>1641.1324999999999</v>
      </c>
      <c r="AE461" s="6">
        <f>$K$461*$Y$461</f>
        <v>0</v>
      </c>
      <c r="AF461" s="6">
        <f ca="1">$M$461*$Z$461</f>
        <v>4211.7299959589973</v>
      </c>
      <c r="AG461" s="6">
        <f>$O$461*$AA$461</f>
        <v>1405.8749113984529</v>
      </c>
    </row>
    <row r="462" spans="1:33" ht="11.25" customHeight="1" x14ac:dyDescent="0.25">
      <c r="A462" s="4" t="s">
        <v>21</v>
      </c>
      <c r="B462" s="4" t="s">
        <v>33</v>
      </c>
      <c r="C462" s="4" t="s">
        <v>23</v>
      </c>
      <c r="D462" s="4" t="s">
        <v>34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44743</v>
      </c>
      <c r="J462" s="6">
        <v>0</v>
      </c>
      <c r="K462" s="6">
        <v>0</v>
      </c>
      <c r="L462" s="6">
        <v>377.15899999999999</v>
      </c>
      <c r="M462" s="6">
        <v>377.15899999999999</v>
      </c>
      <c r="N462" s="6">
        <v>377.15899999999999</v>
      </c>
      <c r="O462" s="6">
        <v>377.15899999999999</v>
      </c>
      <c r="P462" s="6">
        <v>224</v>
      </c>
      <c r="Q462" s="4" t="s">
        <v>26</v>
      </c>
      <c r="R462" s="4">
        <v>0</v>
      </c>
      <c r="S462" s="6">
        <v>0</v>
      </c>
      <c r="T462" s="6">
        <v>26</v>
      </c>
      <c r="U462" s="6">
        <v>75</v>
      </c>
      <c r="V462" s="6">
        <f>IF(ISERROR(VLOOKUP($S$462,'TAR FIN'!$A$1:$O$91,15,0)),0,VLOOKUP($S$462,'TAR FIN'!$A$1:$O$91,15,0))</f>
        <v>0</v>
      </c>
      <c r="W462" s="6">
        <f>IF(ISERROR(VLOOKUP($T$462,'TAR FIN'!$A$1:$O$91,15,0)),0,VLOOKUP($T$462,'TAR FIN'!$A$1:$O$91,15,0))</f>
        <v>269.06</v>
      </c>
      <c r="X462" s="6">
        <f>IF(ISERROR(VLOOKUP($U$462,'TAR FIN'!$A$1:$O$91,15,0)),0,VLOOKUP($U$462,'TAR FIN'!$A$1:$O$91,15,0))</f>
        <v>133.97</v>
      </c>
      <c r="Y462" s="6"/>
      <c r="Z462" s="6">
        <f ca="1">('TUSD BE'!$AM$52+'TUSD BF'!$AM$52+'TUSD CVA'!$AM$52)*1</f>
        <v>343.81469354767324</v>
      </c>
      <c r="AA462" s="6">
        <f>('TE BE'!$AB$40+'TE BF'!$AB$40+'TE CVA'!$AB$40)*1</f>
        <v>114.76529888966962</v>
      </c>
      <c r="AB462" s="6">
        <f>$K$462*$V$462</f>
        <v>0</v>
      </c>
      <c r="AC462" s="6">
        <f>$M$462*$W$462</f>
        <v>101478.40054</v>
      </c>
      <c r="AD462" s="6">
        <f>$O$462*$X$462</f>
        <v>50527.99123</v>
      </c>
      <c r="AE462" s="6">
        <f>$K$462*$Y$462</f>
        <v>0</v>
      </c>
      <c r="AF462" s="6">
        <f ca="1">$M$462*$Z$462</f>
        <v>129672.8060037469</v>
      </c>
      <c r="AG462" s="6">
        <f>$O$462*$AA$462</f>
        <v>43284.765363928906</v>
      </c>
    </row>
    <row r="463" spans="1:33" ht="11.25" customHeight="1" x14ac:dyDescent="0.25">
      <c r="A463" s="4" t="s">
        <v>28</v>
      </c>
      <c r="B463" s="4" t="s">
        <v>33</v>
      </c>
      <c r="C463" s="4" t="s">
        <v>23</v>
      </c>
      <c r="D463" s="4" t="s">
        <v>34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44743</v>
      </c>
      <c r="J463" s="6">
        <v>0</v>
      </c>
      <c r="K463" s="6">
        <v>0</v>
      </c>
      <c r="L463" s="6">
        <v>10.179</v>
      </c>
      <c r="M463" s="6">
        <v>10.179</v>
      </c>
      <c r="N463" s="6">
        <v>10.179</v>
      </c>
      <c r="O463" s="6">
        <v>10.179</v>
      </c>
      <c r="P463" s="6">
        <v>5</v>
      </c>
      <c r="Q463" s="4" t="s">
        <v>26</v>
      </c>
      <c r="R463" s="4">
        <v>0</v>
      </c>
      <c r="S463" s="6">
        <v>0</v>
      </c>
      <c r="T463" s="6">
        <v>26</v>
      </c>
      <c r="U463" s="6">
        <v>75</v>
      </c>
      <c r="V463" s="6">
        <f>IF(ISERROR(VLOOKUP($S$463,'TAR FIN'!$A$1:$O$91,15,0)),0,VLOOKUP($S$463,'TAR FIN'!$A$1:$O$91,15,0))</f>
        <v>0</v>
      </c>
      <c r="W463" s="6">
        <f>IF(ISERROR(VLOOKUP($T$463,'TAR FIN'!$A$1:$O$91,15,0)),0,VLOOKUP($T$463,'TAR FIN'!$A$1:$O$91,15,0))</f>
        <v>269.06</v>
      </c>
      <c r="X463" s="6">
        <f>IF(ISERROR(VLOOKUP($U$463,'TAR FIN'!$A$1:$O$91,15,0)),0,VLOOKUP($U$463,'TAR FIN'!$A$1:$O$91,15,0))</f>
        <v>133.97</v>
      </c>
      <c r="Y463" s="6"/>
      <c r="Z463" s="6">
        <f ca="1">('TUSD BE'!$AM$52+'TUSD BF'!$AM$52+'TUSD CVA'!$AM$52)*1</f>
        <v>343.81469354767324</v>
      </c>
      <c r="AA463" s="6">
        <f>('TE BE'!$AB$40+'TE BF'!$AB$40+'TE CVA'!$AB$40)*1</f>
        <v>114.76529888966962</v>
      </c>
      <c r="AB463" s="6">
        <f>$K$463*$V$463</f>
        <v>0</v>
      </c>
      <c r="AC463" s="6">
        <f>$M$463*$W$463</f>
        <v>2738.7617399999999</v>
      </c>
      <c r="AD463" s="6">
        <f>$O$463*$X$463</f>
        <v>1363.6806300000001</v>
      </c>
      <c r="AE463" s="6">
        <f>$K$463*$Y$463</f>
        <v>0</v>
      </c>
      <c r="AF463" s="6">
        <f ca="1">$M$463*$Z$463</f>
        <v>3499.6897656217661</v>
      </c>
      <c r="AG463" s="6">
        <f>$O$463*$AA$463</f>
        <v>1168.1959773979472</v>
      </c>
    </row>
    <row r="464" spans="1:33" ht="11.25" customHeight="1" x14ac:dyDescent="0.25">
      <c r="A464" s="4" t="s">
        <v>57</v>
      </c>
      <c r="B464" s="4" t="s">
        <v>33</v>
      </c>
      <c r="C464" s="4" t="s">
        <v>23</v>
      </c>
      <c r="D464" s="4" t="s">
        <v>34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44774</v>
      </c>
      <c r="J464" s="6">
        <v>0</v>
      </c>
      <c r="K464" s="6">
        <v>0</v>
      </c>
      <c r="L464" s="6">
        <v>377.15899999999999</v>
      </c>
      <c r="M464" s="6">
        <v>377.15899999999999</v>
      </c>
      <c r="N464" s="6">
        <v>377.15899999999999</v>
      </c>
      <c r="O464" s="6">
        <v>377.15899999999999</v>
      </c>
      <c r="P464" s="6">
        <v>224</v>
      </c>
      <c r="Q464" s="4" t="s">
        <v>26</v>
      </c>
      <c r="R464" s="4">
        <v>0</v>
      </c>
      <c r="S464" s="6">
        <v>0</v>
      </c>
      <c r="T464" s="6">
        <v>26</v>
      </c>
      <c r="U464" s="6">
        <v>75</v>
      </c>
      <c r="V464" s="6">
        <f>IF(ISERROR(VLOOKUP($S$464,'TAR FIN'!$A$1:$O$91,15,0)),0,VLOOKUP($S$464,'TAR FIN'!$A$1:$O$91,15,0))</f>
        <v>0</v>
      </c>
      <c r="W464" s="6">
        <f>IF(ISERROR(VLOOKUP($T$464,'TAR FIN'!$A$1:$O$91,15,0)),0,VLOOKUP($T$464,'TAR FIN'!$A$1:$O$91,15,0))</f>
        <v>269.06</v>
      </c>
      <c r="X464" s="6">
        <f>IF(ISERROR(VLOOKUP($U$464,'TAR FIN'!$A$1:$O$91,15,0)),0,VLOOKUP($U$464,'TAR FIN'!$A$1:$O$91,15,0))</f>
        <v>133.97</v>
      </c>
      <c r="Y464" s="6"/>
      <c r="Z464" s="6">
        <f ca="1">('TUSD BE'!$AM$52+'TUSD BF'!$AM$52+'TUSD CVA'!$AM$52)*1</f>
        <v>343.81469354767324</v>
      </c>
      <c r="AA464" s="6">
        <f>('TE BE'!$AB$40+'TE BF'!$AB$40+'TE CVA'!$AB$40)*1</f>
        <v>114.76529888966962</v>
      </c>
      <c r="AB464" s="6">
        <f>$K$464*$V$464</f>
        <v>0</v>
      </c>
      <c r="AC464" s="6">
        <f>$M$464*$W$464</f>
        <v>101478.40054</v>
      </c>
      <c r="AD464" s="6">
        <f>$O$464*$X$464</f>
        <v>50527.99123</v>
      </c>
      <c r="AE464" s="6">
        <f>$K$464*$Y$464</f>
        <v>0</v>
      </c>
      <c r="AF464" s="6">
        <f ca="1">$M$464*$Z$464</f>
        <v>129672.8060037469</v>
      </c>
      <c r="AG464" s="6">
        <f>$O$464*$AA$464</f>
        <v>43284.765363928906</v>
      </c>
    </row>
    <row r="465" spans="1:33" ht="11.25" customHeight="1" x14ac:dyDescent="0.25">
      <c r="A465" s="4" t="s">
        <v>57</v>
      </c>
      <c r="B465" s="4" t="s">
        <v>33</v>
      </c>
      <c r="C465" s="4" t="s">
        <v>23</v>
      </c>
      <c r="D465" s="4" t="s">
        <v>34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44774</v>
      </c>
      <c r="J465" s="6">
        <v>0</v>
      </c>
      <c r="K465" s="6">
        <v>0</v>
      </c>
      <c r="L465" s="6">
        <v>10.179</v>
      </c>
      <c r="M465" s="6">
        <v>10.179</v>
      </c>
      <c r="N465" s="6">
        <v>10.179</v>
      </c>
      <c r="O465" s="6">
        <v>10.179</v>
      </c>
      <c r="P465" s="6">
        <v>5</v>
      </c>
      <c r="Q465" s="4" t="s">
        <v>26</v>
      </c>
      <c r="R465" s="4">
        <v>0</v>
      </c>
      <c r="S465" s="6">
        <v>0</v>
      </c>
      <c r="T465" s="6">
        <v>26</v>
      </c>
      <c r="U465" s="6">
        <v>75</v>
      </c>
      <c r="V465" s="6">
        <f>IF(ISERROR(VLOOKUP($S$465,'TAR FIN'!$A$1:$O$91,15,0)),0,VLOOKUP($S$465,'TAR FIN'!$A$1:$O$91,15,0))</f>
        <v>0</v>
      </c>
      <c r="W465" s="6">
        <f>IF(ISERROR(VLOOKUP($T$465,'TAR FIN'!$A$1:$O$91,15,0)),0,VLOOKUP($T$465,'TAR FIN'!$A$1:$O$91,15,0))</f>
        <v>269.06</v>
      </c>
      <c r="X465" s="6">
        <f>IF(ISERROR(VLOOKUP($U$465,'TAR FIN'!$A$1:$O$91,15,0)),0,VLOOKUP($U$465,'TAR FIN'!$A$1:$O$91,15,0))</f>
        <v>133.97</v>
      </c>
      <c r="Y465" s="6"/>
      <c r="Z465" s="6">
        <f ca="1">('TUSD BE'!$AM$52+'TUSD BF'!$AM$52+'TUSD CVA'!$AM$52)*1</f>
        <v>343.81469354767324</v>
      </c>
      <c r="AA465" s="6">
        <f>('TE BE'!$AB$40+'TE BF'!$AB$40+'TE CVA'!$AB$40)*1</f>
        <v>114.76529888966962</v>
      </c>
      <c r="AB465" s="6">
        <f>$K$465*$V$465</f>
        <v>0</v>
      </c>
      <c r="AC465" s="6">
        <f>$M$465*$W$465</f>
        <v>2738.7617399999999</v>
      </c>
      <c r="AD465" s="6">
        <f>$O$465*$X$465</f>
        <v>1363.6806300000001</v>
      </c>
      <c r="AE465" s="6">
        <f>$K$465*$Y$465</f>
        <v>0</v>
      </c>
      <c r="AF465" s="6">
        <f ca="1">$M$465*$Z$465</f>
        <v>3499.6897656217661</v>
      </c>
      <c r="AG465" s="6">
        <f>$O$465*$AA$465</f>
        <v>1168.1959773979472</v>
      </c>
    </row>
    <row r="466" spans="1:33" ht="11.25" customHeight="1" x14ac:dyDescent="0.25">
      <c r="A466" s="4" t="s">
        <v>21</v>
      </c>
      <c r="B466" s="4" t="s">
        <v>33</v>
      </c>
      <c r="C466" s="4" t="s">
        <v>23</v>
      </c>
      <c r="D466" s="4" t="s">
        <v>44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44440</v>
      </c>
      <c r="J466" s="6">
        <v>0</v>
      </c>
      <c r="K466" s="6">
        <v>0</v>
      </c>
      <c r="L466" s="6">
        <v>164.27799999999999</v>
      </c>
      <c r="M466" s="6">
        <v>164.27799999999999</v>
      </c>
      <c r="N466" s="6">
        <v>164.27799999999999</v>
      </c>
      <c r="O466" s="6">
        <v>164.27799999999999</v>
      </c>
      <c r="P466" s="6">
        <v>208</v>
      </c>
      <c r="Q466" s="4" t="s">
        <v>26</v>
      </c>
      <c r="R466" s="4">
        <v>0</v>
      </c>
      <c r="S466" s="6">
        <v>0</v>
      </c>
      <c r="T466" s="6">
        <v>26</v>
      </c>
      <c r="U466" s="6">
        <v>75</v>
      </c>
      <c r="V466" s="6">
        <f>IF(ISERROR(VLOOKUP($S$466,'TAR FIN'!$A$1:$O$91,15,0)),0,VLOOKUP($S$466,'TAR FIN'!$A$1:$O$91,15,0))</f>
        <v>0</v>
      </c>
      <c r="W466" s="6">
        <f>IF(ISERROR(VLOOKUP($T$466,'TAR FIN'!$A$1:$O$91,15,0)),0,VLOOKUP($T$466,'TAR FIN'!$A$1:$O$91,15,0))</f>
        <v>269.06</v>
      </c>
      <c r="X466" s="6">
        <f>IF(ISERROR(VLOOKUP($U$466,'TAR FIN'!$A$1:$O$91,15,0)),0,VLOOKUP($U$466,'TAR FIN'!$A$1:$O$91,15,0))</f>
        <v>133.97</v>
      </c>
      <c r="Y466" s="6"/>
      <c r="Z466" s="6">
        <f ca="1">('TUSD BE'!$AM$52+'TUSD BF'!$AM$52+'TUSD CVA'!$AM$52)*1</f>
        <v>343.81469354767324</v>
      </c>
      <c r="AA466" s="6">
        <f>('TE BE'!$AB$40+'TE BF'!$AB$40+'TE CVA'!$AB$40)*1</f>
        <v>114.76529888966962</v>
      </c>
      <c r="AB466" s="6">
        <f>$K$466*$V$466</f>
        <v>0</v>
      </c>
      <c r="AC466" s="6">
        <f>$M$466*$W$466</f>
        <v>44200.638679999996</v>
      </c>
      <c r="AD466" s="6">
        <f>$O$466*$X$466</f>
        <v>22008.323659999998</v>
      </c>
      <c r="AE466" s="6">
        <f>$K$466*$Y$466</f>
        <v>0</v>
      </c>
      <c r="AF466" s="6">
        <f ca="1">$M$466*$Z$466</f>
        <v>56481.190226624662</v>
      </c>
      <c r="AG466" s="6">
        <f>$O$466*$AA$466</f>
        <v>18853.413770997144</v>
      </c>
    </row>
    <row r="467" spans="1:33" ht="11.25" customHeight="1" x14ac:dyDescent="0.25">
      <c r="A467" s="4" t="s">
        <v>21</v>
      </c>
      <c r="B467" s="4" t="s">
        <v>33</v>
      </c>
      <c r="C467" s="4" t="s">
        <v>23</v>
      </c>
      <c r="D467" s="4" t="s">
        <v>44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44470</v>
      </c>
      <c r="J467" s="6">
        <v>0</v>
      </c>
      <c r="K467" s="6">
        <v>0</v>
      </c>
      <c r="L467" s="6">
        <v>160.94</v>
      </c>
      <c r="M467" s="6">
        <v>160.94</v>
      </c>
      <c r="N467" s="6">
        <v>160.94</v>
      </c>
      <c r="O467" s="6">
        <v>160.94</v>
      </c>
      <c r="P467" s="6">
        <v>210</v>
      </c>
      <c r="Q467" s="4" t="s">
        <v>26</v>
      </c>
      <c r="R467" s="4">
        <v>0</v>
      </c>
      <c r="S467" s="6">
        <v>0</v>
      </c>
      <c r="T467" s="6">
        <v>26</v>
      </c>
      <c r="U467" s="6">
        <v>75</v>
      </c>
      <c r="V467" s="6">
        <f>IF(ISERROR(VLOOKUP($S$467,'TAR FIN'!$A$1:$O$91,15,0)),0,VLOOKUP($S$467,'TAR FIN'!$A$1:$O$91,15,0))</f>
        <v>0</v>
      </c>
      <c r="W467" s="6">
        <f>IF(ISERROR(VLOOKUP($T$467,'TAR FIN'!$A$1:$O$91,15,0)),0,VLOOKUP($T$467,'TAR FIN'!$A$1:$O$91,15,0))</f>
        <v>269.06</v>
      </c>
      <c r="X467" s="6">
        <f>IF(ISERROR(VLOOKUP($U$467,'TAR FIN'!$A$1:$O$91,15,0)),0,VLOOKUP($U$467,'TAR FIN'!$A$1:$O$91,15,0))</f>
        <v>133.97</v>
      </c>
      <c r="Y467" s="6"/>
      <c r="Z467" s="6">
        <f ca="1">('TUSD BE'!$AM$52+'TUSD BF'!$AM$52+'TUSD CVA'!$AM$52)*1</f>
        <v>343.81469354767324</v>
      </c>
      <c r="AA467" s="6">
        <f>('TE BE'!$AB$40+'TE BF'!$AB$40+'TE CVA'!$AB$40)*1</f>
        <v>114.76529888966962</v>
      </c>
      <c r="AB467" s="6">
        <f>$K$467*$V$467</f>
        <v>0</v>
      </c>
      <c r="AC467" s="6">
        <f>$M$467*$W$467</f>
        <v>43302.5164</v>
      </c>
      <c r="AD467" s="6">
        <f>$O$467*$X$467</f>
        <v>21561.131799999999</v>
      </c>
      <c r="AE467" s="6">
        <f>$K$467*$Y$467</f>
        <v>0</v>
      </c>
      <c r="AF467" s="6">
        <f ca="1">$M$467*$Z$467</f>
        <v>55333.536779562528</v>
      </c>
      <c r="AG467" s="6">
        <f>$O$467*$AA$467</f>
        <v>18470.32720330343</v>
      </c>
    </row>
    <row r="468" spans="1:33" ht="11.25" customHeight="1" x14ac:dyDescent="0.25">
      <c r="A468" s="4" t="s">
        <v>21</v>
      </c>
      <c r="B468" s="4" t="s">
        <v>33</v>
      </c>
      <c r="C468" s="4" t="s">
        <v>23</v>
      </c>
      <c r="D468" s="4" t="s">
        <v>44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183.25700000000001</v>
      </c>
      <c r="M468" s="6">
        <v>183.25700000000001</v>
      </c>
      <c r="N468" s="6">
        <v>183.25700000000001</v>
      </c>
      <c r="O468" s="6">
        <v>183.25700000000001</v>
      </c>
      <c r="P468" s="6">
        <v>210</v>
      </c>
      <c r="Q468" s="4" t="s">
        <v>26</v>
      </c>
      <c r="R468" s="4">
        <v>0</v>
      </c>
      <c r="S468" s="6">
        <v>0</v>
      </c>
      <c r="T468" s="6">
        <v>26</v>
      </c>
      <c r="U468" s="6">
        <v>75</v>
      </c>
      <c r="V468" s="6">
        <f>IF(ISERROR(VLOOKUP($S$468,'TAR FIN'!$A$1:$O$91,15,0)),0,VLOOKUP($S$468,'TAR FIN'!$A$1:$O$91,15,0))</f>
        <v>0</v>
      </c>
      <c r="W468" s="6">
        <f>IF(ISERROR(VLOOKUP($T$468,'TAR FIN'!$A$1:$O$91,15,0)),0,VLOOKUP($T$468,'TAR FIN'!$A$1:$O$91,15,0))</f>
        <v>269.06</v>
      </c>
      <c r="X468" s="6">
        <f>IF(ISERROR(VLOOKUP($U$468,'TAR FIN'!$A$1:$O$91,15,0)),0,VLOOKUP($U$468,'TAR FIN'!$A$1:$O$91,15,0))</f>
        <v>133.97</v>
      </c>
      <c r="Y468" s="6"/>
      <c r="Z468" s="6">
        <f ca="1">('TUSD BE'!$AM$52+'TUSD BF'!$AM$52+'TUSD CVA'!$AM$52)*1</f>
        <v>343.81469354767324</v>
      </c>
      <c r="AA468" s="6">
        <f>('TE BE'!$AB$40+'TE BF'!$AB$40+'TE CVA'!$AB$40)*1</f>
        <v>114.76529888966962</v>
      </c>
      <c r="AB468" s="6">
        <f>$K$468*$V$468</f>
        <v>0</v>
      </c>
      <c r="AC468" s="6">
        <f>$M$468*$W$468</f>
        <v>49307.128420000001</v>
      </c>
      <c r="AD468" s="6">
        <f>$O$468*$X$468</f>
        <v>24550.940290000002</v>
      </c>
      <c r="AE468" s="6">
        <f>$K$468*$Y$468</f>
        <v>0</v>
      </c>
      <c r="AF468" s="6">
        <f ca="1">$M$468*$Z$468</f>
        <v>63006.449295465958</v>
      </c>
      <c r="AG468" s="6">
        <f>$O$468*$AA$468</f>
        <v>21031.544378624185</v>
      </c>
    </row>
    <row r="469" spans="1:33" ht="11.25" customHeight="1" x14ac:dyDescent="0.25">
      <c r="A469" s="4" t="s">
        <v>21</v>
      </c>
      <c r="B469" s="4" t="s">
        <v>33</v>
      </c>
      <c r="C469" s="4" t="s">
        <v>23</v>
      </c>
      <c r="D469" s="4" t="s">
        <v>44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44531</v>
      </c>
      <c r="J469" s="6">
        <v>0</v>
      </c>
      <c r="K469" s="6">
        <v>0</v>
      </c>
      <c r="L469" s="6">
        <v>203.458</v>
      </c>
      <c r="M469" s="6">
        <v>203.458</v>
      </c>
      <c r="N469" s="6">
        <v>203.458</v>
      </c>
      <c r="O469" s="6">
        <v>203.458</v>
      </c>
      <c r="P469" s="6">
        <v>211</v>
      </c>
      <c r="Q469" s="4" t="s">
        <v>26</v>
      </c>
      <c r="R469" s="4">
        <v>0</v>
      </c>
      <c r="S469" s="6">
        <v>0</v>
      </c>
      <c r="T469" s="6">
        <v>26</v>
      </c>
      <c r="U469" s="6">
        <v>75</v>
      </c>
      <c r="V469" s="6">
        <f>IF(ISERROR(VLOOKUP($S$469,'TAR FIN'!$A$1:$O$91,15,0)),0,VLOOKUP($S$469,'TAR FIN'!$A$1:$O$91,15,0))</f>
        <v>0</v>
      </c>
      <c r="W469" s="6">
        <f>IF(ISERROR(VLOOKUP($T$469,'TAR FIN'!$A$1:$O$91,15,0)),0,VLOOKUP($T$469,'TAR FIN'!$A$1:$O$91,15,0))</f>
        <v>269.06</v>
      </c>
      <c r="X469" s="6">
        <f>IF(ISERROR(VLOOKUP($U$469,'TAR FIN'!$A$1:$O$91,15,0)),0,VLOOKUP($U$469,'TAR FIN'!$A$1:$O$91,15,0))</f>
        <v>133.97</v>
      </c>
      <c r="Y469" s="6"/>
      <c r="Z469" s="6">
        <f ca="1">('TUSD BE'!$AM$52+'TUSD BF'!$AM$52+'TUSD CVA'!$AM$52)*1</f>
        <v>343.81469354767324</v>
      </c>
      <c r="AA469" s="6">
        <f>('TE BE'!$AB$40+'TE BF'!$AB$40+'TE CVA'!$AB$40)*1</f>
        <v>114.76529888966962</v>
      </c>
      <c r="AB469" s="6">
        <f>$K$469*$V$469</f>
        <v>0</v>
      </c>
      <c r="AC469" s="6">
        <f>$M$469*$W$469</f>
        <v>54742.409480000002</v>
      </c>
      <c r="AD469" s="6">
        <f>$O$469*$X$469</f>
        <v>27257.268260000001</v>
      </c>
      <c r="AE469" s="6">
        <f>$K$469*$Y$469</f>
        <v>0</v>
      </c>
      <c r="AF469" s="6">
        <f ca="1">$M$469*$Z$469</f>
        <v>69951.849919822504</v>
      </c>
      <c r="AG469" s="6">
        <f>$O$469*$AA$469</f>
        <v>23349.918181494402</v>
      </c>
    </row>
    <row r="470" spans="1:33" ht="11.25" customHeight="1" x14ac:dyDescent="0.25">
      <c r="A470" s="4" t="s">
        <v>21</v>
      </c>
      <c r="B470" s="4" t="s">
        <v>33</v>
      </c>
      <c r="C470" s="4" t="s">
        <v>23</v>
      </c>
      <c r="D470" s="4" t="s">
        <v>44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44562</v>
      </c>
      <c r="J470" s="6">
        <v>0</v>
      </c>
      <c r="K470" s="6">
        <v>0</v>
      </c>
      <c r="L470" s="6">
        <v>168.26599999999999</v>
      </c>
      <c r="M470" s="6">
        <v>168.26599999999999</v>
      </c>
      <c r="N470" s="6">
        <v>168.26599999999999</v>
      </c>
      <c r="O470" s="6">
        <v>168.26599999999999</v>
      </c>
      <c r="P470" s="6">
        <v>211</v>
      </c>
      <c r="Q470" s="4" t="s">
        <v>26</v>
      </c>
      <c r="R470" s="4">
        <v>0</v>
      </c>
      <c r="S470" s="6">
        <v>0</v>
      </c>
      <c r="T470" s="6">
        <v>26</v>
      </c>
      <c r="U470" s="6">
        <v>75</v>
      </c>
      <c r="V470" s="6">
        <f>IF(ISERROR(VLOOKUP($S$470,'TAR FIN'!$A$1:$O$91,15,0)),0,VLOOKUP($S$470,'TAR FIN'!$A$1:$O$91,15,0))</f>
        <v>0</v>
      </c>
      <c r="W470" s="6">
        <f>IF(ISERROR(VLOOKUP($T$470,'TAR FIN'!$A$1:$O$91,15,0)),0,VLOOKUP($T$470,'TAR FIN'!$A$1:$O$91,15,0))</f>
        <v>269.06</v>
      </c>
      <c r="X470" s="6">
        <f>IF(ISERROR(VLOOKUP($U$470,'TAR FIN'!$A$1:$O$91,15,0)),0,VLOOKUP($U$470,'TAR FIN'!$A$1:$O$91,15,0))</f>
        <v>133.97</v>
      </c>
      <c r="Y470" s="6"/>
      <c r="Z470" s="6">
        <f ca="1">('TUSD BE'!$AM$52+'TUSD BF'!$AM$52+'TUSD CVA'!$AM$52)*1</f>
        <v>343.81469354767324</v>
      </c>
      <c r="AA470" s="6">
        <f>('TE BE'!$AB$40+'TE BF'!$AB$40+'TE CVA'!$AB$40)*1</f>
        <v>114.76529888966962</v>
      </c>
      <c r="AB470" s="6">
        <f>$K$470*$V$470</f>
        <v>0</v>
      </c>
      <c r="AC470" s="6">
        <f>$M$470*$W$470</f>
        <v>45273.649959999995</v>
      </c>
      <c r="AD470" s="6">
        <f>$O$470*$X$470</f>
        <v>22542.596019999997</v>
      </c>
      <c r="AE470" s="6">
        <f>$K$470*$Y$470</f>
        <v>0</v>
      </c>
      <c r="AF470" s="6">
        <f ca="1">$M$470*$Z$470</f>
        <v>57852.323224492786</v>
      </c>
      <c r="AG470" s="6">
        <f>$O$470*$AA$470</f>
        <v>19311.097782969147</v>
      </c>
    </row>
    <row r="471" spans="1:33" ht="11.25" customHeight="1" x14ac:dyDescent="0.25">
      <c r="A471" s="4" t="s">
        <v>21</v>
      </c>
      <c r="B471" s="4" t="s">
        <v>33</v>
      </c>
      <c r="C471" s="4" t="s">
        <v>23</v>
      </c>
      <c r="D471" s="4" t="s">
        <v>44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44593</v>
      </c>
      <c r="J471" s="6">
        <v>0</v>
      </c>
      <c r="K471" s="6">
        <v>0</v>
      </c>
      <c r="L471" s="6">
        <v>190.214</v>
      </c>
      <c r="M471" s="6">
        <v>190.214</v>
      </c>
      <c r="N471" s="6">
        <v>190.214</v>
      </c>
      <c r="O471" s="6">
        <v>190.214</v>
      </c>
      <c r="P471" s="6">
        <v>211</v>
      </c>
      <c r="Q471" s="4" t="s">
        <v>26</v>
      </c>
      <c r="R471" s="4">
        <v>0</v>
      </c>
      <c r="S471" s="6">
        <v>0</v>
      </c>
      <c r="T471" s="6">
        <v>26</v>
      </c>
      <c r="U471" s="6">
        <v>75</v>
      </c>
      <c r="V471" s="6">
        <f>IF(ISERROR(VLOOKUP($S$471,'TAR FIN'!$A$1:$O$91,15,0)),0,VLOOKUP($S$471,'TAR FIN'!$A$1:$O$91,15,0))</f>
        <v>0</v>
      </c>
      <c r="W471" s="6">
        <f>IF(ISERROR(VLOOKUP($T$471,'TAR FIN'!$A$1:$O$91,15,0)),0,VLOOKUP($T$471,'TAR FIN'!$A$1:$O$91,15,0))</f>
        <v>269.06</v>
      </c>
      <c r="X471" s="6">
        <f>IF(ISERROR(VLOOKUP($U$471,'TAR FIN'!$A$1:$O$91,15,0)),0,VLOOKUP($U$471,'TAR FIN'!$A$1:$O$91,15,0))</f>
        <v>133.97</v>
      </c>
      <c r="Y471" s="6"/>
      <c r="Z471" s="6">
        <f ca="1">('TUSD BE'!$AM$52+'TUSD BF'!$AM$52+'TUSD CVA'!$AM$52)*1</f>
        <v>343.81469354767324</v>
      </c>
      <c r="AA471" s="6">
        <f>('TE BE'!$AB$40+'TE BF'!$AB$40+'TE CVA'!$AB$40)*1</f>
        <v>114.76529888966962</v>
      </c>
      <c r="AB471" s="6">
        <f>$K$471*$V$471</f>
        <v>0</v>
      </c>
      <c r="AC471" s="6">
        <f>$M$471*$W$471</f>
        <v>51178.978840000003</v>
      </c>
      <c r="AD471" s="6">
        <f>$O$471*$X$471</f>
        <v>25482.969580000001</v>
      </c>
      <c r="AE471" s="6">
        <f>$K$471*$Y$471</f>
        <v>0</v>
      </c>
      <c r="AF471" s="6">
        <f ca="1">$M$471*$Z$471</f>
        <v>65398.368118477119</v>
      </c>
      <c r="AG471" s="6">
        <f>$O$471*$AA$471</f>
        <v>21829.966562999616</v>
      </c>
    </row>
    <row r="472" spans="1:33" ht="11.25" customHeight="1" x14ac:dyDescent="0.25">
      <c r="A472" s="4" t="s">
        <v>21</v>
      </c>
      <c r="B472" s="4" t="s">
        <v>33</v>
      </c>
      <c r="C472" s="4" t="s">
        <v>23</v>
      </c>
      <c r="D472" s="4" t="s">
        <v>44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44621</v>
      </c>
      <c r="J472" s="6">
        <v>0</v>
      </c>
      <c r="K472" s="6">
        <v>0</v>
      </c>
      <c r="L472" s="6">
        <v>271.21300000000002</v>
      </c>
      <c r="M472" s="6">
        <v>271.21300000000002</v>
      </c>
      <c r="N472" s="6">
        <v>271.21300000000002</v>
      </c>
      <c r="O472" s="6">
        <v>271.21300000000002</v>
      </c>
      <c r="P472" s="6">
        <v>210</v>
      </c>
      <c r="Q472" s="4" t="s">
        <v>26</v>
      </c>
      <c r="R472" s="4">
        <v>0</v>
      </c>
      <c r="S472" s="6">
        <v>0</v>
      </c>
      <c r="T472" s="6">
        <v>26</v>
      </c>
      <c r="U472" s="6">
        <v>75</v>
      </c>
      <c r="V472" s="6">
        <f>IF(ISERROR(VLOOKUP($S$472,'TAR FIN'!$A$1:$O$91,15,0)),0,VLOOKUP($S$472,'TAR FIN'!$A$1:$O$91,15,0))</f>
        <v>0</v>
      </c>
      <c r="W472" s="6">
        <f>IF(ISERROR(VLOOKUP($T$472,'TAR FIN'!$A$1:$O$91,15,0)),0,VLOOKUP($T$472,'TAR FIN'!$A$1:$O$91,15,0))</f>
        <v>269.06</v>
      </c>
      <c r="X472" s="6">
        <f>IF(ISERROR(VLOOKUP($U$472,'TAR FIN'!$A$1:$O$91,15,0)),0,VLOOKUP($U$472,'TAR FIN'!$A$1:$O$91,15,0))</f>
        <v>133.97</v>
      </c>
      <c r="Y472" s="6"/>
      <c r="Z472" s="6">
        <f ca="1">('TUSD BE'!$AM$52+'TUSD BF'!$AM$52+'TUSD CVA'!$AM$52)*1</f>
        <v>343.81469354767324</v>
      </c>
      <c r="AA472" s="6">
        <f>('TE BE'!$AB$40+'TE BF'!$AB$40+'TE CVA'!$AB$40)*1</f>
        <v>114.76529888966962</v>
      </c>
      <c r="AB472" s="6">
        <f>$K$472*$V$472</f>
        <v>0</v>
      </c>
      <c r="AC472" s="6">
        <f>$M$472*$W$472</f>
        <v>72972.569780000005</v>
      </c>
      <c r="AD472" s="6">
        <f>$O$472*$X$472</f>
        <v>36334.405610000002</v>
      </c>
      <c r="AE472" s="6">
        <f>$K$472*$Y$472</f>
        <v>0</v>
      </c>
      <c r="AF472" s="6">
        <f ca="1">$M$472*$Z$472</f>
        <v>93247.014481145117</v>
      </c>
      <c r="AG472" s="6">
        <f>$O$472*$AA$472</f>
        <v>31125.841007763971</v>
      </c>
    </row>
    <row r="473" spans="1:33" ht="11.25" customHeight="1" x14ac:dyDescent="0.25">
      <c r="A473" s="4" t="s">
        <v>21</v>
      </c>
      <c r="B473" s="4" t="s">
        <v>33</v>
      </c>
      <c r="C473" s="4" t="s">
        <v>23</v>
      </c>
      <c r="D473" s="4" t="s">
        <v>44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44652</v>
      </c>
      <c r="J473" s="6">
        <v>0</v>
      </c>
      <c r="K473" s="6">
        <v>0</v>
      </c>
      <c r="L473" s="6">
        <v>203.14</v>
      </c>
      <c r="M473" s="6">
        <v>203.14</v>
      </c>
      <c r="N473" s="6">
        <v>203.14</v>
      </c>
      <c r="O473" s="6">
        <v>203.14</v>
      </c>
      <c r="P473" s="6">
        <v>219</v>
      </c>
      <c r="Q473" s="4" t="s">
        <v>26</v>
      </c>
      <c r="R473" s="4">
        <v>0</v>
      </c>
      <c r="S473" s="6">
        <v>0</v>
      </c>
      <c r="T473" s="6">
        <v>26</v>
      </c>
      <c r="U473" s="6">
        <v>75</v>
      </c>
      <c r="V473" s="6">
        <f>IF(ISERROR(VLOOKUP($S$473,'TAR FIN'!$A$1:$O$91,15,0)),0,VLOOKUP($S$473,'TAR FIN'!$A$1:$O$91,15,0))</f>
        <v>0</v>
      </c>
      <c r="W473" s="6">
        <f>IF(ISERROR(VLOOKUP($T$473,'TAR FIN'!$A$1:$O$91,15,0)),0,VLOOKUP($T$473,'TAR FIN'!$A$1:$O$91,15,0))</f>
        <v>269.06</v>
      </c>
      <c r="X473" s="6">
        <f>IF(ISERROR(VLOOKUP($U$473,'TAR FIN'!$A$1:$O$91,15,0)),0,VLOOKUP($U$473,'TAR FIN'!$A$1:$O$91,15,0))</f>
        <v>133.97</v>
      </c>
      <c r="Y473" s="6"/>
      <c r="Z473" s="6">
        <f ca="1">('TUSD BE'!$AM$52+'TUSD BF'!$AM$52+'TUSD CVA'!$AM$52)*1</f>
        <v>343.81469354767324</v>
      </c>
      <c r="AA473" s="6">
        <f>('TE BE'!$AB$40+'TE BF'!$AB$40+'TE CVA'!$AB$40)*1</f>
        <v>114.76529888966962</v>
      </c>
      <c r="AB473" s="6">
        <f>$K$473*$V$473</f>
        <v>0</v>
      </c>
      <c r="AC473" s="6">
        <f>$M$473*$W$473</f>
        <v>54656.848399999995</v>
      </c>
      <c r="AD473" s="6">
        <f>$O$473*$X$473</f>
        <v>27214.665799999999</v>
      </c>
      <c r="AE473" s="6">
        <f>$K$473*$Y$473</f>
        <v>0</v>
      </c>
      <c r="AF473" s="6">
        <f ca="1">$M$473*$Z$473</f>
        <v>69842.516847274339</v>
      </c>
      <c r="AG473" s="6">
        <f>$O$473*$AA$473</f>
        <v>23313.422816447484</v>
      </c>
    </row>
    <row r="474" spans="1:33" ht="11.25" customHeight="1" x14ac:dyDescent="0.25">
      <c r="A474" s="4" t="s">
        <v>21</v>
      </c>
      <c r="B474" s="4" t="s">
        <v>33</v>
      </c>
      <c r="C474" s="4" t="s">
        <v>23</v>
      </c>
      <c r="D474" s="4" t="s">
        <v>44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44682</v>
      </c>
      <c r="J474" s="6">
        <v>0</v>
      </c>
      <c r="K474" s="6">
        <v>0</v>
      </c>
      <c r="L474" s="6">
        <v>152.38800000000001</v>
      </c>
      <c r="M474" s="6">
        <v>152.38800000000001</v>
      </c>
      <c r="N474" s="6">
        <v>152.38800000000001</v>
      </c>
      <c r="O474" s="6">
        <v>152.38800000000001</v>
      </c>
      <c r="P474" s="6">
        <v>218</v>
      </c>
      <c r="Q474" s="4" t="s">
        <v>26</v>
      </c>
      <c r="R474" s="4">
        <v>0</v>
      </c>
      <c r="S474" s="6">
        <v>0</v>
      </c>
      <c r="T474" s="6">
        <v>26</v>
      </c>
      <c r="U474" s="6">
        <v>75</v>
      </c>
      <c r="V474" s="6">
        <f>IF(ISERROR(VLOOKUP($S$474,'TAR FIN'!$A$1:$O$91,15,0)),0,VLOOKUP($S$474,'TAR FIN'!$A$1:$O$91,15,0))</f>
        <v>0</v>
      </c>
      <c r="W474" s="6">
        <f>IF(ISERROR(VLOOKUP($T$474,'TAR FIN'!$A$1:$O$91,15,0)),0,VLOOKUP($T$474,'TAR FIN'!$A$1:$O$91,15,0))</f>
        <v>269.06</v>
      </c>
      <c r="X474" s="6">
        <f>IF(ISERROR(VLOOKUP($U$474,'TAR FIN'!$A$1:$O$91,15,0)),0,VLOOKUP($U$474,'TAR FIN'!$A$1:$O$91,15,0))</f>
        <v>133.97</v>
      </c>
      <c r="Y474" s="6"/>
      <c r="Z474" s="6">
        <f ca="1">('TUSD BE'!$AM$52+'TUSD BF'!$AM$52+'TUSD CVA'!$AM$52)*1</f>
        <v>343.81469354767324</v>
      </c>
      <c r="AA474" s="6">
        <f>('TE BE'!$AB$40+'TE BF'!$AB$40+'TE CVA'!$AB$40)*1</f>
        <v>114.76529888966962</v>
      </c>
      <c r="AB474" s="6">
        <f>$K$474*$V$474</f>
        <v>0</v>
      </c>
      <c r="AC474" s="6">
        <f>$M$474*$W$474</f>
        <v>41001.51528</v>
      </c>
      <c r="AD474" s="6">
        <f>$O$474*$X$474</f>
        <v>20415.42036</v>
      </c>
      <c r="AE474" s="6">
        <f>$K$474*$Y$474</f>
        <v>0</v>
      </c>
      <c r="AF474" s="6">
        <f ca="1">$M$474*$Z$474</f>
        <v>52393.23352034283</v>
      </c>
      <c r="AG474" s="6">
        <f>$O$474*$AA$474</f>
        <v>17488.854367198976</v>
      </c>
    </row>
    <row r="475" spans="1:33" ht="11.25" customHeight="1" x14ac:dyDescent="0.25">
      <c r="A475" s="4" t="s">
        <v>28</v>
      </c>
      <c r="B475" s="4" t="s">
        <v>33</v>
      </c>
      <c r="C475" s="4" t="s">
        <v>23</v>
      </c>
      <c r="D475" s="4" t="s">
        <v>44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44682</v>
      </c>
      <c r="J475" s="6">
        <v>0</v>
      </c>
      <c r="K475" s="6">
        <v>0</v>
      </c>
      <c r="L475" s="6">
        <v>0.2</v>
      </c>
      <c r="M475" s="6">
        <v>0.2</v>
      </c>
      <c r="N475" s="6">
        <v>0.2</v>
      </c>
      <c r="O475" s="6">
        <v>0.2</v>
      </c>
      <c r="P475" s="6">
        <v>2</v>
      </c>
      <c r="Q475" s="4" t="s">
        <v>26</v>
      </c>
      <c r="R475" s="4">
        <v>0</v>
      </c>
      <c r="S475" s="6">
        <v>0</v>
      </c>
      <c r="T475" s="6">
        <v>26</v>
      </c>
      <c r="U475" s="6">
        <v>75</v>
      </c>
      <c r="V475" s="6">
        <f>IF(ISERROR(VLOOKUP($S$475,'TAR FIN'!$A$1:$O$91,15,0)),0,VLOOKUP($S$475,'TAR FIN'!$A$1:$O$91,15,0))</f>
        <v>0</v>
      </c>
      <c r="W475" s="6">
        <f>IF(ISERROR(VLOOKUP($T$475,'TAR FIN'!$A$1:$O$91,15,0)),0,VLOOKUP($T$475,'TAR FIN'!$A$1:$O$91,15,0))</f>
        <v>269.06</v>
      </c>
      <c r="X475" s="6">
        <f>IF(ISERROR(VLOOKUP($U$475,'TAR FIN'!$A$1:$O$91,15,0)),0,VLOOKUP($U$475,'TAR FIN'!$A$1:$O$91,15,0))</f>
        <v>133.97</v>
      </c>
      <c r="Y475" s="6"/>
      <c r="Z475" s="6">
        <f ca="1">('TUSD BE'!$AM$52+'TUSD BF'!$AM$52+'TUSD CVA'!$AM$52)*1</f>
        <v>343.81469354767324</v>
      </c>
      <c r="AA475" s="6">
        <f>('TE BE'!$AB$40+'TE BF'!$AB$40+'TE CVA'!$AB$40)*1</f>
        <v>114.76529888966962</v>
      </c>
      <c r="AB475" s="6">
        <f>$K$475*$V$475</f>
        <v>0</v>
      </c>
      <c r="AC475" s="6">
        <f>$M$475*$W$475</f>
        <v>53.812000000000005</v>
      </c>
      <c r="AD475" s="6">
        <f>$O$475*$X$475</f>
        <v>26.794</v>
      </c>
      <c r="AE475" s="6">
        <f>$K$475*$Y$475</f>
        <v>0</v>
      </c>
      <c r="AF475" s="6">
        <f ca="1">$M$475*$Z$475</f>
        <v>68.762938709534652</v>
      </c>
      <c r="AG475" s="6">
        <f>$O$475*$AA$475</f>
        <v>22.953059777933927</v>
      </c>
    </row>
    <row r="476" spans="1:33" ht="11.25" customHeight="1" x14ac:dyDescent="0.25">
      <c r="A476" s="4" t="s">
        <v>21</v>
      </c>
      <c r="B476" s="4" t="s">
        <v>33</v>
      </c>
      <c r="C476" s="4" t="s">
        <v>23</v>
      </c>
      <c r="D476" s="4" t="s">
        <v>44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44713</v>
      </c>
      <c r="J476" s="6">
        <v>0</v>
      </c>
      <c r="K476" s="6">
        <v>0</v>
      </c>
      <c r="L476" s="6">
        <v>151.66300000000001</v>
      </c>
      <c r="M476" s="6">
        <v>151.66300000000001</v>
      </c>
      <c r="N476" s="6">
        <v>151.66300000000001</v>
      </c>
      <c r="O476" s="6">
        <v>151.66300000000001</v>
      </c>
      <c r="P476" s="6">
        <v>217</v>
      </c>
      <c r="Q476" s="4" t="s">
        <v>26</v>
      </c>
      <c r="R476" s="4">
        <v>0</v>
      </c>
      <c r="S476" s="6">
        <v>0</v>
      </c>
      <c r="T476" s="6">
        <v>26</v>
      </c>
      <c r="U476" s="6">
        <v>75</v>
      </c>
      <c r="V476" s="6">
        <f>IF(ISERROR(VLOOKUP($S$476,'TAR FIN'!$A$1:$O$91,15,0)),0,VLOOKUP($S$476,'TAR FIN'!$A$1:$O$91,15,0))</f>
        <v>0</v>
      </c>
      <c r="W476" s="6">
        <f>IF(ISERROR(VLOOKUP($T$476,'TAR FIN'!$A$1:$O$91,15,0)),0,VLOOKUP($T$476,'TAR FIN'!$A$1:$O$91,15,0))</f>
        <v>269.06</v>
      </c>
      <c r="X476" s="6">
        <f>IF(ISERROR(VLOOKUP($U$476,'TAR FIN'!$A$1:$O$91,15,0)),0,VLOOKUP($U$476,'TAR FIN'!$A$1:$O$91,15,0))</f>
        <v>133.97</v>
      </c>
      <c r="Y476" s="6"/>
      <c r="Z476" s="6">
        <f ca="1">('TUSD BE'!$AM$52+'TUSD BF'!$AM$52+'TUSD CVA'!$AM$52)*1</f>
        <v>343.81469354767324</v>
      </c>
      <c r="AA476" s="6">
        <f>('TE BE'!$AB$40+'TE BF'!$AB$40+'TE CVA'!$AB$40)*1</f>
        <v>114.76529888966962</v>
      </c>
      <c r="AB476" s="6">
        <f>$K$476*$V$476</f>
        <v>0</v>
      </c>
      <c r="AC476" s="6">
        <f>$M$476*$W$476</f>
        <v>40806.446780000006</v>
      </c>
      <c r="AD476" s="6">
        <f>$O$476*$X$476</f>
        <v>20318.292110000002</v>
      </c>
      <c r="AE476" s="6">
        <f>$K$476*$Y$476</f>
        <v>0</v>
      </c>
      <c r="AF476" s="6">
        <f ca="1">$M$476*$Z$476</f>
        <v>52143.967867520769</v>
      </c>
      <c r="AG476" s="6">
        <f>$O$476*$AA$476</f>
        <v>17405.649525503966</v>
      </c>
    </row>
    <row r="477" spans="1:33" ht="11.25" customHeight="1" x14ac:dyDescent="0.25">
      <c r="A477" s="4" t="s">
        <v>28</v>
      </c>
      <c r="B477" s="4" t="s">
        <v>33</v>
      </c>
      <c r="C477" s="4" t="s">
        <v>23</v>
      </c>
      <c r="D477" s="4" t="s">
        <v>44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44713</v>
      </c>
      <c r="J477" s="6">
        <v>0</v>
      </c>
      <c r="K477" s="6">
        <v>0</v>
      </c>
      <c r="L477" s="6">
        <v>0.2</v>
      </c>
      <c r="M477" s="6">
        <v>0.2</v>
      </c>
      <c r="N477" s="6">
        <v>0.2</v>
      </c>
      <c r="O477" s="6">
        <v>0.2</v>
      </c>
      <c r="P477" s="6">
        <v>2</v>
      </c>
      <c r="Q477" s="4" t="s">
        <v>26</v>
      </c>
      <c r="R477" s="4">
        <v>0</v>
      </c>
      <c r="S477" s="6">
        <v>0</v>
      </c>
      <c r="T477" s="6">
        <v>26</v>
      </c>
      <c r="U477" s="6">
        <v>75</v>
      </c>
      <c r="V477" s="6">
        <f>IF(ISERROR(VLOOKUP($S$477,'TAR FIN'!$A$1:$O$91,15,0)),0,VLOOKUP($S$477,'TAR FIN'!$A$1:$O$91,15,0))</f>
        <v>0</v>
      </c>
      <c r="W477" s="6">
        <f>IF(ISERROR(VLOOKUP($T$477,'TAR FIN'!$A$1:$O$91,15,0)),0,VLOOKUP($T$477,'TAR FIN'!$A$1:$O$91,15,0))</f>
        <v>269.06</v>
      </c>
      <c r="X477" s="6">
        <f>IF(ISERROR(VLOOKUP($U$477,'TAR FIN'!$A$1:$O$91,15,0)),0,VLOOKUP($U$477,'TAR FIN'!$A$1:$O$91,15,0))</f>
        <v>133.97</v>
      </c>
      <c r="Y477" s="6"/>
      <c r="Z477" s="6">
        <f ca="1">('TUSD BE'!$AM$52+'TUSD BF'!$AM$52+'TUSD CVA'!$AM$52)*1</f>
        <v>343.81469354767324</v>
      </c>
      <c r="AA477" s="6">
        <f>('TE BE'!$AB$40+'TE BF'!$AB$40+'TE CVA'!$AB$40)*1</f>
        <v>114.76529888966962</v>
      </c>
      <c r="AB477" s="6">
        <f>$K$477*$V$477</f>
        <v>0</v>
      </c>
      <c r="AC477" s="6">
        <f>$M$477*$W$477</f>
        <v>53.812000000000005</v>
      </c>
      <c r="AD477" s="6">
        <f>$O$477*$X$477</f>
        <v>26.794</v>
      </c>
      <c r="AE477" s="6">
        <f>$K$477*$Y$477</f>
        <v>0</v>
      </c>
      <c r="AF477" s="6">
        <f ca="1">$M$477*$Z$477</f>
        <v>68.762938709534652</v>
      </c>
      <c r="AG477" s="6">
        <f>$O$477*$AA$477</f>
        <v>22.953059777933927</v>
      </c>
    </row>
    <row r="478" spans="1:33" ht="11.25" customHeight="1" x14ac:dyDescent="0.25">
      <c r="A478" s="4" t="s">
        <v>21</v>
      </c>
      <c r="B478" s="4" t="s">
        <v>33</v>
      </c>
      <c r="C478" s="4" t="s">
        <v>23</v>
      </c>
      <c r="D478" s="4" t="s">
        <v>44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44743</v>
      </c>
      <c r="J478" s="6">
        <v>0</v>
      </c>
      <c r="K478" s="6">
        <v>0</v>
      </c>
      <c r="L478" s="6">
        <v>155.661</v>
      </c>
      <c r="M478" s="6">
        <v>155.661</v>
      </c>
      <c r="N478" s="6">
        <v>155.661</v>
      </c>
      <c r="O478" s="6">
        <v>155.661</v>
      </c>
      <c r="P478" s="6">
        <v>217</v>
      </c>
      <c r="Q478" s="4" t="s">
        <v>26</v>
      </c>
      <c r="R478" s="4">
        <v>0</v>
      </c>
      <c r="S478" s="6">
        <v>0</v>
      </c>
      <c r="T478" s="6">
        <v>26</v>
      </c>
      <c r="U478" s="6">
        <v>75</v>
      </c>
      <c r="V478" s="6">
        <f>IF(ISERROR(VLOOKUP($S$478,'TAR FIN'!$A$1:$O$91,15,0)),0,VLOOKUP($S$478,'TAR FIN'!$A$1:$O$91,15,0))</f>
        <v>0</v>
      </c>
      <c r="W478" s="6">
        <f>IF(ISERROR(VLOOKUP($T$478,'TAR FIN'!$A$1:$O$91,15,0)),0,VLOOKUP($T$478,'TAR FIN'!$A$1:$O$91,15,0))</f>
        <v>269.06</v>
      </c>
      <c r="X478" s="6">
        <f>IF(ISERROR(VLOOKUP($U$478,'TAR FIN'!$A$1:$O$91,15,0)),0,VLOOKUP($U$478,'TAR FIN'!$A$1:$O$91,15,0))</f>
        <v>133.97</v>
      </c>
      <c r="Y478" s="6"/>
      <c r="Z478" s="6">
        <f ca="1">('TUSD BE'!$AM$52+'TUSD BF'!$AM$52+'TUSD CVA'!$AM$52)*1</f>
        <v>343.81469354767324</v>
      </c>
      <c r="AA478" s="6">
        <f>('TE BE'!$AB$40+'TE BF'!$AB$40+'TE CVA'!$AB$40)*1</f>
        <v>114.76529888966962</v>
      </c>
      <c r="AB478" s="6">
        <f>$K$478*$V$478</f>
        <v>0</v>
      </c>
      <c r="AC478" s="6">
        <f>$M$478*$W$478</f>
        <v>41882.148659999999</v>
      </c>
      <c r="AD478" s="6">
        <f>$O$478*$X$478</f>
        <v>20853.904170000002</v>
      </c>
      <c r="AE478" s="6">
        <f>$K$478*$Y$478</f>
        <v>0</v>
      </c>
      <c r="AF478" s="6">
        <f ca="1">$M$478*$Z$478</f>
        <v>53518.539012324363</v>
      </c>
      <c r="AG478" s="6">
        <f>$O$478*$AA$478</f>
        <v>17864.481190464863</v>
      </c>
    </row>
    <row r="479" spans="1:33" ht="11.25" customHeight="1" x14ac:dyDescent="0.25">
      <c r="A479" s="4" t="s">
        <v>28</v>
      </c>
      <c r="B479" s="4" t="s">
        <v>33</v>
      </c>
      <c r="C479" s="4" t="s">
        <v>23</v>
      </c>
      <c r="D479" s="4" t="s">
        <v>44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44743</v>
      </c>
      <c r="J479" s="6">
        <v>0</v>
      </c>
      <c r="K479" s="6">
        <v>0</v>
      </c>
      <c r="L479" s="6">
        <v>0.2</v>
      </c>
      <c r="M479" s="6">
        <v>0.2</v>
      </c>
      <c r="N479" s="6">
        <v>0.2</v>
      </c>
      <c r="O479" s="6">
        <v>0.2</v>
      </c>
      <c r="P479" s="6">
        <v>2</v>
      </c>
      <c r="Q479" s="4" t="s">
        <v>26</v>
      </c>
      <c r="R479" s="4">
        <v>0</v>
      </c>
      <c r="S479" s="6">
        <v>0</v>
      </c>
      <c r="T479" s="6">
        <v>26</v>
      </c>
      <c r="U479" s="6">
        <v>75</v>
      </c>
      <c r="V479" s="6">
        <f>IF(ISERROR(VLOOKUP($S$479,'TAR FIN'!$A$1:$O$91,15,0)),0,VLOOKUP($S$479,'TAR FIN'!$A$1:$O$91,15,0))</f>
        <v>0</v>
      </c>
      <c r="W479" s="6">
        <f>IF(ISERROR(VLOOKUP($T$479,'TAR FIN'!$A$1:$O$91,15,0)),0,VLOOKUP($T$479,'TAR FIN'!$A$1:$O$91,15,0))</f>
        <v>269.06</v>
      </c>
      <c r="X479" s="6">
        <f>IF(ISERROR(VLOOKUP($U$479,'TAR FIN'!$A$1:$O$91,15,0)),0,VLOOKUP($U$479,'TAR FIN'!$A$1:$O$91,15,0))</f>
        <v>133.97</v>
      </c>
      <c r="Y479" s="6"/>
      <c r="Z479" s="6">
        <f ca="1">('TUSD BE'!$AM$52+'TUSD BF'!$AM$52+'TUSD CVA'!$AM$52)*1</f>
        <v>343.81469354767324</v>
      </c>
      <c r="AA479" s="6">
        <f>('TE BE'!$AB$40+'TE BF'!$AB$40+'TE CVA'!$AB$40)*1</f>
        <v>114.76529888966962</v>
      </c>
      <c r="AB479" s="6">
        <f>$K$479*$V$479</f>
        <v>0</v>
      </c>
      <c r="AC479" s="6">
        <f>$M$479*$W$479</f>
        <v>53.812000000000005</v>
      </c>
      <c r="AD479" s="6">
        <f>$O$479*$X$479</f>
        <v>26.794</v>
      </c>
      <c r="AE479" s="6">
        <f>$K$479*$Y$479</f>
        <v>0</v>
      </c>
      <c r="AF479" s="6">
        <f ca="1">$M$479*$Z$479</f>
        <v>68.762938709534652</v>
      </c>
      <c r="AG479" s="6">
        <f>$O$479*$AA$479</f>
        <v>22.953059777933927</v>
      </c>
    </row>
    <row r="480" spans="1:33" ht="11.25" customHeight="1" x14ac:dyDescent="0.25">
      <c r="A480" s="4" t="s">
        <v>57</v>
      </c>
      <c r="B480" s="4" t="s">
        <v>33</v>
      </c>
      <c r="C480" s="4" t="s">
        <v>23</v>
      </c>
      <c r="D480" s="4" t="s">
        <v>44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44774</v>
      </c>
      <c r="J480" s="6">
        <v>0</v>
      </c>
      <c r="K480" s="6">
        <v>0</v>
      </c>
      <c r="L480" s="6">
        <v>155.661</v>
      </c>
      <c r="M480" s="6">
        <v>155.661</v>
      </c>
      <c r="N480" s="6">
        <v>155.661</v>
      </c>
      <c r="O480" s="6">
        <v>155.661</v>
      </c>
      <c r="P480" s="6">
        <v>217</v>
      </c>
      <c r="Q480" s="4" t="s">
        <v>26</v>
      </c>
      <c r="R480" s="4">
        <v>0</v>
      </c>
      <c r="S480" s="6">
        <v>0</v>
      </c>
      <c r="T480" s="6">
        <v>26</v>
      </c>
      <c r="U480" s="6">
        <v>75</v>
      </c>
      <c r="V480" s="6">
        <f>IF(ISERROR(VLOOKUP($S$480,'TAR FIN'!$A$1:$O$91,15,0)),0,VLOOKUP($S$480,'TAR FIN'!$A$1:$O$91,15,0))</f>
        <v>0</v>
      </c>
      <c r="W480" s="6">
        <f>IF(ISERROR(VLOOKUP($T$480,'TAR FIN'!$A$1:$O$91,15,0)),0,VLOOKUP($T$480,'TAR FIN'!$A$1:$O$91,15,0))</f>
        <v>269.06</v>
      </c>
      <c r="X480" s="6">
        <f>IF(ISERROR(VLOOKUP($U$480,'TAR FIN'!$A$1:$O$91,15,0)),0,VLOOKUP($U$480,'TAR FIN'!$A$1:$O$91,15,0))</f>
        <v>133.97</v>
      </c>
      <c r="Y480" s="6"/>
      <c r="Z480" s="6">
        <f ca="1">('TUSD BE'!$AM$52+'TUSD BF'!$AM$52+'TUSD CVA'!$AM$52)*1</f>
        <v>343.81469354767324</v>
      </c>
      <c r="AA480" s="6">
        <f>('TE BE'!$AB$40+'TE BF'!$AB$40+'TE CVA'!$AB$40)*1</f>
        <v>114.76529888966962</v>
      </c>
      <c r="AB480" s="6">
        <f>$K$480*$V$480</f>
        <v>0</v>
      </c>
      <c r="AC480" s="6">
        <f>$M$480*$W$480</f>
        <v>41882.148659999999</v>
      </c>
      <c r="AD480" s="6">
        <f>$O$480*$X$480</f>
        <v>20853.904170000002</v>
      </c>
      <c r="AE480" s="6">
        <f>$K$480*$Y$480</f>
        <v>0</v>
      </c>
      <c r="AF480" s="6">
        <f ca="1">$M$480*$Z$480</f>
        <v>53518.539012324363</v>
      </c>
      <c r="AG480" s="6">
        <f>$O$480*$AA$480</f>
        <v>17864.481190464863</v>
      </c>
    </row>
    <row r="481" spans="1:33" ht="11.25" customHeight="1" x14ac:dyDescent="0.25">
      <c r="A481" s="4" t="s">
        <v>57</v>
      </c>
      <c r="B481" s="4" t="s">
        <v>33</v>
      </c>
      <c r="C481" s="4" t="s">
        <v>23</v>
      </c>
      <c r="D481" s="4" t="s">
        <v>44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44774</v>
      </c>
      <c r="J481" s="6">
        <v>0</v>
      </c>
      <c r="K481" s="6">
        <v>0</v>
      </c>
      <c r="L481" s="6">
        <v>0.2</v>
      </c>
      <c r="M481" s="6">
        <v>0.2</v>
      </c>
      <c r="N481" s="6">
        <v>0.2</v>
      </c>
      <c r="O481" s="6">
        <v>0.2</v>
      </c>
      <c r="P481" s="6">
        <v>2</v>
      </c>
      <c r="Q481" s="4" t="s">
        <v>26</v>
      </c>
      <c r="R481" s="4">
        <v>0</v>
      </c>
      <c r="S481" s="6">
        <v>0</v>
      </c>
      <c r="T481" s="6">
        <v>26</v>
      </c>
      <c r="U481" s="6">
        <v>75</v>
      </c>
      <c r="V481" s="6">
        <f>IF(ISERROR(VLOOKUP($S$481,'TAR FIN'!$A$1:$O$91,15,0)),0,VLOOKUP($S$481,'TAR FIN'!$A$1:$O$91,15,0))</f>
        <v>0</v>
      </c>
      <c r="W481" s="6">
        <f>IF(ISERROR(VLOOKUP($T$481,'TAR FIN'!$A$1:$O$91,15,0)),0,VLOOKUP($T$481,'TAR FIN'!$A$1:$O$91,15,0))</f>
        <v>269.06</v>
      </c>
      <c r="X481" s="6">
        <f>IF(ISERROR(VLOOKUP($U$481,'TAR FIN'!$A$1:$O$91,15,0)),0,VLOOKUP($U$481,'TAR FIN'!$A$1:$O$91,15,0))</f>
        <v>133.97</v>
      </c>
      <c r="Y481" s="6"/>
      <c r="Z481" s="6">
        <f ca="1">('TUSD BE'!$AM$52+'TUSD BF'!$AM$52+'TUSD CVA'!$AM$52)*1</f>
        <v>343.81469354767324</v>
      </c>
      <c r="AA481" s="6">
        <f>('TE BE'!$AB$40+'TE BF'!$AB$40+'TE CVA'!$AB$40)*1</f>
        <v>114.76529888966962</v>
      </c>
      <c r="AB481" s="6">
        <f>$K$481*$V$481</f>
        <v>0</v>
      </c>
      <c r="AC481" s="6">
        <f>$M$481*$W$481</f>
        <v>53.812000000000005</v>
      </c>
      <c r="AD481" s="6">
        <f>$O$481*$X$481</f>
        <v>26.794</v>
      </c>
      <c r="AE481" s="6">
        <f>$K$481*$Y$481</f>
        <v>0</v>
      </c>
      <c r="AF481" s="6">
        <f ca="1">$M$481*$Z$481</f>
        <v>68.762938709534652</v>
      </c>
      <c r="AG481" s="6">
        <f>$O$481*$AA$481</f>
        <v>22.953059777933927</v>
      </c>
    </row>
    <row r="482" spans="1:33" ht="11.25" customHeight="1" x14ac:dyDescent="0.25">
      <c r="A482" s="4" t="s">
        <v>21</v>
      </c>
      <c r="B482" s="4" t="s">
        <v>33</v>
      </c>
      <c r="C482" s="4" t="s">
        <v>23</v>
      </c>
      <c r="D482" s="4" t="s">
        <v>48</v>
      </c>
      <c r="E482" s="4" t="s">
        <v>49</v>
      </c>
      <c r="F482" s="4" t="s">
        <v>25</v>
      </c>
      <c r="G482" s="4" t="s">
        <v>25</v>
      </c>
      <c r="H482" s="4" t="s">
        <v>25</v>
      </c>
      <c r="I482" s="5">
        <v>44440</v>
      </c>
      <c r="J482" s="6">
        <v>0</v>
      </c>
      <c r="K482" s="59">
        <v>0</v>
      </c>
      <c r="L482" s="6">
        <v>76.369</v>
      </c>
      <c r="M482" s="59">
        <v>76.369</v>
      </c>
      <c r="N482" s="6">
        <v>76.369</v>
      </c>
      <c r="O482" s="59">
        <v>76.369</v>
      </c>
      <c r="P482" s="6">
        <v>29</v>
      </c>
      <c r="Q482" s="4" t="s">
        <v>26</v>
      </c>
      <c r="R482" s="4">
        <v>0</v>
      </c>
      <c r="S482" s="6">
        <v>0</v>
      </c>
      <c r="T482" s="6">
        <v>26</v>
      </c>
      <c r="U482" s="6">
        <v>75</v>
      </c>
      <c r="V482" s="59">
        <f>IF(ISERROR(VLOOKUP($S$482,'TAR FIN'!$A$1:$O$91,15,0)),0,VLOOKUP($S$482,'TAR FIN'!$A$1:$O$91,15,0))</f>
        <v>0</v>
      </c>
      <c r="W482" s="59">
        <f>IF(ISERROR(VLOOKUP($T$482,'TAR FIN'!$A$1:$O$91,15,0)),0,VLOOKUP($T$482,'TAR FIN'!$A$1:$O$91,15,0))*(1-0.06)</f>
        <v>252.91639999999998</v>
      </c>
      <c r="X482" s="59">
        <f>IF(ISERROR(VLOOKUP($U$482,'TAR FIN'!$A$1:$O$91,15,0)),0,VLOOKUP($U$482,'TAR FIN'!$A$1:$O$91,15,0))*(1-0.06)</f>
        <v>125.9318</v>
      </c>
      <c r="Y482" s="59"/>
      <c r="Z482" s="59">
        <f ca="1">('TUSD BE'!$AM$52+'TUSD BF'!$AM$52+'TUSD CVA'!$AM$52)*1*(1-0.03)</f>
        <v>333.50025274124306</v>
      </c>
      <c r="AA482" s="59">
        <f>('TE BE'!$AB$40+'TE BF'!$AB$40+'TE CVA'!$AB$40)*1*(1-0.03)</f>
        <v>111.32233992297954</v>
      </c>
      <c r="AB482" s="6">
        <f>$K$482*$V$482</f>
        <v>0</v>
      </c>
      <c r="AC482" s="6">
        <f>$M$482*$W$482</f>
        <v>19314.9725516</v>
      </c>
      <c r="AD482" s="6">
        <f>$O$482*$X$482</f>
        <v>9617.2856341999995</v>
      </c>
      <c r="AE482" s="6">
        <f>$K$482*$Y$482</f>
        <v>0</v>
      </c>
      <c r="AF482" s="6">
        <f ca="1">$M$482*$Z$482</f>
        <v>25469.080801595992</v>
      </c>
      <c r="AG482" s="6">
        <f>$O$482*$AA$482</f>
        <v>8501.5757775780239</v>
      </c>
    </row>
    <row r="483" spans="1:33" ht="11.25" customHeight="1" x14ac:dyDescent="0.25">
      <c r="A483" s="4" t="s">
        <v>21</v>
      </c>
      <c r="B483" s="4" t="s">
        <v>33</v>
      </c>
      <c r="C483" s="4" t="s">
        <v>23</v>
      </c>
      <c r="D483" s="4" t="s">
        <v>48</v>
      </c>
      <c r="E483" s="4" t="s">
        <v>49</v>
      </c>
      <c r="F483" s="4" t="s">
        <v>25</v>
      </c>
      <c r="G483" s="4" t="s">
        <v>25</v>
      </c>
      <c r="H483" s="4" t="s">
        <v>25</v>
      </c>
      <c r="I483" s="5">
        <v>44470</v>
      </c>
      <c r="J483" s="6">
        <v>0</v>
      </c>
      <c r="K483" s="59">
        <v>0</v>
      </c>
      <c r="L483" s="6">
        <v>77.210999999999999</v>
      </c>
      <c r="M483" s="59">
        <v>77.210999999999999</v>
      </c>
      <c r="N483" s="6">
        <v>77.210999999999999</v>
      </c>
      <c r="O483" s="59">
        <v>77.210999999999999</v>
      </c>
      <c r="P483" s="6">
        <v>28</v>
      </c>
      <c r="Q483" s="4" t="s">
        <v>26</v>
      </c>
      <c r="R483" s="4">
        <v>0</v>
      </c>
      <c r="S483" s="6">
        <v>0</v>
      </c>
      <c r="T483" s="6">
        <v>26</v>
      </c>
      <c r="U483" s="6">
        <v>75</v>
      </c>
      <c r="V483" s="59">
        <f>IF(ISERROR(VLOOKUP($S$483,'TAR FIN'!$A$1:$O$91,15,0)),0,VLOOKUP($S$483,'TAR FIN'!$A$1:$O$91,15,0))</f>
        <v>0</v>
      </c>
      <c r="W483" s="59">
        <f>IF(ISERROR(VLOOKUP($T$483,'TAR FIN'!$A$1:$O$91,15,0)),0,VLOOKUP($T$483,'TAR FIN'!$A$1:$O$91,15,0))*(1-0.06)</f>
        <v>252.91639999999998</v>
      </c>
      <c r="X483" s="59">
        <f>IF(ISERROR(VLOOKUP($U$483,'TAR FIN'!$A$1:$O$91,15,0)),0,VLOOKUP($U$483,'TAR FIN'!$A$1:$O$91,15,0))*(1-0.06)</f>
        <v>125.9318</v>
      </c>
      <c r="Y483" s="59"/>
      <c r="Z483" s="59">
        <f ca="1">('TUSD BE'!$AM$52+'TUSD BF'!$AM$52+'TUSD CVA'!$AM$52)*1*(1-0.03)</f>
        <v>333.50025274124306</v>
      </c>
      <c r="AA483" s="59">
        <f>('TE BE'!$AB$40+'TE BF'!$AB$40+'TE CVA'!$AB$40)*1*(1-0.03)</f>
        <v>111.32233992297954</v>
      </c>
      <c r="AB483" s="6">
        <f>$K$483*$V$483</f>
        <v>0</v>
      </c>
      <c r="AC483" s="6">
        <f>$M$483*$W$483</f>
        <v>19527.928160399999</v>
      </c>
      <c r="AD483" s="6">
        <f>$O$483*$X$483</f>
        <v>9723.3202098000002</v>
      </c>
      <c r="AE483" s="6">
        <f>$K$483*$Y$483</f>
        <v>0</v>
      </c>
      <c r="AF483" s="6">
        <f ca="1">$M$483*$Z$483</f>
        <v>25749.888014404118</v>
      </c>
      <c r="AG483" s="6">
        <f>$O$483*$AA$483</f>
        <v>8595.3091877931729</v>
      </c>
    </row>
    <row r="484" spans="1:33" ht="11.25" customHeight="1" x14ac:dyDescent="0.25">
      <c r="A484" s="4" t="s">
        <v>21</v>
      </c>
      <c r="B484" s="4" t="s">
        <v>33</v>
      </c>
      <c r="C484" s="4" t="s">
        <v>23</v>
      </c>
      <c r="D484" s="4" t="s">
        <v>48</v>
      </c>
      <c r="E484" s="4" t="s">
        <v>49</v>
      </c>
      <c r="F484" s="4" t="s">
        <v>25</v>
      </c>
      <c r="G484" s="4" t="s">
        <v>25</v>
      </c>
      <c r="H484" s="4" t="s">
        <v>25</v>
      </c>
      <c r="I484" s="5">
        <v>44501</v>
      </c>
      <c r="J484" s="6">
        <v>0</v>
      </c>
      <c r="K484" s="59">
        <v>0</v>
      </c>
      <c r="L484" s="6">
        <v>74.158000000000001</v>
      </c>
      <c r="M484" s="59">
        <v>74.158000000000001</v>
      </c>
      <c r="N484" s="6">
        <v>74.158000000000001</v>
      </c>
      <c r="O484" s="59">
        <v>74.158000000000001</v>
      </c>
      <c r="P484" s="6">
        <v>28</v>
      </c>
      <c r="Q484" s="4" t="s">
        <v>26</v>
      </c>
      <c r="R484" s="4">
        <v>0</v>
      </c>
      <c r="S484" s="6">
        <v>0</v>
      </c>
      <c r="T484" s="6">
        <v>26</v>
      </c>
      <c r="U484" s="6">
        <v>75</v>
      </c>
      <c r="V484" s="59">
        <f>IF(ISERROR(VLOOKUP($S$484,'TAR FIN'!$A$1:$O$91,15,0)),0,VLOOKUP($S$484,'TAR FIN'!$A$1:$O$91,15,0))</f>
        <v>0</v>
      </c>
      <c r="W484" s="59">
        <f>IF(ISERROR(VLOOKUP($T$484,'TAR FIN'!$A$1:$O$91,15,0)),0,VLOOKUP($T$484,'TAR FIN'!$A$1:$O$91,15,0))*(1-0.06)</f>
        <v>252.91639999999998</v>
      </c>
      <c r="X484" s="59">
        <f>IF(ISERROR(VLOOKUP($U$484,'TAR FIN'!$A$1:$O$91,15,0)),0,VLOOKUP($U$484,'TAR FIN'!$A$1:$O$91,15,0))*(1-0.06)</f>
        <v>125.9318</v>
      </c>
      <c r="Y484" s="59"/>
      <c r="Z484" s="59">
        <f ca="1">('TUSD BE'!$AM$52+'TUSD BF'!$AM$52+'TUSD CVA'!$AM$52)*1*(1-0.03)</f>
        <v>333.50025274124306</v>
      </c>
      <c r="AA484" s="59">
        <f>('TE BE'!$AB$40+'TE BF'!$AB$40+'TE CVA'!$AB$40)*1*(1-0.03)</f>
        <v>111.32233992297954</v>
      </c>
      <c r="AB484" s="6">
        <f>$K$484*$V$484</f>
        <v>0</v>
      </c>
      <c r="AC484" s="6">
        <f>$M$484*$W$484</f>
        <v>18755.774391200001</v>
      </c>
      <c r="AD484" s="6">
        <f>$O$484*$X$484</f>
        <v>9338.8504243999996</v>
      </c>
      <c r="AE484" s="6">
        <f>$K$484*$Y$484</f>
        <v>0</v>
      </c>
      <c r="AF484" s="6">
        <f ca="1">$M$484*$Z$484</f>
        <v>24731.711742785104</v>
      </c>
      <c r="AG484" s="6">
        <f>$O$484*$AA$484</f>
        <v>8255.4420840083167</v>
      </c>
    </row>
    <row r="485" spans="1:33" ht="11.25" customHeight="1" x14ac:dyDescent="0.25">
      <c r="A485" s="4" t="s">
        <v>21</v>
      </c>
      <c r="B485" s="4" t="s">
        <v>33</v>
      </c>
      <c r="C485" s="4" t="s">
        <v>23</v>
      </c>
      <c r="D485" s="4" t="s">
        <v>48</v>
      </c>
      <c r="E485" s="4" t="s">
        <v>49</v>
      </c>
      <c r="F485" s="4" t="s">
        <v>25</v>
      </c>
      <c r="G485" s="4" t="s">
        <v>25</v>
      </c>
      <c r="H485" s="4" t="s">
        <v>25</v>
      </c>
      <c r="I485" s="5">
        <v>44531</v>
      </c>
      <c r="J485" s="6">
        <v>0</v>
      </c>
      <c r="K485" s="59">
        <v>0</v>
      </c>
      <c r="L485" s="6">
        <v>73.266000000000005</v>
      </c>
      <c r="M485" s="59">
        <v>73.266000000000005</v>
      </c>
      <c r="N485" s="6">
        <v>73.266000000000005</v>
      </c>
      <c r="O485" s="59">
        <v>73.266000000000005</v>
      </c>
      <c r="P485" s="6">
        <v>28</v>
      </c>
      <c r="Q485" s="4" t="s">
        <v>26</v>
      </c>
      <c r="R485" s="4">
        <v>0</v>
      </c>
      <c r="S485" s="6">
        <v>0</v>
      </c>
      <c r="T485" s="6">
        <v>26</v>
      </c>
      <c r="U485" s="6">
        <v>75</v>
      </c>
      <c r="V485" s="59">
        <f>IF(ISERROR(VLOOKUP($S$485,'TAR FIN'!$A$1:$O$91,15,0)),0,VLOOKUP($S$485,'TAR FIN'!$A$1:$O$91,15,0))</f>
        <v>0</v>
      </c>
      <c r="W485" s="59">
        <f>IF(ISERROR(VLOOKUP($T$485,'TAR FIN'!$A$1:$O$91,15,0)),0,VLOOKUP($T$485,'TAR FIN'!$A$1:$O$91,15,0))*(1-0.06)</f>
        <v>252.91639999999998</v>
      </c>
      <c r="X485" s="59">
        <f>IF(ISERROR(VLOOKUP($U$485,'TAR FIN'!$A$1:$O$91,15,0)),0,VLOOKUP($U$485,'TAR FIN'!$A$1:$O$91,15,0))*(1-0.06)</f>
        <v>125.9318</v>
      </c>
      <c r="Y485" s="59"/>
      <c r="Z485" s="59">
        <f ca="1">('TUSD BE'!$AM$52+'TUSD BF'!$AM$52+'TUSD CVA'!$AM$52)*1*(1-0.03)</f>
        <v>333.50025274124306</v>
      </c>
      <c r="AA485" s="59">
        <f>('TE BE'!$AB$40+'TE BF'!$AB$40+'TE CVA'!$AB$40)*1*(1-0.03)</f>
        <v>111.32233992297954</v>
      </c>
      <c r="AB485" s="6">
        <f>$K$485*$V$485</f>
        <v>0</v>
      </c>
      <c r="AC485" s="6">
        <f>$M$485*$W$485</f>
        <v>18530.1729624</v>
      </c>
      <c r="AD485" s="6">
        <f>$O$485*$X$485</f>
        <v>9226.5192588000009</v>
      </c>
      <c r="AE485" s="6">
        <f>$K$485*$Y$485</f>
        <v>0</v>
      </c>
      <c r="AF485" s="6">
        <f ca="1">$M$485*$Z$485</f>
        <v>24434.229517339914</v>
      </c>
      <c r="AG485" s="6">
        <f>$O$485*$AA$485</f>
        <v>8156.1425567970191</v>
      </c>
    </row>
    <row r="486" spans="1:33" ht="11.25" customHeight="1" x14ac:dyDescent="0.25">
      <c r="A486" s="4" t="s">
        <v>21</v>
      </c>
      <c r="B486" s="4" t="s">
        <v>33</v>
      </c>
      <c r="C486" s="4" t="s">
        <v>23</v>
      </c>
      <c r="D486" s="4" t="s">
        <v>48</v>
      </c>
      <c r="E486" s="4" t="s">
        <v>49</v>
      </c>
      <c r="F486" s="4" t="s">
        <v>25</v>
      </c>
      <c r="G486" s="4" t="s">
        <v>25</v>
      </c>
      <c r="H486" s="4" t="s">
        <v>25</v>
      </c>
      <c r="I486" s="5">
        <v>44562</v>
      </c>
      <c r="J486" s="6">
        <v>0</v>
      </c>
      <c r="K486" s="59">
        <v>0</v>
      </c>
      <c r="L486" s="6">
        <v>77.051000000000002</v>
      </c>
      <c r="M486" s="59">
        <v>77.051000000000002</v>
      </c>
      <c r="N486" s="6">
        <v>77.051000000000002</v>
      </c>
      <c r="O486" s="59">
        <v>77.051000000000002</v>
      </c>
      <c r="P486" s="6">
        <v>28</v>
      </c>
      <c r="Q486" s="4" t="s">
        <v>26</v>
      </c>
      <c r="R486" s="4">
        <v>0</v>
      </c>
      <c r="S486" s="6">
        <v>0</v>
      </c>
      <c r="T486" s="6">
        <v>26</v>
      </c>
      <c r="U486" s="6">
        <v>75</v>
      </c>
      <c r="V486" s="59">
        <f>IF(ISERROR(VLOOKUP($S$486,'TAR FIN'!$A$1:$O$91,15,0)),0,VLOOKUP($S$486,'TAR FIN'!$A$1:$O$91,15,0))</f>
        <v>0</v>
      </c>
      <c r="W486" s="59">
        <f>IF(ISERROR(VLOOKUP($T$486,'TAR FIN'!$A$1:$O$91,15,0)),0,VLOOKUP($T$486,'TAR FIN'!$A$1:$O$91,15,0))*(1-0.06)</f>
        <v>252.91639999999998</v>
      </c>
      <c r="X486" s="59">
        <f>IF(ISERROR(VLOOKUP($U$486,'TAR FIN'!$A$1:$O$91,15,0)),0,VLOOKUP($U$486,'TAR FIN'!$A$1:$O$91,15,0))*(1-0.06)</f>
        <v>125.9318</v>
      </c>
      <c r="Y486" s="59"/>
      <c r="Z486" s="59">
        <f ca="1">('TUSD BE'!$AM$52+'TUSD BF'!$AM$52+'TUSD CVA'!$AM$52)*1*(1-0.03)</f>
        <v>333.50025274124306</v>
      </c>
      <c r="AA486" s="59">
        <f>('TE BE'!$AB$40+'TE BF'!$AB$40+'TE CVA'!$AB$40)*1*(1-0.03)</f>
        <v>111.32233992297954</v>
      </c>
      <c r="AB486" s="6">
        <f>$K$486*$V$486</f>
        <v>0</v>
      </c>
      <c r="AC486" s="6">
        <f>$M$486*$W$486</f>
        <v>19487.461536399998</v>
      </c>
      <c r="AD486" s="6">
        <f>$O$486*$X$486</f>
        <v>9703.1711218</v>
      </c>
      <c r="AE486" s="6">
        <f>$K$486*$Y$486</f>
        <v>0</v>
      </c>
      <c r="AF486" s="6">
        <f ca="1">$M$486*$Z$486</f>
        <v>25696.52797396552</v>
      </c>
      <c r="AG486" s="6">
        <f>$O$486*$AA$486</f>
        <v>8577.4976134054959</v>
      </c>
    </row>
    <row r="487" spans="1:33" ht="11.25" customHeight="1" x14ac:dyDescent="0.25">
      <c r="A487" s="4" t="s">
        <v>21</v>
      </c>
      <c r="B487" s="4" t="s">
        <v>33</v>
      </c>
      <c r="C487" s="4" t="s">
        <v>23</v>
      </c>
      <c r="D487" s="4" t="s">
        <v>48</v>
      </c>
      <c r="E487" s="4" t="s">
        <v>49</v>
      </c>
      <c r="F487" s="4" t="s">
        <v>25</v>
      </c>
      <c r="G487" s="4" t="s">
        <v>25</v>
      </c>
      <c r="H487" s="4" t="s">
        <v>25</v>
      </c>
      <c r="I487" s="5">
        <v>44593</v>
      </c>
      <c r="J487" s="6">
        <v>0</v>
      </c>
      <c r="K487" s="59">
        <v>0</v>
      </c>
      <c r="L487" s="6">
        <v>70.441000000000003</v>
      </c>
      <c r="M487" s="59">
        <v>70.441000000000003</v>
      </c>
      <c r="N487" s="6">
        <v>70.441000000000003</v>
      </c>
      <c r="O487" s="59">
        <v>70.441000000000003</v>
      </c>
      <c r="P487" s="6">
        <v>28</v>
      </c>
      <c r="Q487" s="4" t="s">
        <v>26</v>
      </c>
      <c r="R487" s="4">
        <v>0</v>
      </c>
      <c r="S487" s="6">
        <v>0</v>
      </c>
      <c r="T487" s="6">
        <v>26</v>
      </c>
      <c r="U487" s="6">
        <v>75</v>
      </c>
      <c r="V487" s="59">
        <f>IF(ISERROR(VLOOKUP($S$487,'TAR FIN'!$A$1:$O$91,15,0)),0,VLOOKUP($S$487,'TAR FIN'!$A$1:$O$91,15,0))</f>
        <v>0</v>
      </c>
      <c r="W487" s="59">
        <f>IF(ISERROR(VLOOKUP($T$487,'TAR FIN'!$A$1:$O$91,15,0)),0,VLOOKUP($T$487,'TAR FIN'!$A$1:$O$91,15,0))*(1-0.06)</f>
        <v>252.91639999999998</v>
      </c>
      <c r="X487" s="59">
        <f>IF(ISERROR(VLOOKUP($U$487,'TAR FIN'!$A$1:$O$91,15,0)),0,VLOOKUP($U$487,'TAR FIN'!$A$1:$O$91,15,0))*(1-0.06)</f>
        <v>125.9318</v>
      </c>
      <c r="Y487" s="59"/>
      <c r="Z487" s="59">
        <f ca="1">('TUSD BE'!$AM$52+'TUSD BF'!$AM$52+'TUSD CVA'!$AM$52)*1*(1-0.03)</f>
        <v>333.50025274124306</v>
      </c>
      <c r="AA487" s="59">
        <f>('TE BE'!$AB$40+'TE BF'!$AB$40+'TE CVA'!$AB$40)*1*(1-0.03)</f>
        <v>111.32233992297954</v>
      </c>
      <c r="AB487" s="6">
        <f>$K$487*$V$487</f>
        <v>0</v>
      </c>
      <c r="AC487" s="6">
        <f>$M$487*$W$487</f>
        <v>17815.684132399998</v>
      </c>
      <c r="AD487" s="6">
        <f>$O$487*$X$487</f>
        <v>8870.7619238000007</v>
      </c>
      <c r="AE487" s="6">
        <f>$K$487*$Y$487</f>
        <v>0</v>
      </c>
      <c r="AF487" s="6">
        <f ca="1">$M$487*$Z$487</f>
        <v>23492.091303345904</v>
      </c>
      <c r="AG487" s="6">
        <f>$O$487*$AA$487</f>
        <v>7841.6569465146022</v>
      </c>
    </row>
    <row r="488" spans="1:33" ht="11.25" customHeight="1" x14ac:dyDescent="0.25">
      <c r="A488" s="4" t="s">
        <v>21</v>
      </c>
      <c r="B488" s="4" t="s">
        <v>33</v>
      </c>
      <c r="C488" s="4" t="s">
        <v>23</v>
      </c>
      <c r="D488" s="4" t="s">
        <v>48</v>
      </c>
      <c r="E488" s="4" t="s">
        <v>49</v>
      </c>
      <c r="F488" s="4" t="s">
        <v>25</v>
      </c>
      <c r="G488" s="4" t="s">
        <v>25</v>
      </c>
      <c r="H488" s="4" t="s">
        <v>25</v>
      </c>
      <c r="I488" s="5">
        <v>44621</v>
      </c>
      <c r="J488" s="6">
        <v>0</v>
      </c>
      <c r="K488" s="59">
        <v>0</v>
      </c>
      <c r="L488" s="6">
        <v>73.941999999999993</v>
      </c>
      <c r="M488" s="59">
        <v>73.941999999999993</v>
      </c>
      <c r="N488" s="6">
        <v>73.941999999999993</v>
      </c>
      <c r="O488" s="59">
        <v>73.941999999999993</v>
      </c>
      <c r="P488" s="6">
        <v>28</v>
      </c>
      <c r="Q488" s="4" t="s">
        <v>26</v>
      </c>
      <c r="R488" s="4">
        <v>0</v>
      </c>
      <c r="S488" s="6">
        <v>0</v>
      </c>
      <c r="T488" s="6">
        <v>26</v>
      </c>
      <c r="U488" s="6">
        <v>75</v>
      </c>
      <c r="V488" s="59">
        <f>IF(ISERROR(VLOOKUP($S$488,'TAR FIN'!$A$1:$O$91,15,0)),0,VLOOKUP($S$488,'TAR FIN'!$A$1:$O$91,15,0))</f>
        <v>0</v>
      </c>
      <c r="W488" s="59">
        <f>IF(ISERROR(VLOOKUP($T$488,'TAR FIN'!$A$1:$O$91,15,0)),0,VLOOKUP($T$488,'TAR FIN'!$A$1:$O$91,15,0))*(1-0.06)</f>
        <v>252.91639999999998</v>
      </c>
      <c r="X488" s="59">
        <f>IF(ISERROR(VLOOKUP($U$488,'TAR FIN'!$A$1:$O$91,15,0)),0,VLOOKUP($U$488,'TAR FIN'!$A$1:$O$91,15,0))*(1-0.06)</f>
        <v>125.9318</v>
      </c>
      <c r="Y488" s="59"/>
      <c r="Z488" s="59">
        <f ca="1">('TUSD BE'!$AM$52+'TUSD BF'!$AM$52+'TUSD CVA'!$AM$52)*1*(1-0.03)</f>
        <v>333.50025274124306</v>
      </c>
      <c r="AA488" s="59">
        <f>('TE BE'!$AB$40+'TE BF'!$AB$40+'TE CVA'!$AB$40)*1*(1-0.03)</f>
        <v>111.32233992297954</v>
      </c>
      <c r="AB488" s="6">
        <f>$K$488*$V$488</f>
        <v>0</v>
      </c>
      <c r="AC488" s="6">
        <f>$M$488*$W$488</f>
        <v>18701.144448799998</v>
      </c>
      <c r="AD488" s="6">
        <f>$O$488*$X$488</f>
        <v>9311.6491555999983</v>
      </c>
      <c r="AE488" s="6">
        <f>$K$488*$Y$488</f>
        <v>0</v>
      </c>
      <c r="AF488" s="6">
        <f ca="1">$M$488*$Z$488</f>
        <v>24659.67568819299</v>
      </c>
      <c r="AG488" s="6">
        <f>$O$488*$AA$488</f>
        <v>8231.3964585849517</v>
      </c>
    </row>
    <row r="489" spans="1:33" ht="11.25" customHeight="1" x14ac:dyDescent="0.25">
      <c r="A489" s="4" t="s">
        <v>21</v>
      </c>
      <c r="B489" s="4" t="s">
        <v>33</v>
      </c>
      <c r="C489" s="4" t="s">
        <v>23</v>
      </c>
      <c r="D489" s="4" t="s">
        <v>48</v>
      </c>
      <c r="E489" s="4" t="s">
        <v>49</v>
      </c>
      <c r="F489" s="4" t="s">
        <v>25</v>
      </c>
      <c r="G489" s="4" t="s">
        <v>25</v>
      </c>
      <c r="H489" s="4" t="s">
        <v>25</v>
      </c>
      <c r="I489" s="5">
        <v>44652</v>
      </c>
      <c r="J489" s="6">
        <v>0</v>
      </c>
      <c r="K489" s="59">
        <v>0</v>
      </c>
      <c r="L489" s="6">
        <v>75.911000000000001</v>
      </c>
      <c r="M489" s="59">
        <v>75.911000000000001</v>
      </c>
      <c r="N489" s="6">
        <v>75.911000000000001</v>
      </c>
      <c r="O489" s="59">
        <v>75.911000000000001</v>
      </c>
      <c r="P489" s="6">
        <v>27</v>
      </c>
      <c r="Q489" s="4" t="s">
        <v>26</v>
      </c>
      <c r="R489" s="4">
        <v>0</v>
      </c>
      <c r="S489" s="6">
        <v>0</v>
      </c>
      <c r="T489" s="6">
        <v>26</v>
      </c>
      <c r="U489" s="6">
        <v>75</v>
      </c>
      <c r="V489" s="59">
        <f>IF(ISERROR(VLOOKUP($S$489,'TAR FIN'!$A$1:$O$91,15,0)),0,VLOOKUP($S$489,'TAR FIN'!$A$1:$O$91,15,0))</f>
        <v>0</v>
      </c>
      <c r="W489" s="59">
        <f>IF(ISERROR(VLOOKUP($T$489,'TAR FIN'!$A$1:$O$91,15,0)),0,VLOOKUP($T$489,'TAR FIN'!$A$1:$O$91,15,0))*(1-0.06)</f>
        <v>252.91639999999998</v>
      </c>
      <c r="X489" s="59">
        <f>IF(ISERROR(VLOOKUP($U$489,'TAR FIN'!$A$1:$O$91,15,0)),0,VLOOKUP($U$489,'TAR FIN'!$A$1:$O$91,15,0))*(1-0.06)</f>
        <v>125.9318</v>
      </c>
      <c r="Y489" s="59"/>
      <c r="Z489" s="59">
        <f ca="1">('TUSD BE'!$AM$52+'TUSD BF'!$AM$52+'TUSD CVA'!$AM$52)*1*(1-0.03)</f>
        <v>333.50025274124306</v>
      </c>
      <c r="AA489" s="59">
        <f>('TE BE'!$AB$40+'TE BF'!$AB$40+'TE CVA'!$AB$40)*1*(1-0.03)</f>
        <v>111.32233992297954</v>
      </c>
      <c r="AB489" s="6">
        <f>$K$489*$V$489</f>
        <v>0</v>
      </c>
      <c r="AC489" s="6">
        <f>$M$489*$W$489</f>
        <v>19199.136840399999</v>
      </c>
      <c r="AD489" s="6">
        <f>$O$489*$X$489</f>
        <v>9559.6088698000003</v>
      </c>
      <c r="AE489" s="6">
        <f>$K$489*$Y$489</f>
        <v>0</v>
      </c>
      <c r="AF489" s="6">
        <f ca="1">$M$489*$Z$489</f>
        <v>25316.337685840503</v>
      </c>
      <c r="AG489" s="6">
        <f>$O$489*$AA$489</f>
        <v>8450.5901458933004</v>
      </c>
    </row>
    <row r="490" spans="1:33" ht="11.25" customHeight="1" x14ac:dyDescent="0.25">
      <c r="A490" s="4" t="s">
        <v>21</v>
      </c>
      <c r="B490" s="4" t="s">
        <v>33</v>
      </c>
      <c r="C490" s="4" t="s">
        <v>23</v>
      </c>
      <c r="D490" s="4" t="s">
        <v>48</v>
      </c>
      <c r="E490" s="4" t="s">
        <v>49</v>
      </c>
      <c r="F490" s="4" t="s">
        <v>25</v>
      </c>
      <c r="G490" s="4" t="s">
        <v>25</v>
      </c>
      <c r="H490" s="4" t="s">
        <v>25</v>
      </c>
      <c r="I490" s="5">
        <v>44682</v>
      </c>
      <c r="J490" s="6">
        <v>0</v>
      </c>
      <c r="K490" s="59">
        <v>0</v>
      </c>
      <c r="L490" s="6">
        <v>72.224999999999994</v>
      </c>
      <c r="M490" s="59">
        <v>72.224999999999994</v>
      </c>
      <c r="N490" s="6">
        <v>72.224999999999994</v>
      </c>
      <c r="O490" s="59">
        <v>72.224999999999994</v>
      </c>
      <c r="P490" s="6">
        <v>27</v>
      </c>
      <c r="Q490" s="4" t="s">
        <v>26</v>
      </c>
      <c r="R490" s="4">
        <v>0</v>
      </c>
      <c r="S490" s="6">
        <v>0</v>
      </c>
      <c r="T490" s="6">
        <v>26</v>
      </c>
      <c r="U490" s="6">
        <v>75</v>
      </c>
      <c r="V490" s="59">
        <f>IF(ISERROR(VLOOKUP($S$490,'TAR FIN'!$A$1:$O$91,15,0)),0,VLOOKUP($S$490,'TAR FIN'!$A$1:$O$91,15,0))</f>
        <v>0</v>
      </c>
      <c r="W490" s="59">
        <f>IF(ISERROR(VLOOKUP($T$490,'TAR FIN'!$A$1:$O$91,15,0)),0,VLOOKUP($T$490,'TAR FIN'!$A$1:$O$91,15,0))*(1-0.06)</f>
        <v>252.91639999999998</v>
      </c>
      <c r="X490" s="59">
        <f>IF(ISERROR(VLOOKUP($U$490,'TAR FIN'!$A$1:$O$91,15,0)),0,VLOOKUP($U$490,'TAR FIN'!$A$1:$O$91,15,0))*(1-0.06)</f>
        <v>125.9318</v>
      </c>
      <c r="Y490" s="59"/>
      <c r="Z490" s="59">
        <f ca="1">('TUSD BE'!$AM$52+'TUSD BF'!$AM$52+'TUSD CVA'!$AM$52)*1*(1-0.03)</f>
        <v>333.50025274124306</v>
      </c>
      <c r="AA490" s="59">
        <f>('TE BE'!$AB$40+'TE BF'!$AB$40+'TE CVA'!$AB$40)*1*(1-0.03)</f>
        <v>111.32233992297954</v>
      </c>
      <c r="AB490" s="6">
        <f>$K$490*$V$490</f>
        <v>0</v>
      </c>
      <c r="AC490" s="6">
        <f>$M$490*$W$490</f>
        <v>18266.886989999995</v>
      </c>
      <c r="AD490" s="6">
        <f>$O$490*$X$490</f>
        <v>9095.4242549999981</v>
      </c>
      <c r="AE490" s="6">
        <f>$K$490*$Y$490</f>
        <v>0</v>
      </c>
      <c r="AF490" s="6">
        <f ca="1">$M$490*$Z$490</f>
        <v>24087.055754236277</v>
      </c>
      <c r="AG490" s="6">
        <f>$O$490*$AA$490</f>
        <v>8040.2560009371964</v>
      </c>
    </row>
    <row r="491" spans="1:33" ht="11.25" customHeight="1" x14ac:dyDescent="0.25">
      <c r="A491" s="4" t="s">
        <v>21</v>
      </c>
      <c r="B491" s="4" t="s">
        <v>33</v>
      </c>
      <c r="C491" s="4" t="s">
        <v>23</v>
      </c>
      <c r="D491" s="4" t="s">
        <v>48</v>
      </c>
      <c r="E491" s="4" t="s">
        <v>49</v>
      </c>
      <c r="F491" s="4" t="s">
        <v>25</v>
      </c>
      <c r="G491" s="4" t="s">
        <v>25</v>
      </c>
      <c r="H491" s="4" t="s">
        <v>25</v>
      </c>
      <c r="I491" s="5">
        <v>44713</v>
      </c>
      <c r="J491" s="6">
        <v>0</v>
      </c>
      <c r="K491" s="59">
        <v>0</v>
      </c>
      <c r="L491" s="6">
        <v>75.765000000000001</v>
      </c>
      <c r="M491" s="59">
        <v>75.765000000000001</v>
      </c>
      <c r="N491" s="6">
        <v>75.765000000000001</v>
      </c>
      <c r="O491" s="59">
        <v>75.765000000000001</v>
      </c>
      <c r="P491" s="6">
        <v>27</v>
      </c>
      <c r="Q491" s="4" t="s">
        <v>26</v>
      </c>
      <c r="R491" s="4">
        <v>0</v>
      </c>
      <c r="S491" s="6">
        <v>0</v>
      </c>
      <c r="T491" s="6">
        <v>26</v>
      </c>
      <c r="U491" s="6">
        <v>75</v>
      </c>
      <c r="V491" s="59">
        <f>IF(ISERROR(VLOOKUP($S$491,'TAR FIN'!$A$1:$O$91,15,0)),0,VLOOKUP($S$491,'TAR FIN'!$A$1:$O$91,15,0))</f>
        <v>0</v>
      </c>
      <c r="W491" s="59">
        <f>IF(ISERROR(VLOOKUP($T$491,'TAR FIN'!$A$1:$O$91,15,0)),0,VLOOKUP($T$491,'TAR FIN'!$A$1:$O$91,15,0))*(1-0.06)</f>
        <v>252.91639999999998</v>
      </c>
      <c r="X491" s="59">
        <f>IF(ISERROR(VLOOKUP($U$491,'TAR FIN'!$A$1:$O$91,15,0)),0,VLOOKUP($U$491,'TAR FIN'!$A$1:$O$91,15,0))*(1-0.06)</f>
        <v>125.9318</v>
      </c>
      <c r="Y491" s="59"/>
      <c r="Z491" s="59">
        <f ca="1">('TUSD BE'!$AM$52+'TUSD BF'!$AM$52+'TUSD CVA'!$AM$52)*1*(1-0.03)</f>
        <v>333.50025274124306</v>
      </c>
      <c r="AA491" s="59">
        <f>('TE BE'!$AB$40+'TE BF'!$AB$40+'TE CVA'!$AB$40)*1*(1-0.03)</f>
        <v>111.32233992297954</v>
      </c>
      <c r="AB491" s="6">
        <f>$K$491*$V$491</f>
        <v>0</v>
      </c>
      <c r="AC491" s="6">
        <f>$M$491*$W$491</f>
        <v>19162.211046</v>
      </c>
      <c r="AD491" s="6">
        <f>$O$491*$X$491</f>
        <v>9541.2228269999996</v>
      </c>
      <c r="AE491" s="6">
        <f>$K$491*$Y$491</f>
        <v>0</v>
      </c>
      <c r="AF491" s="6">
        <f ca="1">$M$491*$Z$491</f>
        <v>25267.646648940281</v>
      </c>
      <c r="AG491" s="6">
        <f>$O$491*$AA$491</f>
        <v>8434.3370842645454</v>
      </c>
    </row>
    <row r="492" spans="1:33" ht="11.25" customHeight="1" x14ac:dyDescent="0.25">
      <c r="A492" s="4" t="s">
        <v>21</v>
      </c>
      <c r="B492" s="4" t="s">
        <v>33</v>
      </c>
      <c r="C492" s="4" t="s">
        <v>23</v>
      </c>
      <c r="D492" s="4" t="s">
        <v>48</v>
      </c>
      <c r="E492" s="4" t="s">
        <v>49</v>
      </c>
      <c r="F492" s="4" t="s">
        <v>25</v>
      </c>
      <c r="G492" s="4" t="s">
        <v>25</v>
      </c>
      <c r="H492" s="4" t="s">
        <v>25</v>
      </c>
      <c r="I492" s="5">
        <v>44743</v>
      </c>
      <c r="J492" s="6">
        <v>0</v>
      </c>
      <c r="K492" s="59">
        <v>0</v>
      </c>
      <c r="L492" s="6">
        <v>71.58</v>
      </c>
      <c r="M492" s="59">
        <v>71.58</v>
      </c>
      <c r="N492" s="6">
        <v>71.58</v>
      </c>
      <c r="O492" s="59">
        <v>71.58</v>
      </c>
      <c r="P492" s="6">
        <v>27</v>
      </c>
      <c r="Q492" s="4" t="s">
        <v>26</v>
      </c>
      <c r="R492" s="4">
        <v>0</v>
      </c>
      <c r="S492" s="6">
        <v>0</v>
      </c>
      <c r="T492" s="6">
        <v>26</v>
      </c>
      <c r="U492" s="6">
        <v>75</v>
      </c>
      <c r="V492" s="59">
        <f>IF(ISERROR(VLOOKUP($S$492,'TAR FIN'!$A$1:$O$91,15,0)),0,VLOOKUP($S$492,'TAR FIN'!$A$1:$O$91,15,0))</f>
        <v>0</v>
      </c>
      <c r="W492" s="59">
        <f>IF(ISERROR(VLOOKUP($T$492,'TAR FIN'!$A$1:$O$91,15,0)),0,VLOOKUP($T$492,'TAR FIN'!$A$1:$O$91,15,0))*(1-0.06)</f>
        <v>252.91639999999998</v>
      </c>
      <c r="X492" s="59">
        <f>IF(ISERROR(VLOOKUP($U$492,'TAR FIN'!$A$1:$O$91,15,0)),0,VLOOKUP($U$492,'TAR FIN'!$A$1:$O$91,15,0))*(1-0.06)</f>
        <v>125.9318</v>
      </c>
      <c r="Y492" s="59"/>
      <c r="Z492" s="59">
        <f ca="1">('TUSD BE'!$AM$52+'TUSD BF'!$AM$52+'TUSD CVA'!$AM$52)*1*(1-0.03)</f>
        <v>333.50025274124306</v>
      </c>
      <c r="AA492" s="59">
        <f>('TE BE'!$AB$40+'TE BF'!$AB$40+'TE CVA'!$AB$40)*1*(1-0.03)</f>
        <v>111.32233992297954</v>
      </c>
      <c r="AB492" s="6">
        <f>$K$492*$V$492</f>
        <v>0</v>
      </c>
      <c r="AC492" s="6">
        <f>$M$492*$W$492</f>
        <v>18103.755911999997</v>
      </c>
      <c r="AD492" s="6">
        <f>$O$492*$X$492</f>
        <v>9014.1982439999992</v>
      </c>
      <c r="AE492" s="6">
        <f>$K$492*$Y$492</f>
        <v>0</v>
      </c>
      <c r="AF492" s="6">
        <f ca="1">$M$492*$Z$492</f>
        <v>23871.948091218179</v>
      </c>
      <c r="AG492" s="6">
        <f>$O$492*$AA$492</f>
        <v>7968.4530916868753</v>
      </c>
    </row>
    <row r="493" spans="1:33" ht="11.25" customHeight="1" x14ac:dyDescent="0.25">
      <c r="A493" s="4" t="s">
        <v>57</v>
      </c>
      <c r="B493" s="4" t="s">
        <v>33</v>
      </c>
      <c r="C493" s="4" t="s">
        <v>23</v>
      </c>
      <c r="D493" s="4" t="s">
        <v>48</v>
      </c>
      <c r="E493" s="4" t="s">
        <v>49</v>
      </c>
      <c r="F493" s="4" t="s">
        <v>25</v>
      </c>
      <c r="G493" s="4" t="s">
        <v>25</v>
      </c>
      <c r="H493" s="4" t="s">
        <v>25</v>
      </c>
      <c r="I493" s="5">
        <v>44774</v>
      </c>
      <c r="J493" s="6">
        <v>0</v>
      </c>
      <c r="K493" s="59">
        <v>0</v>
      </c>
      <c r="L493" s="6">
        <v>71.58</v>
      </c>
      <c r="M493" s="59">
        <v>71.58</v>
      </c>
      <c r="N493" s="6">
        <v>71.58</v>
      </c>
      <c r="O493" s="59">
        <v>71.58</v>
      </c>
      <c r="P493" s="6">
        <v>27</v>
      </c>
      <c r="Q493" s="4" t="s">
        <v>26</v>
      </c>
      <c r="R493" s="4">
        <v>0</v>
      </c>
      <c r="S493" s="6">
        <v>0</v>
      </c>
      <c r="T493" s="6">
        <v>26</v>
      </c>
      <c r="U493" s="6">
        <v>75</v>
      </c>
      <c r="V493" s="59">
        <f>IF(ISERROR(VLOOKUP($S$493,'TAR FIN'!$A$1:$O$91,15,0)),0,VLOOKUP($S$493,'TAR FIN'!$A$1:$O$91,15,0))</f>
        <v>0</v>
      </c>
      <c r="W493" s="59">
        <f>IF(ISERROR(VLOOKUP($T$493,'TAR FIN'!$A$1:$O$91,15,0)),0,VLOOKUP($T$493,'TAR FIN'!$A$1:$O$91,15,0))*(1-0.06)</f>
        <v>252.91639999999998</v>
      </c>
      <c r="X493" s="59">
        <f>IF(ISERROR(VLOOKUP($U$493,'TAR FIN'!$A$1:$O$91,15,0)),0,VLOOKUP($U$493,'TAR FIN'!$A$1:$O$91,15,0))*(1-0.06)</f>
        <v>125.9318</v>
      </c>
      <c r="Y493" s="59"/>
      <c r="Z493" s="59">
        <f ca="1">('TUSD BE'!$AM$52+'TUSD BF'!$AM$52+'TUSD CVA'!$AM$52)*1*(1-0.03)</f>
        <v>333.50025274124306</v>
      </c>
      <c r="AA493" s="59">
        <f>('TE BE'!$AB$40+'TE BF'!$AB$40+'TE CVA'!$AB$40)*1*(1-0.03)</f>
        <v>111.32233992297954</v>
      </c>
      <c r="AB493" s="6">
        <f>$K$493*$V$493</f>
        <v>0</v>
      </c>
      <c r="AC493" s="6">
        <f>$M$493*$W$493</f>
        <v>18103.755911999997</v>
      </c>
      <c r="AD493" s="6">
        <f>$O$493*$X$493</f>
        <v>9014.1982439999992</v>
      </c>
      <c r="AE493" s="6">
        <f>$K$493*$Y$493</f>
        <v>0</v>
      </c>
      <c r="AF493" s="6">
        <f ca="1">$M$493*$Z$493</f>
        <v>23871.948091218179</v>
      </c>
      <c r="AG493" s="6">
        <f>$O$493*$AA$493</f>
        <v>7968.4530916868753</v>
      </c>
    </row>
    <row r="494" spans="1:33" ht="11.25" customHeight="1" x14ac:dyDescent="0.25">
      <c r="A494" s="4" t="s">
        <v>21</v>
      </c>
      <c r="B494" s="4" t="s">
        <v>45</v>
      </c>
      <c r="C494" s="4" t="s">
        <v>23</v>
      </c>
      <c r="D494" s="4" t="s">
        <v>46</v>
      </c>
      <c r="E494" s="4" t="s">
        <v>47</v>
      </c>
      <c r="F494" s="4" t="s">
        <v>25</v>
      </c>
      <c r="G494" s="4" t="s">
        <v>25</v>
      </c>
      <c r="H494" s="4" t="s">
        <v>25</v>
      </c>
      <c r="I494" s="5">
        <v>44440</v>
      </c>
      <c r="J494" s="6">
        <v>0</v>
      </c>
      <c r="K494" s="6">
        <v>0</v>
      </c>
      <c r="L494" s="6">
        <v>859.23299999999995</v>
      </c>
      <c r="M494" s="6">
        <v>859.23299999999995</v>
      </c>
      <c r="N494" s="6">
        <v>859.23299999999995</v>
      </c>
      <c r="O494" s="6">
        <v>859.23299999999995</v>
      </c>
      <c r="P494" s="6">
        <v>13</v>
      </c>
      <c r="Q494" s="4" t="s">
        <v>26</v>
      </c>
      <c r="R494" s="4">
        <v>0</v>
      </c>
      <c r="S494" s="6">
        <v>0</v>
      </c>
      <c r="T494" s="6">
        <v>59</v>
      </c>
      <c r="U494" s="6">
        <v>66</v>
      </c>
      <c r="V494" s="6">
        <f>IF(ISERROR(VLOOKUP($S$494,'TAR FIN'!$A$1:$O$91,15,0)),0,VLOOKUP($S$494,'TAR FIN'!$A$1:$O$91,15,0))</f>
        <v>0</v>
      </c>
      <c r="W494" s="6">
        <f>IF(ISERROR(VLOOKUP($T$494,'TAR FIN'!$A$1:$O$91,15,0)),0,VLOOKUP($T$494,'TAR FIN'!$A$1:$O$91,15,0))</f>
        <v>147.97999999999999</v>
      </c>
      <c r="X494" s="6">
        <f>IF(ISERROR(VLOOKUP($U$494,'TAR FIN'!$A$1:$O$91,15,0)),0,VLOOKUP($U$494,'TAR FIN'!$A$1:$O$91,15,0))</f>
        <v>73.680000000000007</v>
      </c>
      <c r="Y494" s="6"/>
      <c r="Z494" s="6">
        <f ca="1">('TUSD BE'!$AM$54+'TUSD BF'!$AM$54+'TUSD CVA'!$AM$54)*1</f>
        <v>189.09808145122028</v>
      </c>
      <c r="AA494" s="6">
        <f>('TE BE'!$AB$42+'TE BF'!$AB$42+'TE CVA'!$AB$42)*1</f>
        <v>63.120914389318308</v>
      </c>
      <c r="AB494" s="6">
        <f>$K$494*$V$494</f>
        <v>0</v>
      </c>
      <c r="AC494" s="6">
        <f>$M$494*$W$494</f>
        <v>127149.29933999998</v>
      </c>
      <c r="AD494" s="6">
        <f>$O$494*$X$494</f>
        <v>63308.28744</v>
      </c>
      <c r="AE494" s="6">
        <f>$K$494*$Y$494</f>
        <v>0</v>
      </c>
      <c r="AF494" s="6">
        <f ca="1">$M$494*$Z$494</f>
        <v>162479.31181957634</v>
      </c>
      <c r="AG494" s="6">
        <f>$O$494*$AA$494</f>
        <v>54235.572633477132</v>
      </c>
    </row>
    <row r="495" spans="1:33" ht="11.25" customHeight="1" x14ac:dyDescent="0.25">
      <c r="A495" s="4" t="s">
        <v>21</v>
      </c>
      <c r="B495" s="4" t="s">
        <v>45</v>
      </c>
      <c r="C495" s="4" t="s">
        <v>23</v>
      </c>
      <c r="D495" s="4" t="s">
        <v>46</v>
      </c>
      <c r="E495" s="4" t="s">
        <v>47</v>
      </c>
      <c r="F495" s="4" t="s">
        <v>25</v>
      </c>
      <c r="G495" s="4" t="s">
        <v>25</v>
      </c>
      <c r="H495" s="4" t="s">
        <v>25</v>
      </c>
      <c r="I495" s="5">
        <v>44470</v>
      </c>
      <c r="J495" s="6">
        <v>0</v>
      </c>
      <c r="K495" s="6">
        <v>0</v>
      </c>
      <c r="L495" s="6">
        <v>817.678</v>
      </c>
      <c r="M495" s="6">
        <v>817.678</v>
      </c>
      <c r="N495" s="6">
        <v>817.678</v>
      </c>
      <c r="O495" s="6">
        <v>817.678</v>
      </c>
      <c r="P495" s="6">
        <v>13</v>
      </c>
      <c r="Q495" s="4" t="s">
        <v>26</v>
      </c>
      <c r="R495" s="4">
        <v>0</v>
      </c>
      <c r="S495" s="6">
        <v>0</v>
      </c>
      <c r="T495" s="6">
        <v>59</v>
      </c>
      <c r="U495" s="6">
        <v>66</v>
      </c>
      <c r="V495" s="6">
        <f>IF(ISERROR(VLOOKUP($S$495,'TAR FIN'!$A$1:$O$91,15,0)),0,VLOOKUP($S$495,'TAR FIN'!$A$1:$O$91,15,0))</f>
        <v>0</v>
      </c>
      <c r="W495" s="6">
        <f>IF(ISERROR(VLOOKUP($T$495,'TAR FIN'!$A$1:$O$91,15,0)),0,VLOOKUP($T$495,'TAR FIN'!$A$1:$O$91,15,0))</f>
        <v>147.97999999999999</v>
      </c>
      <c r="X495" s="6">
        <f>IF(ISERROR(VLOOKUP($U$495,'TAR FIN'!$A$1:$O$91,15,0)),0,VLOOKUP($U$495,'TAR FIN'!$A$1:$O$91,15,0))</f>
        <v>73.680000000000007</v>
      </c>
      <c r="Y495" s="6"/>
      <c r="Z495" s="6">
        <f ca="1">('TUSD BE'!$AM$54+'TUSD BF'!$AM$54+'TUSD CVA'!$AM$54)*1</f>
        <v>189.09808145122028</v>
      </c>
      <c r="AA495" s="6">
        <f>('TE BE'!$AB$42+'TE BF'!$AB$42+'TE CVA'!$AB$42)*1</f>
        <v>63.120914389318308</v>
      </c>
      <c r="AB495" s="6">
        <f>$K$495*$V$495</f>
        <v>0</v>
      </c>
      <c r="AC495" s="6">
        <f>$M$495*$W$495</f>
        <v>120999.99043999999</v>
      </c>
      <c r="AD495" s="6">
        <f>$O$495*$X$495</f>
        <v>60246.515040000006</v>
      </c>
      <c r="AE495" s="6">
        <f>$K$495*$Y$495</f>
        <v>0</v>
      </c>
      <c r="AF495" s="6">
        <f ca="1">$M$495*$Z$495</f>
        <v>154621.3410448709</v>
      </c>
      <c r="AG495" s="6">
        <f>$O$495*$AA$495</f>
        <v>51612.583036029013</v>
      </c>
    </row>
    <row r="496" spans="1:33" ht="11.25" customHeight="1" x14ac:dyDescent="0.25">
      <c r="A496" s="4" t="s">
        <v>21</v>
      </c>
      <c r="B496" s="4" t="s">
        <v>45</v>
      </c>
      <c r="C496" s="4" t="s">
        <v>23</v>
      </c>
      <c r="D496" s="4" t="s">
        <v>46</v>
      </c>
      <c r="E496" s="4" t="s">
        <v>47</v>
      </c>
      <c r="F496" s="4" t="s">
        <v>25</v>
      </c>
      <c r="G496" s="4" t="s">
        <v>25</v>
      </c>
      <c r="H496" s="4" t="s">
        <v>25</v>
      </c>
      <c r="I496" s="5">
        <v>44501</v>
      </c>
      <c r="J496" s="6">
        <v>0</v>
      </c>
      <c r="K496" s="6">
        <v>0</v>
      </c>
      <c r="L496" s="6">
        <v>736.83299999999997</v>
      </c>
      <c r="M496" s="6">
        <v>736.83299999999997</v>
      </c>
      <c r="N496" s="6">
        <v>736.83299999999997</v>
      </c>
      <c r="O496" s="6">
        <v>736.83299999999997</v>
      </c>
      <c r="P496" s="6">
        <v>13</v>
      </c>
      <c r="Q496" s="4" t="s">
        <v>26</v>
      </c>
      <c r="R496" s="4">
        <v>0</v>
      </c>
      <c r="S496" s="6">
        <v>0</v>
      </c>
      <c r="T496" s="6">
        <v>59</v>
      </c>
      <c r="U496" s="6">
        <v>66</v>
      </c>
      <c r="V496" s="6">
        <f>IF(ISERROR(VLOOKUP($S$496,'TAR FIN'!$A$1:$O$91,15,0)),0,VLOOKUP($S$496,'TAR FIN'!$A$1:$O$91,15,0))</f>
        <v>0</v>
      </c>
      <c r="W496" s="6">
        <f>IF(ISERROR(VLOOKUP($T$496,'TAR FIN'!$A$1:$O$91,15,0)),0,VLOOKUP($T$496,'TAR FIN'!$A$1:$O$91,15,0))</f>
        <v>147.97999999999999</v>
      </c>
      <c r="X496" s="6">
        <f>IF(ISERROR(VLOOKUP($U$496,'TAR FIN'!$A$1:$O$91,15,0)),0,VLOOKUP($U$496,'TAR FIN'!$A$1:$O$91,15,0))</f>
        <v>73.680000000000007</v>
      </c>
      <c r="Y496" s="6"/>
      <c r="Z496" s="6">
        <f ca="1">('TUSD BE'!$AM$54+'TUSD BF'!$AM$54+'TUSD CVA'!$AM$54)*1</f>
        <v>189.09808145122028</v>
      </c>
      <c r="AA496" s="6">
        <f>('TE BE'!$AB$42+'TE BF'!$AB$42+'TE CVA'!$AB$42)*1</f>
        <v>63.120914389318308</v>
      </c>
      <c r="AB496" s="6">
        <f>$K$496*$V$496</f>
        <v>0</v>
      </c>
      <c r="AC496" s="6">
        <f>$M$496*$W$496</f>
        <v>109036.54733999999</v>
      </c>
      <c r="AD496" s="6">
        <f>$O$496*$X$496</f>
        <v>54289.855439999999</v>
      </c>
      <c r="AE496" s="6">
        <f>$K$496*$Y$496</f>
        <v>0</v>
      </c>
      <c r="AF496" s="6">
        <f ca="1">$M$496*$Z$496</f>
        <v>139333.70664994698</v>
      </c>
      <c r="AG496" s="6">
        <f>$O$496*$AA$496</f>
        <v>46509.572712224573</v>
      </c>
    </row>
    <row r="497" spans="1:33" ht="11.25" customHeight="1" x14ac:dyDescent="0.25">
      <c r="A497" s="4" t="s">
        <v>21</v>
      </c>
      <c r="B497" s="4" t="s">
        <v>45</v>
      </c>
      <c r="C497" s="4" t="s">
        <v>23</v>
      </c>
      <c r="D497" s="4" t="s">
        <v>46</v>
      </c>
      <c r="E497" s="4" t="s">
        <v>47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747.09400000000005</v>
      </c>
      <c r="M497" s="6">
        <v>747.09400000000005</v>
      </c>
      <c r="N497" s="6">
        <v>747.09400000000005</v>
      </c>
      <c r="O497" s="6">
        <v>747.09400000000005</v>
      </c>
      <c r="P497" s="6">
        <v>13</v>
      </c>
      <c r="Q497" s="4" t="s">
        <v>26</v>
      </c>
      <c r="R497" s="4">
        <v>0</v>
      </c>
      <c r="S497" s="6">
        <v>0</v>
      </c>
      <c r="T497" s="6">
        <v>59</v>
      </c>
      <c r="U497" s="6">
        <v>66</v>
      </c>
      <c r="V497" s="6">
        <f>IF(ISERROR(VLOOKUP($S$497,'TAR FIN'!$A$1:$O$91,15,0)),0,VLOOKUP($S$497,'TAR FIN'!$A$1:$O$91,15,0))</f>
        <v>0</v>
      </c>
      <c r="W497" s="6">
        <f>IF(ISERROR(VLOOKUP($T$497,'TAR FIN'!$A$1:$O$91,15,0)),0,VLOOKUP($T$497,'TAR FIN'!$A$1:$O$91,15,0))</f>
        <v>147.97999999999999</v>
      </c>
      <c r="X497" s="6">
        <f>IF(ISERROR(VLOOKUP($U$497,'TAR FIN'!$A$1:$O$91,15,0)),0,VLOOKUP($U$497,'TAR FIN'!$A$1:$O$91,15,0))</f>
        <v>73.680000000000007</v>
      </c>
      <c r="Y497" s="6"/>
      <c r="Z497" s="6">
        <f ca="1">('TUSD BE'!$AM$54+'TUSD BF'!$AM$54+'TUSD CVA'!$AM$54)*1</f>
        <v>189.09808145122028</v>
      </c>
      <c r="AA497" s="6">
        <f>('TE BE'!$AB$42+'TE BF'!$AB$42+'TE CVA'!$AB$42)*1</f>
        <v>63.120914389318308</v>
      </c>
      <c r="AB497" s="6">
        <f>$K$497*$V$497</f>
        <v>0</v>
      </c>
      <c r="AC497" s="6">
        <f>$M$497*$W$497</f>
        <v>110554.97012</v>
      </c>
      <c r="AD497" s="6">
        <f>$O$497*$X$497</f>
        <v>55045.885920000008</v>
      </c>
      <c r="AE497" s="6">
        <f>$K$497*$Y$497</f>
        <v>0</v>
      </c>
      <c r="AF497" s="6">
        <f ca="1">$M$497*$Z$497</f>
        <v>141274.04206371796</v>
      </c>
      <c r="AG497" s="6">
        <f>$O$497*$AA$497</f>
        <v>47157.256414773372</v>
      </c>
    </row>
    <row r="498" spans="1:33" ht="11.25" customHeight="1" x14ac:dyDescent="0.25">
      <c r="A498" s="4" t="s">
        <v>21</v>
      </c>
      <c r="B498" s="4" t="s">
        <v>45</v>
      </c>
      <c r="C498" s="4" t="s">
        <v>23</v>
      </c>
      <c r="D498" s="4" t="s">
        <v>46</v>
      </c>
      <c r="E498" s="4" t="s">
        <v>47</v>
      </c>
      <c r="F498" s="4" t="s">
        <v>25</v>
      </c>
      <c r="G498" s="4" t="s">
        <v>25</v>
      </c>
      <c r="H498" s="4" t="s">
        <v>25</v>
      </c>
      <c r="I498" s="5">
        <v>44562</v>
      </c>
      <c r="J498" s="6">
        <v>0</v>
      </c>
      <c r="K498" s="6">
        <v>0</v>
      </c>
      <c r="L498" s="6">
        <v>766.45399999999995</v>
      </c>
      <c r="M498" s="6">
        <v>766.45399999999995</v>
      </c>
      <c r="N498" s="6">
        <v>766.45399999999995</v>
      </c>
      <c r="O498" s="6">
        <v>766.45399999999995</v>
      </c>
      <c r="P498" s="6">
        <v>13</v>
      </c>
      <c r="Q498" s="4" t="s">
        <v>26</v>
      </c>
      <c r="R498" s="4">
        <v>0</v>
      </c>
      <c r="S498" s="6">
        <v>0</v>
      </c>
      <c r="T498" s="6">
        <v>59</v>
      </c>
      <c r="U498" s="6">
        <v>66</v>
      </c>
      <c r="V498" s="6">
        <f>IF(ISERROR(VLOOKUP($S$498,'TAR FIN'!$A$1:$O$91,15,0)),0,VLOOKUP($S$498,'TAR FIN'!$A$1:$O$91,15,0))</f>
        <v>0</v>
      </c>
      <c r="W498" s="6">
        <f>IF(ISERROR(VLOOKUP($T$498,'TAR FIN'!$A$1:$O$91,15,0)),0,VLOOKUP($T$498,'TAR FIN'!$A$1:$O$91,15,0))</f>
        <v>147.97999999999999</v>
      </c>
      <c r="X498" s="6">
        <f>IF(ISERROR(VLOOKUP($U$498,'TAR FIN'!$A$1:$O$91,15,0)),0,VLOOKUP($U$498,'TAR FIN'!$A$1:$O$91,15,0))</f>
        <v>73.680000000000007</v>
      </c>
      <c r="Y498" s="6"/>
      <c r="Z498" s="6">
        <f ca="1">('TUSD BE'!$AM$54+'TUSD BF'!$AM$54+'TUSD CVA'!$AM$54)*1</f>
        <v>189.09808145122028</v>
      </c>
      <c r="AA498" s="6">
        <f>('TE BE'!$AB$42+'TE BF'!$AB$42+'TE CVA'!$AB$42)*1</f>
        <v>63.120914389318308</v>
      </c>
      <c r="AB498" s="6">
        <f>$K$498*$V$498</f>
        <v>0</v>
      </c>
      <c r="AC498" s="6">
        <f>$M$498*$W$498</f>
        <v>113419.86291999999</v>
      </c>
      <c r="AD498" s="6">
        <f>$O$498*$X$498</f>
        <v>56472.330719999998</v>
      </c>
      <c r="AE498" s="6">
        <f>$K$498*$Y$498</f>
        <v>0</v>
      </c>
      <c r="AF498" s="6">
        <f ca="1">$M$498*$Z$498</f>
        <v>144934.98092061357</v>
      </c>
      <c r="AG498" s="6">
        <f>$O$498*$AA$498</f>
        <v>48379.27731735057</v>
      </c>
    </row>
    <row r="499" spans="1:33" ht="11.25" customHeight="1" x14ac:dyDescent="0.25">
      <c r="A499" s="4" t="s">
        <v>21</v>
      </c>
      <c r="B499" s="4" t="s">
        <v>45</v>
      </c>
      <c r="C499" s="4" t="s">
        <v>23</v>
      </c>
      <c r="D499" s="4" t="s">
        <v>46</v>
      </c>
      <c r="E499" s="4" t="s">
        <v>47</v>
      </c>
      <c r="F499" s="4" t="s">
        <v>25</v>
      </c>
      <c r="G499" s="4" t="s">
        <v>25</v>
      </c>
      <c r="H499" s="4" t="s">
        <v>25</v>
      </c>
      <c r="I499" s="5">
        <v>44593</v>
      </c>
      <c r="J499" s="6">
        <v>0</v>
      </c>
      <c r="K499" s="6">
        <v>0</v>
      </c>
      <c r="L499" s="6">
        <v>738.93299999999999</v>
      </c>
      <c r="M499" s="6">
        <v>738.93299999999999</v>
      </c>
      <c r="N499" s="6">
        <v>738.93299999999999</v>
      </c>
      <c r="O499" s="6">
        <v>738.93299999999999</v>
      </c>
      <c r="P499" s="6">
        <v>13</v>
      </c>
      <c r="Q499" s="4" t="s">
        <v>26</v>
      </c>
      <c r="R499" s="4">
        <v>0</v>
      </c>
      <c r="S499" s="6">
        <v>0</v>
      </c>
      <c r="T499" s="6">
        <v>59</v>
      </c>
      <c r="U499" s="6">
        <v>66</v>
      </c>
      <c r="V499" s="6">
        <f>IF(ISERROR(VLOOKUP($S$499,'TAR FIN'!$A$1:$O$91,15,0)),0,VLOOKUP($S$499,'TAR FIN'!$A$1:$O$91,15,0))</f>
        <v>0</v>
      </c>
      <c r="W499" s="6">
        <f>IF(ISERROR(VLOOKUP($T$499,'TAR FIN'!$A$1:$O$91,15,0)),0,VLOOKUP($T$499,'TAR FIN'!$A$1:$O$91,15,0))</f>
        <v>147.97999999999999</v>
      </c>
      <c r="X499" s="6">
        <f>IF(ISERROR(VLOOKUP($U$499,'TAR FIN'!$A$1:$O$91,15,0)),0,VLOOKUP($U$499,'TAR FIN'!$A$1:$O$91,15,0))</f>
        <v>73.680000000000007</v>
      </c>
      <c r="Y499" s="6"/>
      <c r="Z499" s="6">
        <f ca="1">('TUSD BE'!$AM$54+'TUSD BF'!$AM$54+'TUSD CVA'!$AM$54)*1</f>
        <v>189.09808145122028</v>
      </c>
      <c r="AA499" s="6">
        <f>('TE BE'!$AB$42+'TE BF'!$AB$42+'TE CVA'!$AB$42)*1</f>
        <v>63.120914389318308</v>
      </c>
      <c r="AB499" s="6">
        <f>$K$499*$V$499</f>
        <v>0</v>
      </c>
      <c r="AC499" s="6">
        <f>$M$499*$W$499</f>
        <v>109347.30533999999</v>
      </c>
      <c r="AD499" s="6">
        <f>$O$499*$X$499</f>
        <v>54444.583440000002</v>
      </c>
      <c r="AE499" s="6">
        <f>$K$499*$Y$499</f>
        <v>0</v>
      </c>
      <c r="AF499" s="6">
        <f ca="1">$M$499*$Z$499</f>
        <v>139730.81262099455</v>
      </c>
      <c r="AG499" s="6">
        <f>$O$499*$AA$499</f>
        <v>46642.126632442145</v>
      </c>
    </row>
    <row r="500" spans="1:33" ht="11.25" customHeight="1" x14ac:dyDescent="0.25">
      <c r="A500" s="4" t="s">
        <v>21</v>
      </c>
      <c r="B500" s="4" t="s">
        <v>45</v>
      </c>
      <c r="C500" s="4" t="s">
        <v>23</v>
      </c>
      <c r="D500" s="4" t="s">
        <v>46</v>
      </c>
      <c r="E500" s="4" t="s">
        <v>47</v>
      </c>
      <c r="F500" s="4" t="s">
        <v>25</v>
      </c>
      <c r="G500" s="4" t="s">
        <v>25</v>
      </c>
      <c r="H500" s="4" t="s">
        <v>25</v>
      </c>
      <c r="I500" s="5">
        <v>44621</v>
      </c>
      <c r="J500" s="6">
        <v>0</v>
      </c>
      <c r="K500" s="6">
        <v>0</v>
      </c>
      <c r="L500" s="6">
        <v>880.73500000000001</v>
      </c>
      <c r="M500" s="6">
        <v>880.73500000000001</v>
      </c>
      <c r="N500" s="6">
        <v>880.73500000000001</v>
      </c>
      <c r="O500" s="6">
        <v>880.73500000000001</v>
      </c>
      <c r="P500" s="6">
        <v>13</v>
      </c>
      <c r="Q500" s="4" t="s">
        <v>26</v>
      </c>
      <c r="R500" s="4">
        <v>0</v>
      </c>
      <c r="S500" s="6">
        <v>0</v>
      </c>
      <c r="T500" s="6">
        <v>59</v>
      </c>
      <c r="U500" s="6">
        <v>66</v>
      </c>
      <c r="V500" s="6">
        <f>IF(ISERROR(VLOOKUP($S$500,'TAR FIN'!$A$1:$O$91,15,0)),0,VLOOKUP($S$500,'TAR FIN'!$A$1:$O$91,15,0))</f>
        <v>0</v>
      </c>
      <c r="W500" s="6">
        <f>IF(ISERROR(VLOOKUP($T$500,'TAR FIN'!$A$1:$O$91,15,0)),0,VLOOKUP($T$500,'TAR FIN'!$A$1:$O$91,15,0))</f>
        <v>147.97999999999999</v>
      </c>
      <c r="X500" s="6">
        <f>IF(ISERROR(VLOOKUP($U$500,'TAR FIN'!$A$1:$O$91,15,0)),0,VLOOKUP($U$500,'TAR FIN'!$A$1:$O$91,15,0))</f>
        <v>73.680000000000007</v>
      </c>
      <c r="Y500" s="6"/>
      <c r="Z500" s="6">
        <f ca="1">('TUSD BE'!$AM$54+'TUSD BF'!$AM$54+'TUSD CVA'!$AM$54)*1</f>
        <v>189.09808145122028</v>
      </c>
      <c r="AA500" s="6">
        <f>('TE BE'!$AB$42+'TE BF'!$AB$42+'TE CVA'!$AB$42)*1</f>
        <v>63.120914389318308</v>
      </c>
      <c r="AB500" s="6">
        <f>$K$500*$V$500</f>
        <v>0</v>
      </c>
      <c r="AC500" s="6">
        <f>$M$500*$W$500</f>
        <v>130331.16529999999</v>
      </c>
      <c r="AD500" s="6">
        <f>$O$500*$X$500</f>
        <v>64892.554800000005</v>
      </c>
      <c r="AE500" s="6">
        <f>$K$500*$Y$500</f>
        <v>0</v>
      </c>
      <c r="AF500" s="6">
        <f ca="1">$M$500*$Z$500</f>
        <v>166545.29876694048</v>
      </c>
      <c r="AG500" s="6">
        <f>$O$500*$AA$500</f>
        <v>55592.798534676258</v>
      </c>
    </row>
    <row r="501" spans="1:33" ht="11.25" customHeight="1" x14ac:dyDescent="0.25">
      <c r="A501" s="4" t="s">
        <v>21</v>
      </c>
      <c r="B501" s="4" t="s">
        <v>45</v>
      </c>
      <c r="C501" s="4" t="s">
        <v>23</v>
      </c>
      <c r="D501" s="4" t="s">
        <v>46</v>
      </c>
      <c r="E501" s="4" t="s">
        <v>47</v>
      </c>
      <c r="F501" s="4" t="s">
        <v>25</v>
      </c>
      <c r="G501" s="4" t="s">
        <v>25</v>
      </c>
      <c r="H501" s="4" t="s">
        <v>25</v>
      </c>
      <c r="I501" s="5">
        <v>44652</v>
      </c>
      <c r="J501" s="6">
        <v>0</v>
      </c>
      <c r="K501" s="6">
        <v>0</v>
      </c>
      <c r="L501" s="6">
        <v>916.23199999999997</v>
      </c>
      <c r="M501" s="6">
        <v>916.23199999999997</v>
      </c>
      <c r="N501" s="6">
        <v>916.23199999999997</v>
      </c>
      <c r="O501" s="6">
        <v>916.23199999999997</v>
      </c>
      <c r="P501" s="6">
        <v>5</v>
      </c>
      <c r="Q501" s="4" t="s">
        <v>26</v>
      </c>
      <c r="R501" s="4">
        <v>0</v>
      </c>
      <c r="S501" s="6">
        <v>0</v>
      </c>
      <c r="T501" s="6">
        <v>59</v>
      </c>
      <c r="U501" s="6">
        <v>66</v>
      </c>
      <c r="V501" s="6">
        <f>IF(ISERROR(VLOOKUP($S$501,'TAR FIN'!$A$1:$O$91,15,0)),0,VLOOKUP($S$501,'TAR FIN'!$A$1:$O$91,15,0))</f>
        <v>0</v>
      </c>
      <c r="W501" s="6">
        <f>IF(ISERROR(VLOOKUP($T$501,'TAR FIN'!$A$1:$O$91,15,0)),0,VLOOKUP($T$501,'TAR FIN'!$A$1:$O$91,15,0))</f>
        <v>147.97999999999999</v>
      </c>
      <c r="X501" s="6">
        <f>IF(ISERROR(VLOOKUP($U$501,'TAR FIN'!$A$1:$O$91,15,0)),0,VLOOKUP($U$501,'TAR FIN'!$A$1:$O$91,15,0))</f>
        <v>73.680000000000007</v>
      </c>
      <c r="Y501" s="6"/>
      <c r="Z501" s="6">
        <f ca="1">('TUSD BE'!$AM$54+'TUSD BF'!$AM$54+'TUSD CVA'!$AM$54)*1</f>
        <v>189.09808145122028</v>
      </c>
      <c r="AA501" s="6">
        <f>('TE BE'!$AB$42+'TE BF'!$AB$42+'TE CVA'!$AB$42)*1</f>
        <v>63.120914389318308</v>
      </c>
      <c r="AB501" s="6">
        <f>$K$501*$V$501</f>
        <v>0</v>
      </c>
      <c r="AC501" s="6">
        <f>$M$501*$W$501</f>
        <v>135584.01135999997</v>
      </c>
      <c r="AD501" s="6">
        <f>$O$501*$X$501</f>
        <v>67507.973760000008</v>
      </c>
      <c r="AE501" s="6">
        <f>$K$501*$Y$501</f>
        <v>0</v>
      </c>
      <c r="AF501" s="6">
        <f ca="1">$M$501*$Z$501</f>
        <v>173257.71336421446</v>
      </c>
      <c r="AG501" s="6">
        <f>$O$501*$AA$501</f>
        <v>57833.401632753892</v>
      </c>
    </row>
    <row r="502" spans="1:33" ht="11.25" customHeight="1" x14ac:dyDescent="0.25">
      <c r="A502" s="4" t="s">
        <v>21</v>
      </c>
      <c r="B502" s="4" t="s">
        <v>45</v>
      </c>
      <c r="C502" s="4" t="s">
        <v>23</v>
      </c>
      <c r="D502" s="4" t="s">
        <v>46</v>
      </c>
      <c r="E502" s="4" t="s">
        <v>47</v>
      </c>
      <c r="F502" s="4" t="s">
        <v>25</v>
      </c>
      <c r="G502" s="4" t="s">
        <v>25</v>
      </c>
      <c r="H502" s="4" t="s">
        <v>25</v>
      </c>
      <c r="I502" s="5">
        <v>44682</v>
      </c>
      <c r="J502" s="6">
        <v>0</v>
      </c>
      <c r="K502" s="6">
        <v>0</v>
      </c>
      <c r="L502" s="6">
        <v>1000.045</v>
      </c>
      <c r="M502" s="6">
        <v>1000.045</v>
      </c>
      <c r="N502" s="6">
        <v>1000.045</v>
      </c>
      <c r="O502" s="6">
        <v>1000.045</v>
      </c>
      <c r="P502" s="6">
        <v>5</v>
      </c>
      <c r="Q502" s="4" t="s">
        <v>26</v>
      </c>
      <c r="R502" s="4">
        <v>0</v>
      </c>
      <c r="S502" s="6">
        <v>0</v>
      </c>
      <c r="T502" s="6">
        <v>59</v>
      </c>
      <c r="U502" s="6">
        <v>66</v>
      </c>
      <c r="V502" s="6">
        <f>IF(ISERROR(VLOOKUP($S$502,'TAR FIN'!$A$1:$O$91,15,0)),0,VLOOKUP($S$502,'TAR FIN'!$A$1:$O$91,15,0))</f>
        <v>0</v>
      </c>
      <c r="W502" s="6">
        <f>IF(ISERROR(VLOOKUP($T$502,'TAR FIN'!$A$1:$O$91,15,0)),0,VLOOKUP($T$502,'TAR FIN'!$A$1:$O$91,15,0))</f>
        <v>147.97999999999999</v>
      </c>
      <c r="X502" s="6">
        <f>IF(ISERROR(VLOOKUP($U$502,'TAR FIN'!$A$1:$O$91,15,0)),0,VLOOKUP($U$502,'TAR FIN'!$A$1:$O$91,15,0))</f>
        <v>73.680000000000007</v>
      </c>
      <c r="Y502" s="6"/>
      <c r="Z502" s="6">
        <f ca="1">('TUSD BE'!$AM$54+'TUSD BF'!$AM$54+'TUSD CVA'!$AM$54)*1</f>
        <v>189.09808145122028</v>
      </c>
      <c r="AA502" s="6">
        <f>('TE BE'!$AB$42+'TE BF'!$AB$42+'TE CVA'!$AB$42)*1</f>
        <v>63.120914389318308</v>
      </c>
      <c r="AB502" s="6">
        <f>$K$502*$V$502</f>
        <v>0</v>
      </c>
      <c r="AC502" s="6">
        <f>$M$502*$W$502</f>
        <v>147986.65909999999</v>
      </c>
      <c r="AD502" s="6">
        <f>$O$502*$X$502</f>
        <v>73683.315600000002</v>
      </c>
      <c r="AE502" s="6">
        <f>$K$502*$Y$502</f>
        <v>0</v>
      </c>
      <c r="AF502" s="6">
        <f ca="1">$M$502*$Z$502</f>
        <v>189106.59086488557</v>
      </c>
      <c r="AG502" s="6">
        <f>$O$502*$AA$502</f>
        <v>63123.754830465827</v>
      </c>
    </row>
    <row r="503" spans="1:33" ht="11.25" customHeight="1" x14ac:dyDescent="0.25">
      <c r="A503" s="4" t="s">
        <v>21</v>
      </c>
      <c r="B503" s="4" t="s">
        <v>45</v>
      </c>
      <c r="C503" s="4" t="s">
        <v>23</v>
      </c>
      <c r="D503" s="4" t="s">
        <v>46</v>
      </c>
      <c r="E503" s="4" t="s">
        <v>47</v>
      </c>
      <c r="F503" s="4" t="s">
        <v>25</v>
      </c>
      <c r="G503" s="4" t="s">
        <v>25</v>
      </c>
      <c r="H503" s="4" t="s">
        <v>25</v>
      </c>
      <c r="I503" s="5">
        <v>44713</v>
      </c>
      <c r="J503" s="6">
        <v>0</v>
      </c>
      <c r="K503" s="6">
        <v>0</v>
      </c>
      <c r="L503" s="6">
        <v>993.78499999999997</v>
      </c>
      <c r="M503" s="6">
        <v>993.78499999999997</v>
      </c>
      <c r="N503" s="6">
        <v>993.78499999999997</v>
      </c>
      <c r="O503" s="6">
        <v>993.78499999999997</v>
      </c>
      <c r="P503" s="6">
        <v>5</v>
      </c>
      <c r="Q503" s="4" t="s">
        <v>26</v>
      </c>
      <c r="R503" s="4">
        <v>0</v>
      </c>
      <c r="S503" s="6">
        <v>0</v>
      </c>
      <c r="T503" s="6">
        <v>59</v>
      </c>
      <c r="U503" s="6">
        <v>66</v>
      </c>
      <c r="V503" s="6">
        <f>IF(ISERROR(VLOOKUP($S$503,'TAR FIN'!$A$1:$O$91,15,0)),0,VLOOKUP($S$503,'TAR FIN'!$A$1:$O$91,15,0))</f>
        <v>0</v>
      </c>
      <c r="W503" s="6">
        <f>IF(ISERROR(VLOOKUP($T$503,'TAR FIN'!$A$1:$O$91,15,0)),0,VLOOKUP($T$503,'TAR FIN'!$A$1:$O$91,15,0))</f>
        <v>147.97999999999999</v>
      </c>
      <c r="X503" s="6">
        <f>IF(ISERROR(VLOOKUP($U$503,'TAR FIN'!$A$1:$O$91,15,0)),0,VLOOKUP($U$503,'TAR FIN'!$A$1:$O$91,15,0))</f>
        <v>73.680000000000007</v>
      </c>
      <c r="Y503" s="6"/>
      <c r="Z503" s="6">
        <f ca="1">('TUSD BE'!$AM$54+'TUSD BF'!$AM$54+'TUSD CVA'!$AM$54)*1</f>
        <v>189.09808145122028</v>
      </c>
      <c r="AA503" s="6">
        <f>('TE BE'!$AB$42+'TE BF'!$AB$42+'TE CVA'!$AB$42)*1</f>
        <v>63.120914389318308</v>
      </c>
      <c r="AB503" s="6">
        <f>$K$503*$V$503</f>
        <v>0</v>
      </c>
      <c r="AC503" s="6">
        <f>$M$503*$W$503</f>
        <v>147060.30429999999</v>
      </c>
      <c r="AD503" s="6">
        <f>$O$503*$X$503</f>
        <v>73222.078800000003</v>
      </c>
      <c r="AE503" s="6">
        <f>$K$503*$Y$503</f>
        <v>0</v>
      </c>
      <c r="AF503" s="6">
        <f ca="1">$M$503*$Z$503</f>
        <v>187922.83687500094</v>
      </c>
      <c r="AG503" s="6">
        <f>$O$503*$AA$503</f>
        <v>62728.617906388696</v>
      </c>
    </row>
    <row r="504" spans="1:33" ht="11.25" customHeight="1" x14ac:dyDescent="0.25">
      <c r="A504" s="4" t="s">
        <v>21</v>
      </c>
      <c r="B504" s="4" t="s">
        <v>45</v>
      </c>
      <c r="C504" s="4" t="s">
        <v>23</v>
      </c>
      <c r="D504" s="4" t="s">
        <v>46</v>
      </c>
      <c r="E504" s="4" t="s">
        <v>47</v>
      </c>
      <c r="F504" s="4" t="s">
        <v>25</v>
      </c>
      <c r="G504" s="4" t="s">
        <v>25</v>
      </c>
      <c r="H504" s="4" t="s">
        <v>25</v>
      </c>
      <c r="I504" s="5">
        <v>44743</v>
      </c>
      <c r="J504" s="6">
        <v>0</v>
      </c>
      <c r="K504" s="6">
        <v>0</v>
      </c>
      <c r="L504" s="6">
        <v>1011.848</v>
      </c>
      <c r="M504" s="6">
        <v>1011.848</v>
      </c>
      <c r="N504" s="6">
        <v>1011.848</v>
      </c>
      <c r="O504" s="6">
        <v>1011.848</v>
      </c>
      <c r="P504" s="6">
        <v>5</v>
      </c>
      <c r="Q504" s="4" t="s">
        <v>26</v>
      </c>
      <c r="R504" s="4">
        <v>0</v>
      </c>
      <c r="S504" s="6">
        <v>0</v>
      </c>
      <c r="T504" s="6">
        <v>59</v>
      </c>
      <c r="U504" s="6">
        <v>66</v>
      </c>
      <c r="V504" s="6">
        <f>IF(ISERROR(VLOOKUP($S$504,'TAR FIN'!$A$1:$O$91,15,0)),0,VLOOKUP($S$504,'TAR FIN'!$A$1:$O$91,15,0))</f>
        <v>0</v>
      </c>
      <c r="W504" s="6">
        <f>IF(ISERROR(VLOOKUP($T$504,'TAR FIN'!$A$1:$O$91,15,0)),0,VLOOKUP($T$504,'TAR FIN'!$A$1:$O$91,15,0))</f>
        <v>147.97999999999999</v>
      </c>
      <c r="X504" s="6">
        <f>IF(ISERROR(VLOOKUP($U$504,'TAR FIN'!$A$1:$O$91,15,0)),0,VLOOKUP($U$504,'TAR FIN'!$A$1:$O$91,15,0))</f>
        <v>73.680000000000007</v>
      </c>
      <c r="Y504" s="6"/>
      <c r="Z504" s="6">
        <f ca="1">('TUSD BE'!$AM$54+'TUSD BF'!$AM$54+'TUSD CVA'!$AM$54)*1</f>
        <v>189.09808145122028</v>
      </c>
      <c r="AA504" s="6">
        <f>('TE BE'!$AB$42+'TE BF'!$AB$42+'TE CVA'!$AB$42)*1</f>
        <v>63.120914389318308</v>
      </c>
      <c r="AB504" s="6">
        <f>$K$504*$V$504</f>
        <v>0</v>
      </c>
      <c r="AC504" s="6">
        <f>$M$504*$W$504</f>
        <v>149733.26703999998</v>
      </c>
      <c r="AD504" s="6">
        <f>$O$504*$X$504</f>
        <v>74552.960640000005</v>
      </c>
      <c r="AE504" s="6">
        <f>$K$504*$Y$504</f>
        <v>0</v>
      </c>
      <c r="AF504" s="6">
        <f ca="1">$M$504*$Z$504</f>
        <v>191338.51552025432</v>
      </c>
      <c r="AG504" s="6">
        <f>$O$504*$AA$504</f>
        <v>63868.770983002949</v>
      </c>
    </row>
    <row r="505" spans="1:33" ht="11.25" customHeight="1" x14ac:dyDescent="0.25">
      <c r="A505" s="4" t="s">
        <v>57</v>
      </c>
      <c r="B505" s="4" t="s">
        <v>45</v>
      </c>
      <c r="C505" s="4" t="s">
        <v>23</v>
      </c>
      <c r="D505" s="4" t="s">
        <v>46</v>
      </c>
      <c r="E505" s="4" t="s">
        <v>47</v>
      </c>
      <c r="F505" s="4" t="s">
        <v>25</v>
      </c>
      <c r="G505" s="4" t="s">
        <v>25</v>
      </c>
      <c r="H505" s="4" t="s">
        <v>25</v>
      </c>
      <c r="I505" s="5">
        <v>44774</v>
      </c>
      <c r="J505" s="6">
        <v>0</v>
      </c>
      <c r="K505" s="6">
        <v>0</v>
      </c>
      <c r="L505" s="6">
        <v>1011.848</v>
      </c>
      <c r="M505" s="6">
        <v>1011.848</v>
      </c>
      <c r="N505" s="6">
        <v>1011.848</v>
      </c>
      <c r="O505" s="6">
        <v>1011.848</v>
      </c>
      <c r="P505" s="6">
        <v>5</v>
      </c>
      <c r="Q505" s="4" t="s">
        <v>26</v>
      </c>
      <c r="R505" s="4">
        <v>0</v>
      </c>
      <c r="S505" s="6">
        <v>0</v>
      </c>
      <c r="T505" s="6">
        <v>59</v>
      </c>
      <c r="U505" s="6">
        <v>66</v>
      </c>
      <c r="V505" s="6">
        <f>IF(ISERROR(VLOOKUP($S$505,'TAR FIN'!$A$1:$O$91,15,0)),0,VLOOKUP($S$505,'TAR FIN'!$A$1:$O$91,15,0))</f>
        <v>0</v>
      </c>
      <c r="W505" s="6">
        <f>IF(ISERROR(VLOOKUP($T$505,'TAR FIN'!$A$1:$O$91,15,0)),0,VLOOKUP($T$505,'TAR FIN'!$A$1:$O$91,15,0))</f>
        <v>147.97999999999999</v>
      </c>
      <c r="X505" s="6">
        <f>IF(ISERROR(VLOOKUP($U$505,'TAR FIN'!$A$1:$O$91,15,0)),0,VLOOKUP($U$505,'TAR FIN'!$A$1:$O$91,15,0))</f>
        <v>73.680000000000007</v>
      </c>
      <c r="Y505" s="6"/>
      <c r="Z505" s="6">
        <f ca="1">('TUSD BE'!$AM$54+'TUSD BF'!$AM$54+'TUSD CVA'!$AM$54)*1</f>
        <v>189.09808145122028</v>
      </c>
      <c r="AA505" s="6">
        <f>('TE BE'!$AB$42+'TE BF'!$AB$42+'TE CVA'!$AB$42)*1</f>
        <v>63.120914389318308</v>
      </c>
      <c r="AB505" s="6">
        <f>$K$505*$V$505</f>
        <v>0</v>
      </c>
      <c r="AC505" s="6">
        <f>$M$505*$W$505</f>
        <v>149733.26703999998</v>
      </c>
      <c r="AD505" s="6">
        <f>$O$505*$X$505</f>
        <v>74552.960640000005</v>
      </c>
      <c r="AE505" s="6">
        <f>$K$505*$Y$505</f>
        <v>0</v>
      </c>
      <c r="AF505" s="6">
        <f ca="1">$M$505*$Z$505</f>
        <v>191338.51552025432</v>
      </c>
      <c r="AG505" s="6">
        <f>$O$505*$AA$505</f>
        <v>63868.770983002949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6186-0F39-4348-9E56-E8A06A46FF86}">
  <dimension ref="A1:AJ506"/>
  <sheetViews>
    <sheetView showGridLines="0" workbookViewId="0">
      <selection sqref="A1:AF167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H1" s="40" t="s">
        <v>643</v>
      </c>
      <c r="AI1" s="40" t="s">
        <v>648</v>
      </c>
      <c r="AJ1" s="40" t="s">
        <v>649</v>
      </c>
    </row>
    <row r="2" spans="1:36" ht="11.25" customHeight="1" x14ac:dyDescent="0.25">
      <c r="A2" s="4" t="s">
        <v>21</v>
      </c>
      <c r="B2" s="4" t="s">
        <v>39</v>
      </c>
      <c r="C2" s="4" t="s">
        <v>36</v>
      </c>
      <c r="D2" s="4" t="s">
        <v>48</v>
      </c>
      <c r="E2" s="4" t="s">
        <v>49</v>
      </c>
      <c r="F2" s="4" t="s">
        <v>25</v>
      </c>
      <c r="G2" s="4" t="s">
        <v>25</v>
      </c>
      <c r="H2" s="4" t="s">
        <v>38</v>
      </c>
      <c r="I2" s="5">
        <v>44440</v>
      </c>
      <c r="J2" s="6">
        <v>505</v>
      </c>
      <c r="K2" s="58">
        <v>505</v>
      </c>
      <c r="L2" s="6">
        <v>145.86699999999999</v>
      </c>
      <c r="M2" s="59">
        <v>145.86699999999999</v>
      </c>
      <c r="N2" s="6">
        <v>145.86699999999999</v>
      </c>
      <c r="O2" s="59">
        <v>145.86699999999999</v>
      </c>
      <c r="P2" s="6">
        <v>0</v>
      </c>
      <c r="Q2" s="4" t="s">
        <v>26</v>
      </c>
      <c r="R2" s="4">
        <v>0</v>
      </c>
      <c r="S2" s="4">
        <v>12</v>
      </c>
      <c r="T2" s="4">
        <v>10</v>
      </c>
      <c r="U2" s="4">
        <v>85</v>
      </c>
      <c r="V2" s="59">
        <f>IF(ISERROR(VLOOKUP($S$2,'TAR FIN'!$A$1:$O$91,15,0)),0,VLOOKUP($S$2,'TAR FIN'!$A$1:$O$91,15,0))*(1-0.06)</f>
        <v>13.582999999999998</v>
      </c>
      <c r="W2" s="59">
        <f>IF(ISERROR(VLOOKUP($T$2,'TAR FIN'!$A$1:$O$91,15,0)),0,VLOOKUP($T$2,'TAR FIN'!$A$1:$O$91,15,0))*(1-0.06)</f>
        <v>85.229799999999997</v>
      </c>
      <c r="X2" s="59">
        <f>IF(ISERROR(VLOOKUP($U$2,'TAR FIN'!$A$1:$O$91,15,0)),0,VLOOKUP($U$2,'TAR FIN'!$A$1:$O$91,15,0))*(1-0.06)</f>
        <v>125.9318</v>
      </c>
      <c r="Y2" s="59">
        <f ca="1">('TUSD BE'!$AM$10+'TUSD BF'!$AM$10+'TUSD CVA'!$AM$10)*1*(1-0.03)</f>
        <v>17.821144123367016</v>
      </c>
      <c r="Z2" s="59">
        <f ca="1">('TUSD BE'!$AM$11+'TUSD BF'!$AM$11+'TUSD CVA'!$AM$11)*1*(1-0.03)</f>
        <v>117.99412696008461</v>
      </c>
      <c r="AA2" s="59">
        <f>('TE BE'!$AB$8+'TE BF'!$AB$8+'TE CVA'!$AB$8)*1*(1-0.03)</f>
        <v>111.32233992297954</v>
      </c>
      <c r="AB2" s="59">
        <f>(SUBSIDIO!$J$2*SUBSIDIO!$V$2)*(0.06)/(1-0.06)</f>
        <v>437.83499999999992</v>
      </c>
      <c r="AC2" s="59">
        <f>((SUBSIDIO!$L$2*SUBSIDIO!$W$2)+(SUBSIDIO!$N$2*SUBSIDIO!$X$2))*(0.06)/(1-0.06)</f>
        <v>1966.0537727999999</v>
      </c>
      <c r="AD2" s="59">
        <f ca="1">(SUBSIDIO!$J$2*SUBSIDIO!$Y$2)*(0.03)/(1-0.03)</f>
        <v>278.34054996805185</v>
      </c>
      <c r="AE2" s="59">
        <f ca="1">((SUBSIDIO!$L$2*SUBSIDIO!$Z$2)+(SUBSIDIO!$N$2*SUBSIDIO!$AA$2))*(0.03)/(1-0.03)</f>
        <v>1034.5269610772757</v>
      </c>
      <c r="AF2" s="4" t="s">
        <v>644</v>
      </c>
      <c r="AH2" s="41" t="s">
        <v>650</v>
      </c>
      <c r="AI2" s="42">
        <f t="shared" ref="AI2:AI9" si="0">SUMIF($AF$2:$AF$506,AH2,$AB$2:$AB$506)+SUMIF($AF$2:$AF$506,AH2,$AC$2:$AC$506)</f>
        <v>0</v>
      </c>
      <c r="AJ2" s="42">
        <f t="shared" ref="AJ2:AJ9" si="1">SUMIF($AF$2:$AF$506,AH2,$AD$2:$AD$506)+SUMIF($AF$2:$AF$506,AH2,$AE$2:$AE$506)</f>
        <v>0</v>
      </c>
    </row>
    <row r="3" spans="1:36" ht="11.25" customHeight="1" x14ac:dyDescent="0.25">
      <c r="A3" s="4" t="s">
        <v>21</v>
      </c>
      <c r="B3" s="4" t="s">
        <v>39</v>
      </c>
      <c r="C3" s="4" t="s">
        <v>36</v>
      </c>
      <c r="D3" s="4" t="s">
        <v>48</v>
      </c>
      <c r="E3" s="4" t="s">
        <v>49</v>
      </c>
      <c r="F3" s="4" t="s">
        <v>25</v>
      </c>
      <c r="G3" s="4" t="s">
        <v>25</v>
      </c>
      <c r="H3" s="4" t="s">
        <v>38</v>
      </c>
      <c r="I3" s="5">
        <v>44470</v>
      </c>
      <c r="J3" s="6">
        <v>447</v>
      </c>
      <c r="K3" s="58">
        <v>447</v>
      </c>
      <c r="L3" s="6">
        <v>144.97499999999999</v>
      </c>
      <c r="M3" s="59">
        <v>144.97499999999999</v>
      </c>
      <c r="N3" s="6">
        <v>144.97499999999999</v>
      </c>
      <c r="O3" s="59">
        <v>144.97499999999999</v>
      </c>
      <c r="P3" s="6">
        <v>0</v>
      </c>
      <c r="Q3" s="4" t="s">
        <v>26</v>
      </c>
      <c r="R3" s="4">
        <v>0</v>
      </c>
      <c r="S3" s="4">
        <v>12</v>
      </c>
      <c r="T3" s="4">
        <v>10</v>
      </c>
      <c r="U3" s="4">
        <v>85</v>
      </c>
      <c r="V3" s="59">
        <f>IF(ISERROR(VLOOKUP($S$3,'TAR FIN'!$A$1:$O$91,15,0)),0,VLOOKUP($S$3,'TAR FIN'!$A$1:$O$91,15,0))*(1-0.06)</f>
        <v>13.582999999999998</v>
      </c>
      <c r="W3" s="59">
        <f>IF(ISERROR(VLOOKUP($T$3,'TAR FIN'!$A$1:$O$91,15,0)),0,VLOOKUP($T$3,'TAR FIN'!$A$1:$O$91,15,0))*(1-0.06)</f>
        <v>85.229799999999997</v>
      </c>
      <c r="X3" s="59">
        <f>IF(ISERROR(VLOOKUP($U$3,'TAR FIN'!$A$1:$O$91,15,0)),0,VLOOKUP($U$3,'TAR FIN'!$A$1:$O$91,15,0))*(1-0.06)</f>
        <v>125.9318</v>
      </c>
      <c r="Y3" s="59">
        <f ca="1">('TUSD BE'!$AM$10+'TUSD BF'!$AM$10+'TUSD CVA'!$AM$10)*1*(1-0.03)</f>
        <v>17.821144123367016</v>
      </c>
      <c r="Z3" s="59">
        <f ca="1">('TUSD BE'!$AM$11+'TUSD BF'!$AM$11+'TUSD CVA'!$AM$11)*1*(1-0.03)</f>
        <v>117.99412696008461</v>
      </c>
      <c r="AA3" s="59">
        <f>('TE BE'!$AB$8+'TE BF'!$AB$8+'TE CVA'!$AB$8)*1*(1-0.03)</f>
        <v>111.32233992297954</v>
      </c>
      <c r="AB3" s="59">
        <f>(SUBSIDIO!$J$3*SUBSIDIO!$V$3)*(0.06)/(1-0.06)</f>
        <v>387.54899999999998</v>
      </c>
      <c r="AC3" s="59">
        <f>((SUBSIDIO!$L$3*SUBSIDIO!$W$3)+(SUBSIDIO!$N$3*SUBSIDIO!$X$3))*(0.06)/(1-0.06)</f>
        <v>1954.0310400000001</v>
      </c>
      <c r="AD3" s="59">
        <f ca="1">(SUBSIDIO!$J$3*SUBSIDIO!$Y$3)*(0.03)/(1-0.03)</f>
        <v>246.37272442716667</v>
      </c>
      <c r="AE3" s="59">
        <f ca="1">((SUBSIDIO!$L$3*SUBSIDIO!$Z$3)+(SUBSIDIO!$N$3*SUBSIDIO!$AA$3))*(0.03)/(1-0.03)</f>
        <v>1028.200663496048</v>
      </c>
      <c r="AF3" s="4" t="s">
        <v>644</v>
      </c>
      <c r="AH3" s="41" t="s">
        <v>651</v>
      </c>
      <c r="AI3" s="42">
        <f t="shared" si="0"/>
        <v>0</v>
      </c>
      <c r="AJ3" s="42">
        <f t="shared" si="1"/>
        <v>0</v>
      </c>
    </row>
    <row r="4" spans="1:36" ht="11.25" customHeight="1" x14ac:dyDescent="0.25">
      <c r="A4" s="4" t="s">
        <v>21</v>
      </c>
      <c r="B4" s="4" t="s">
        <v>39</v>
      </c>
      <c r="C4" s="4" t="s">
        <v>36</v>
      </c>
      <c r="D4" s="4" t="s">
        <v>48</v>
      </c>
      <c r="E4" s="4" t="s">
        <v>49</v>
      </c>
      <c r="F4" s="4" t="s">
        <v>25</v>
      </c>
      <c r="G4" s="4" t="s">
        <v>25</v>
      </c>
      <c r="H4" s="4" t="s">
        <v>38</v>
      </c>
      <c r="I4" s="5">
        <v>44501</v>
      </c>
      <c r="J4" s="6">
        <v>447</v>
      </c>
      <c r="K4" s="58">
        <v>447</v>
      </c>
      <c r="L4" s="6">
        <v>146.18100000000001</v>
      </c>
      <c r="M4" s="59">
        <v>146.18100000000001</v>
      </c>
      <c r="N4" s="6">
        <v>146.18100000000001</v>
      </c>
      <c r="O4" s="59">
        <v>146.18100000000001</v>
      </c>
      <c r="P4" s="6">
        <v>0</v>
      </c>
      <c r="Q4" s="4" t="s">
        <v>26</v>
      </c>
      <c r="R4" s="4">
        <v>0</v>
      </c>
      <c r="S4" s="4">
        <v>12</v>
      </c>
      <c r="T4" s="4">
        <v>10</v>
      </c>
      <c r="U4" s="4">
        <v>85</v>
      </c>
      <c r="V4" s="59">
        <f>IF(ISERROR(VLOOKUP($S$4,'TAR FIN'!$A$1:$O$91,15,0)),0,VLOOKUP($S$4,'TAR FIN'!$A$1:$O$91,15,0))*(1-0.06)</f>
        <v>13.582999999999998</v>
      </c>
      <c r="W4" s="59">
        <f>IF(ISERROR(VLOOKUP($T$4,'TAR FIN'!$A$1:$O$91,15,0)),0,VLOOKUP($T$4,'TAR FIN'!$A$1:$O$91,15,0))*(1-0.06)</f>
        <v>85.229799999999997</v>
      </c>
      <c r="X4" s="59">
        <f>IF(ISERROR(VLOOKUP($U$4,'TAR FIN'!$A$1:$O$91,15,0)),0,VLOOKUP($U$4,'TAR FIN'!$A$1:$O$91,15,0))*(1-0.06)</f>
        <v>125.9318</v>
      </c>
      <c r="Y4" s="59">
        <f ca="1">('TUSD BE'!$AM$10+'TUSD BF'!$AM$10+'TUSD CVA'!$AM$10)*1*(1-0.03)</f>
        <v>17.821144123367016</v>
      </c>
      <c r="Z4" s="59">
        <f ca="1">('TUSD BE'!$AM$11+'TUSD BF'!$AM$11+'TUSD CVA'!$AM$11)*1*(1-0.03)</f>
        <v>117.99412696008461</v>
      </c>
      <c r="AA4" s="59">
        <f>('TE BE'!$AB$8+'TE BF'!$AB$8+'TE CVA'!$AB$8)*1*(1-0.03)</f>
        <v>111.32233992297954</v>
      </c>
      <c r="AB4" s="59">
        <f>(SUBSIDIO!$J$4*SUBSIDIO!$V$4)*(0.06)/(1-0.06)</f>
        <v>387.54899999999998</v>
      </c>
      <c r="AC4" s="59">
        <f>((SUBSIDIO!$L$4*SUBSIDIO!$W$4)+(SUBSIDIO!$N$4*SUBSIDIO!$X$4))*(0.06)/(1-0.06)</f>
        <v>1970.2859903999999</v>
      </c>
      <c r="AD4" s="59">
        <f ca="1">(SUBSIDIO!$J$4*SUBSIDIO!$Y$4)*(0.03)/(1-0.03)</f>
        <v>246.37272442716667</v>
      </c>
      <c r="AE4" s="59">
        <f ca="1">((SUBSIDIO!$L$4*SUBSIDIO!$Z$4)+(SUBSIDIO!$N$4*SUBSIDIO!$AA$4))*(0.03)/(1-0.03)</f>
        <v>1036.7539313020577</v>
      </c>
      <c r="AF4" s="4" t="s">
        <v>644</v>
      </c>
      <c r="AH4" s="41" t="s">
        <v>652</v>
      </c>
      <c r="AI4" s="42">
        <f t="shared" si="0"/>
        <v>0</v>
      </c>
      <c r="AJ4" s="42">
        <f t="shared" si="1"/>
        <v>0</v>
      </c>
    </row>
    <row r="5" spans="1:36" ht="11.25" customHeight="1" x14ac:dyDescent="0.25">
      <c r="A5" s="4" t="s">
        <v>21</v>
      </c>
      <c r="B5" s="4" t="s">
        <v>39</v>
      </c>
      <c r="C5" s="4" t="s">
        <v>36</v>
      </c>
      <c r="D5" s="4" t="s">
        <v>48</v>
      </c>
      <c r="E5" s="4" t="s">
        <v>49</v>
      </c>
      <c r="F5" s="4" t="s">
        <v>25</v>
      </c>
      <c r="G5" s="4" t="s">
        <v>25</v>
      </c>
      <c r="H5" s="4" t="s">
        <v>38</v>
      </c>
      <c r="I5" s="5">
        <v>44531</v>
      </c>
      <c r="J5" s="6">
        <v>447</v>
      </c>
      <c r="K5" s="58">
        <v>447</v>
      </c>
      <c r="L5" s="6">
        <v>145.358</v>
      </c>
      <c r="M5" s="59">
        <v>145.358</v>
      </c>
      <c r="N5" s="6">
        <v>145.358</v>
      </c>
      <c r="O5" s="59">
        <v>145.358</v>
      </c>
      <c r="P5" s="6">
        <v>0</v>
      </c>
      <c r="Q5" s="4" t="s">
        <v>26</v>
      </c>
      <c r="R5" s="4">
        <v>0</v>
      </c>
      <c r="S5" s="4">
        <v>12</v>
      </c>
      <c r="T5" s="4">
        <v>10</v>
      </c>
      <c r="U5" s="4">
        <v>85</v>
      </c>
      <c r="V5" s="59">
        <f>IF(ISERROR(VLOOKUP($S$5,'TAR FIN'!$A$1:$O$91,15,0)),0,VLOOKUP($S$5,'TAR FIN'!$A$1:$O$91,15,0))*(1-0.06)</f>
        <v>13.582999999999998</v>
      </c>
      <c r="W5" s="59">
        <f>IF(ISERROR(VLOOKUP($T$5,'TAR FIN'!$A$1:$O$91,15,0)),0,VLOOKUP($T$5,'TAR FIN'!$A$1:$O$91,15,0))*(1-0.06)</f>
        <v>85.229799999999997</v>
      </c>
      <c r="X5" s="59">
        <f>IF(ISERROR(VLOOKUP($U$5,'TAR FIN'!$A$1:$O$91,15,0)),0,VLOOKUP($U$5,'TAR FIN'!$A$1:$O$91,15,0))*(1-0.06)</f>
        <v>125.9318</v>
      </c>
      <c r="Y5" s="59">
        <f ca="1">('TUSD BE'!$AM$10+'TUSD BF'!$AM$10+'TUSD CVA'!$AM$10)*1*(1-0.03)</f>
        <v>17.821144123367016</v>
      </c>
      <c r="Z5" s="59">
        <f ca="1">('TUSD BE'!$AM$11+'TUSD BF'!$AM$11+'TUSD CVA'!$AM$11)*1*(1-0.03)</f>
        <v>117.99412696008461</v>
      </c>
      <c r="AA5" s="59">
        <f>('TE BE'!$AB$8+'TE BF'!$AB$8+'TE CVA'!$AB$8)*1*(1-0.03)</f>
        <v>111.32233992297954</v>
      </c>
      <c r="AB5" s="59">
        <f>(SUBSIDIO!$J$5*SUBSIDIO!$V$5)*(0.06)/(1-0.06)</f>
        <v>387.54899999999998</v>
      </c>
      <c r="AC5" s="59">
        <f>((SUBSIDIO!$L$5*SUBSIDIO!$W$5)+(SUBSIDIO!$N$5*SUBSIDIO!$X$5))*(0.06)/(1-0.06)</f>
        <v>1959.1932672</v>
      </c>
      <c r="AD5" s="59">
        <f ca="1">(SUBSIDIO!$J$5*SUBSIDIO!$Y$5)*(0.03)/(1-0.03)</f>
        <v>246.37272442716667</v>
      </c>
      <c r="AE5" s="59">
        <f ca="1">((SUBSIDIO!$L$5*SUBSIDIO!$Z$5)+(SUBSIDIO!$N$5*SUBSIDIO!$AA$5))*(0.03)/(1-0.03)</f>
        <v>1030.9169997893332</v>
      </c>
      <c r="AF5" s="4" t="s">
        <v>644</v>
      </c>
      <c r="AH5" s="41" t="s">
        <v>644</v>
      </c>
      <c r="AI5" s="42">
        <f t="shared" si="0"/>
        <v>65358.739817399997</v>
      </c>
      <c r="AJ5" s="42">
        <f t="shared" ca="1" si="1"/>
        <v>36946.96028925664</v>
      </c>
    </row>
    <row r="6" spans="1:36" ht="11.25" customHeight="1" x14ac:dyDescent="0.25">
      <c r="A6" s="4" t="s">
        <v>21</v>
      </c>
      <c r="B6" s="4" t="s">
        <v>39</v>
      </c>
      <c r="C6" s="4" t="s">
        <v>36</v>
      </c>
      <c r="D6" s="4" t="s">
        <v>48</v>
      </c>
      <c r="E6" s="4" t="s">
        <v>49</v>
      </c>
      <c r="F6" s="4" t="s">
        <v>25</v>
      </c>
      <c r="G6" s="4" t="s">
        <v>25</v>
      </c>
      <c r="H6" s="4" t="s">
        <v>38</v>
      </c>
      <c r="I6" s="5">
        <v>44562</v>
      </c>
      <c r="J6" s="6">
        <v>447</v>
      </c>
      <c r="K6" s="58">
        <v>447</v>
      </c>
      <c r="L6" s="6">
        <v>150.84800000000001</v>
      </c>
      <c r="M6" s="59">
        <v>150.84800000000001</v>
      </c>
      <c r="N6" s="6">
        <v>150.84800000000001</v>
      </c>
      <c r="O6" s="59">
        <v>150.84800000000001</v>
      </c>
      <c r="P6" s="6">
        <v>0</v>
      </c>
      <c r="Q6" s="4" t="s">
        <v>26</v>
      </c>
      <c r="R6" s="4">
        <v>0</v>
      </c>
      <c r="S6" s="4">
        <v>12</v>
      </c>
      <c r="T6" s="4">
        <v>10</v>
      </c>
      <c r="U6" s="4">
        <v>85</v>
      </c>
      <c r="V6" s="59">
        <f>IF(ISERROR(VLOOKUP($S$6,'TAR FIN'!$A$1:$O$91,15,0)),0,VLOOKUP($S$6,'TAR FIN'!$A$1:$O$91,15,0))*(1-0.06)</f>
        <v>13.582999999999998</v>
      </c>
      <c r="W6" s="59">
        <f>IF(ISERROR(VLOOKUP($T$6,'TAR FIN'!$A$1:$O$91,15,0)),0,VLOOKUP($T$6,'TAR FIN'!$A$1:$O$91,15,0))*(1-0.06)</f>
        <v>85.229799999999997</v>
      </c>
      <c r="X6" s="59">
        <f>IF(ISERROR(VLOOKUP($U$6,'TAR FIN'!$A$1:$O$91,15,0)),0,VLOOKUP($U$6,'TAR FIN'!$A$1:$O$91,15,0))*(1-0.06)</f>
        <v>125.9318</v>
      </c>
      <c r="Y6" s="59">
        <f ca="1">('TUSD BE'!$AM$10+'TUSD BF'!$AM$10+'TUSD CVA'!$AM$10)*1*(1-0.03)</f>
        <v>17.821144123367016</v>
      </c>
      <c r="Z6" s="59">
        <f ca="1">('TUSD BE'!$AM$11+'TUSD BF'!$AM$11+'TUSD CVA'!$AM$11)*1*(1-0.03)</f>
        <v>117.99412696008461</v>
      </c>
      <c r="AA6" s="59">
        <f>('TE BE'!$AB$8+'TE BF'!$AB$8+'TE CVA'!$AB$8)*1*(1-0.03)</f>
        <v>111.32233992297954</v>
      </c>
      <c r="AB6" s="59">
        <f>(SUBSIDIO!$J$6*SUBSIDIO!$V$6)*(0.06)/(1-0.06)</f>
        <v>387.54899999999998</v>
      </c>
      <c r="AC6" s="59">
        <f>((SUBSIDIO!$L$6*SUBSIDIO!$W$6)+(SUBSIDIO!$N$6*SUBSIDIO!$X$6))*(0.06)/(1-0.06)</f>
        <v>2033.1896832000002</v>
      </c>
      <c r="AD6" s="59">
        <f ca="1">(SUBSIDIO!$J$6*SUBSIDIO!$Y$6)*(0.03)/(1-0.03)</f>
        <v>246.37272442716667</v>
      </c>
      <c r="AE6" s="59">
        <f ca="1">((SUBSIDIO!$L$6*SUBSIDIO!$Z$6)+(SUBSIDIO!$N$6*SUBSIDIO!$AA$6))*(0.03)/(1-0.03)</f>
        <v>1069.853517413705</v>
      </c>
      <c r="AF6" s="4" t="s">
        <v>644</v>
      </c>
      <c r="AH6" s="41" t="s">
        <v>646</v>
      </c>
      <c r="AI6" s="42">
        <f t="shared" si="0"/>
        <v>742322.39423999935</v>
      </c>
      <c r="AJ6" s="42">
        <f t="shared" ca="1" si="1"/>
        <v>422262.8049658672</v>
      </c>
    </row>
    <row r="7" spans="1:36" ht="11.25" customHeight="1" x14ac:dyDescent="0.25">
      <c r="A7" s="4" t="s">
        <v>21</v>
      </c>
      <c r="B7" s="4" t="s">
        <v>39</v>
      </c>
      <c r="C7" s="4" t="s">
        <v>36</v>
      </c>
      <c r="D7" s="4" t="s">
        <v>48</v>
      </c>
      <c r="E7" s="4" t="s">
        <v>49</v>
      </c>
      <c r="F7" s="4" t="s">
        <v>25</v>
      </c>
      <c r="G7" s="4" t="s">
        <v>25</v>
      </c>
      <c r="H7" s="4" t="s">
        <v>38</v>
      </c>
      <c r="I7" s="5">
        <v>44593</v>
      </c>
      <c r="J7" s="6">
        <v>447</v>
      </c>
      <c r="K7" s="58">
        <v>447</v>
      </c>
      <c r="L7" s="6">
        <v>148.161</v>
      </c>
      <c r="M7" s="59">
        <v>148.161</v>
      </c>
      <c r="N7" s="6">
        <v>148.161</v>
      </c>
      <c r="O7" s="59">
        <v>148.161</v>
      </c>
      <c r="P7" s="6">
        <v>0</v>
      </c>
      <c r="Q7" s="4" t="s">
        <v>26</v>
      </c>
      <c r="R7" s="4">
        <v>0</v>
      </c>
      <c r="S7" s="4">
        <v>12</v>
      </c>
      <c r="T7" s="4">
        <v>10</v>
      </c>
      <c r="U7" s="4">
        <v>85</v>
      </c>
      <c r="V7" s="59">
        <f>IF(ISERROR(VLOOKUP($S$7,'TAR FIN'!$A$1:$O$91,15,0)),0,VLOOKUP($S$7,'TAR FIN'!$A$1:$O$91,15,0))*(1-0.06)</f>
        <v>13.582999999999998</v>
      </c>
      <c r="W7" s="59">
        <f>IF(ISERROR(VLOOKUP($T$7,'TAR FIN'!$A$1:$O$91,15,0)),0,VLOOKUP($T$7,'TAR FIN'!$A$1:$O$91,15,0))*(1-0.06)</f>
        <v>85.229799999999997</v>
      </c>
      <c r="X7" s="59">
        <f>IF(ISERROR(VLOOKUP($U$7,'TAR FIN'!$A$1:$O$91,15,0)),0,VLOOKUP($U$7,'TAR FIN'!$A$1:$O$91,15,0))*(1-0.06)</f>
        <v>125.9318</v>
      </c>
      <c r="Y7" s="59">
        <f ca="1">('TUSD BE'!$AM$10+'TUSD BF'!$AM$10+'TUSD CVA'!$AM$10)*1*(1-0.03)</f>
        <v>17.821144123367016</v>
      </c>
      <c r="Z7" s="59">
        <f ca="1">('TUSD BE'!$AM$11+'TUSD BF'!$AM$11+'TUSD CVA'!$AM$11)*1*(1-0.03)</f>
        <v>117.99412696008461</v>
      </c>
      <c r="AA7" s="59">
        <f>('TE BE'!$AB$8+'TE BF'!$AB$8+'TE CVA'!$AB$8)*1*(1-0.03)</f>
        <v>111.32233992297954</v>
      </c>
      <c r="AB7" s="59">
        <f>(SUBSIDIO!$J$7*SUBSIDIO!$V$7)*(0.06)/(1-0.06)</f>
        <v>387.54899999999998</v>
      </c>
      <c r="AC7" s="59">
        <f>((SUBSIDIO!$L$7*SUBSIDIO!$W$7)+(SUBSIDIO!$N$7*SUBSIDIO!$X$7))*(0.06)/(1-0.06)</f>
        <v>1996.9732223999997</v>
      </c>
      <c r="AD7" s="59">
        <f ca="1">(SUBSIDIO!$J$7*SUBSIDIO!$Y$7)*(0.03)/(1-0.03)</f>
        <v>246.37272442716667</v>
      </c>
      <c r="AE7" s="59">
        <f ca="1">((SUBSIDIO!$L$7*SUBSIDIO!$Z$7)+(SUBSIDIO!$N$7*SUBSIDIO!$AA$7))*(0.03)/(1-0.03)</f>
        <v>1050.7966097895362</v>
      </c>
      <c r="AF7" s="4" t="s">
        <v>644</v>
      </c>
      <c r="AH7" s="41" t="s">
        <v>647</v>
      </c>
      <c r="AI7" s="42">
        <f t="shared" si="0"/>
        <v>168623.13372999991</v>
      </c>
      <c r="AJ7" s="42">
        <f t="shared" ca="1" si="1"/>
        <v>184756.70617069083</v>
      </c>
    </row>
    <row r="8" spans="1:36" ht="11.25" customHeight="1" x14ac:dyDescent="0.25">
      <c r="A8" s="4" t="s">
        <v>21</v>
      </c>
      <c r="B8" s="4" t="s">
        <v>39</v>
      </c>
      <c r="C8" s="4" t="s">
        <v>36</v>
      </c>
      <c r="D8" s="4" t="s">
        <v>48</v>
      </c>
      <c r="E8" s="4" t="s">
        <v>49</v>
      </c>
      <c r="F8" s="4" t="s">
        <v>25</v>
      </c>
      <c r="G8" s="4" t="s">
        <v>25</v>
      </c>
      <c r="H8" s="4" t="s">
        <v>38</v>
      </c>
      <c r="I8" s="5">
        <v>44621</v>
      </c>
      <c r="J8" s="6">
        <v>447</v>
      </c>
      <c r="K8" s="58">
        <v>447</v>
      </c>
      <c r="L8" s="6">
        <v>160.24100000000001</v>
      </c>
      <c r="M8" s="59">
        <v>160.24100000000001</v>
      </c>
      <c r="N8" s="6">
        <v>160.24100000000001</v>
      </c>
      <c r="O8" s="59">
        <v>160.24100000000001</v>
      </c>
      <c r="P8" s="6">
        <v>0</v>
      </c>
      <c r="Q8" s="4" t="s">
        <v>26</v>
      </c>
      <c r="R8" s="4">
        <v>0</v>
      </c>
      <c r="S8" s="4">
        <v>12</v>
      </c>
      <c r="T8" s="4">
        <v>10</v>
      </c>
      <c r="U8" s="4">
        <v>85</v>
      </c>
      <c r="V8" s="59">
        <f>IF(ISERROR(VLOOKUP($S$8,'TAR FIN'!$A$1:$O$91,15,0)),0,VLOOKUP($S$8,'TAR FIN'!$A$1:$O$91,15,0))*(1-0.06)</f>
        <v>13.582999999999998</v>
      </c>
      <c r="W8" s="59">
        <f>IF(ISERROR(VLOOKUP($T$8,'TAR FIN'!$A$1:$O$91,15,0)),0,VLOOKUP($T$8,'TAR FIN'!$A$1:$O$91,15,0))*(1-0.06)</f>
        <v>85.229799999999997</v>
      </c>
      <c r="X8" s="59">
        <f>IF(ISERROR(VLOOKUP($U$8,'TAR FIN'!$A$1:$O$91,15,0)),0,VLOOKUP($U$8,'TAR FIN'!$A$1:$O$91,15,0))*(1-0.06)</f>
        <v>125.9318</v>
      </c>
      <c r="Y8" s="59">
        <f ca="1">('TUSD BE'!$AM$10+'TUSD BF'!$AM$10+'TUSD CVA'!$AM$10)*1*(1-0.03)</f>
        <v>17.821144123367016</v>
      </c>
      <c r="Z8" s="59">
        <f ca="1">('TUSD BE'!$AM$11+'TUSD BF'!$AM$11+'TUSD CVA'!$AM$11)*1*(1-0.03)</f>
        <v>117.99412696008461</v>
      </c>
      <c r="AA8" s="59">
        <f>('TE BE'!$AB$8+'TE BF'!$AB$8+'TE CVA'!$AB$8)*1*(1-0.03)</f>
        <v>111.32233992297954</v>
      </c>
      <c r="AB8" s="59">
        <f>(SUBSIDIO!$J$8*SUBSIDIO!$V$8)*(0.06)/(1-0.06)</f>
        <v>387.54899999999998</v>
      </c>
      <c r="AC8" s="59">
        <f>((SUBSIDIO!$L$8*SUBSIDIO!$W$8)+(SUBSIDIO!$N$8*SUBSIDIO!$X$8))*(0.06)/(1-0.06)</f>
        <v>2159.7922944000006</v>
      </c>
      <c r="AD8" s="59">
        <f ca="1">(SUBSIDIO!$J$8*SUBSIDIO!$Y$8)*(0.03)/(1-0.03)</f>
        <v>246.37272442716667</v>
      </c>
      <c r="AE8" s="59">
        <f ca="1">((SUBSIDIO!$L$8*SUBSIDIO!$Z$8)+(SUBSIDIO!$N$8*SUBSIDIO!$AA$8))*(0.03)/(1-0.03)</f>
        <v>1136.471133086879</v>
      </c>
      <c r="AF8" s="4" t="s">
        <v>644</v>
      </c>
      <c r="AH8" s="41" t="s">
        <v>645</v>
      </c>
      <c r="AI8" s="42">
        <f t="shared" si="0"/>
        <v>112846.71196999996</v>
      </c>
      <c r="AJ8" s="42">
        <f t="shared" ca="1" si="1"/>
        <v>118576.73565544355</v>
      </c>
    </row>
    <row r="9" spans="1:36" ht="11.25" customHeight="1" x14ac:dyDescent="0.25">
      <c r="A9" s="4" t="s">
        <v>21</v>
      </c>
      <c r="B9" s="4" t="s">
        <v>39</v>
      </c>
      <c r="C9" s="4" t="s">
        <v>36</v>
      </c>
      <c r="D9" s="4" t="s">
        <v>48</v>
      </c>
      <c r="E9" s="4" t="s">
        <v>49</v>
      </c>
      <c r="F9" s="4" t="s">
        <v>25</v>
      </c>
      <c r="G9" s="4" t="s">
        <v>25</v>
      </c>
      <c r="H9" s="4" t="s">
        <v>38</v>
      </c>
      <c r="I9" s="5">
        <v>44652</v>
      </c>
      <c r="J9" s="6">
        <v>447</v>
      </c>
      <c r="K9" s="58">
        <v>447</v>
      </c>
      <c r="L9" s="6">
        <v>137.077</v>
      </c>
      <c r="M9" s="59">
        <v>137.077</v>
      </c>
      <c r="N9" s="6">
        <v>137.077</v>
      </c>
      <c r="O9" s="59">
        <v>137.077</v>
      </c>
      <c r="P9" s="6">
        <v>0</v>
      </c>
      <c r="Q9" s="4" t="s">
        <v>26</v>
      </c>
      <c r="R9" s="4">
        <v>0</v>
      </c>
      <c r="S9" s="4">
        <v>12</v>
      </c>
      <c r="T9" s="4">
        <v>10</v>
      </c>
      <c r="U9" s="4">
        <v>85</v>
      </c>
      <c r="V9" s="59">
        <f>IF(ISERROR(VLOOKUP($S$9,'TAR FIN'!$A$1:$O$91,15,0)),0,VLOOKUP($S$9,'TAR FIN'!$A$1:$O$91,15,0))*(1-0.06)</f>
        <v>13.582999999999998</v>
      </c>
      <c r="W9" s="59">
        <f>IF(ISERROR(VLOOKUP($T$9,'TAR FIN'!$A$1:$O$91,15,0)),0,VLOOKUP($T$9,'TAR FIN'!$A$1:$O$91,15,0))*(1-0.06)</f>
        <v>85.229799999999997</v>
      </c>
      <c r="X9" s="59">
        <f>IF(ISERROR(VLOOKUP($U$9,'TAR FIN'!$A$1:$O$91,15,0)),0,VLOOKUP($U$9,'TAR FIN'!$A$1:$O$91,15,0))*(1-0.06)</f>
        <v>125.9318</v>
      </c>
      <c r="Y9" s="59">
        <f ca="1">('TUSD BE'!$AM$10+'TUSD BF'!$AM$10+'TUSD CVA'!$AM$10)*1*(1-0.03)</f>
        <v>17.821144123367016</v>
      </c>
      <c r="Z9" s="59">
        <f ca="1">('TUSD BE'!$AM$11+'TUSD BF'!$AM$11+'TUSD CVA'!$AM$11)*1*(1-0.03)</f>
        <v>117.99412696008461</v>
      </c>
      <c r="AA9" s="59">
        <f>('TE BE'!$AB$8+'TE BF'!$AB$8+'TE CVA'!$AB$8)*1*(1-0.03)</f>
        <v>111.32233992297954</v>
      </c>
      <c r="AB9" s="59">
        <f>(SUBSIDIO!$J$9*SUBSIDIO!$V$9)*(0.06)/(1-0.06)</f>
        <v>387.54899999999998</v>
      </c>
      <c r="AC9" s="59">
        <f>((SUBSIDIO!$L$9*SUBSIDIO!$W$9)+(SUBSIDIO!$N$9*SUBSIDIO!$X$9))*(0.06)/(1-0.06)</f>
        <v>1847.5786367999997</v>
      </c>
      <c r="AD9" s="59">
        <f ca="1">(SUBSIDIO!$J$9*SUBSIDIO!$Y$9)*(0.03)/(1-0.03)</f>
        <v>246.37272442716667</v>
      </c>
      <c r="AE9" s="59">
        <f ca="1">((SUBSIDIO!$L$9*SUBSIDIO!$Z$9)+(SUBSIDIO!$N$9*SUBSIDIO!$AA$9))*(0.03)/(1-0.03)</f>
        <v>972.18597930710678</v>
      </c>
      <c r="AF9" s="4" t="s">
        <v>644</v>
      </c>
      <c r="AH9" s="41" t="s">
        <v>653</v>
      </c>
      <c r="AI9" s="42">
        <f t="shared" si="0"/>
        <v>0</v>
      </c>
      <c r="AJ9" s="42">
        <f t="shared" si="1"/>
        <v>0</v>
      </c>
    </row>
    <row r="10" spans="1:36" ht="11.25" customHeight="1" x14ac:dyDescent="0.25">
      <c r="A10" s="4" t="s">
        <v>21</v>
      </c>
      <c r="B10" s="4" t="s">
        <v>39</v>
      </c>
      <c r="C10" s="4" t="s">
        <v>36</v>
      </c>
      <c r="D10" s="4" t="s">
        <v>48</v>
      </c>
      <c r="E10" s="4" t="s">
        <v>49</v>
      </c>
      <c r="F10" s="4" t="s">
        <v>25</v>
      </c>
      <c r="G10" s="4" t="s">
        <v>25</v>
      </c>
      <c r="H10" s="4" t="s">
        <v>38</v>
      </c>
      <c r="I10" s="5">
        <v>44682</v>
      </c>
      <c r="J10" s="6">
        <v>497</v>
      </c>
      <c r="K10" s="58">
        <v>497</v>
      </c>
      <c r="L10" s="6">
        <v>130.45599999999999</v>
      </c>
      <c r="M10" s="59">
        <v>130.45599999999999</v>
      </c>
      <c r="N10" s="6">
        <v>130.45599999999999</v>
      </c>
      <c r="O10" s="59">
        <v>130.45599999999999</v>
      </c>
      <c r="P10" s="6">
        <v>0</v>
      </c>
      <c r="Q10" s="4" t="s">
        <v>26</v>
      </c>
      <c r="R10" s="4">
        <v>0</v>
      </c>
      <c r="S10" s="4">
        <v>12</v>
      </c>
      <c r="T10" s="4">
        <v>10</v>
      </c>
      <c r="U10" s="4">
        <v>85</v>
      </c>
      <c r="V10" s="59">
        <f>IF(ISERROR(VLOOKUP($S$10,'TAR FIN'!$A$1:$O$91,15,0)),0,VLOOKUP($S$10,'TAR FIN'!$A$1:$O$91,15,0))*(1-0.06)</f>
        <v>13.582999999999998</v>
      </c>
      <c r="W10" s="59">
        <f>IF(ISERROR(VLOOKUP($T$10,'TAR FIN'!$A$1:$O$91,15,0)),0,VLOOKUP($T$10,'TAR FIN'!$A$1:$O$91,15,0))*(1-0.06)</f>
        <v>85.229799999999997</v>
      </c>
      <c r="X10" s="59">
        <f>IF(ISERROR(VLOOKUP($U$10,'TAR FIN'!$A$1:$O$91,15,0)),0,VLOOKUP($U$10,'TAR FIN'!$A$1:$O$91,15,0))*(1-0.06)</f>
        <v>125.9318</v>
      </c>
      <c r="Y10" s="59">
        <f ca="1">('TUSD BE'!$AM$10+'TUSD BF'!$AM$10+'TUSD CVA'!$AM$10)*1*(1-0.03)</f>
        <v>17.821144123367016</v>
      </c>
      <c r="Z10" s="59">
        <f ca="1">('TUSD BE'!$AM$11+'TUSD BF'!$AM$11+'TUSD CVA'!$AM$11)*1*(1-0.03)</f>
        <v>117.99412696008461</v>
      </c>
      <c r="AA10" s="59">
        <f>('TE BE'!$AB$8+'TE BF'!$AB$8+'TE CVA'!$AB$8)*1*(1-0.03)</f>
        <v>111.32233992297954</v>
      </c>
      <c r="AB10" s="59">
        <f>(SUBSIDIO!$J$10*SUBSIDIO!$V$10)*(0.06)/(1-0.06)</f>
        <v>430.89899999999994</v>
      </c>
      <c r="AC10" s="59">
        <f>((SUBSIDIO!$L$10*SUBSIDIO!$W$10)+(SUBSIDIO!$N$10*SUBSIDIO!$X$10))*(0.06)/(1-0.06)</f>
        <v>1758.3381503999997</v>
      </c>
      <c r="AD10" s="59">
        <f ca="1">(SUBSIDIO!$J$10*SUBSIDIO!$Y$10)*(0.03)/(1-0.03)</f>
        <v>273.93119472103319</v>
      </c>
      <c r="AE10" s="59">
        <f ca="1">((SUBSIDIO!$L$10*SUBSIDIO!$Z$10)+(SUBSIDIO!$N$10*SUBSIDIO!$AA$10))*(0.03)/(1-0.03)</f>
        <v>925.22811351640246</v>
      </c>
      <c r="AF10" s="4" t="s">
        <v>644</v>
      </c>
    </row>
    <row r="11" spans="1:36" ht="11.25" customHeight="1" x14ac:dyDescent="0.25">
      <c r="A11" s="4" t="s">
        <v>21</v>
      </c>
      <c r="B11" s="4" t="s">
        <v>39</v>
      </c>
      <c r="C11" s="4" t="s">
        <v>36</v>
      </c>
      <c r="D11" s="4" t="s">
        <v>48</v>
      </c>
      <c r="E11" s="4" t="s">
        <v>49</v>
      </c>
      <c r="F11" s="4" t="s">
        <v>25</v>
      </c>
      <c r="G11" s="4" t="s">
        <v>25</v>
      </c>
      <c r="H11" s="4" t="s">
        <v>38</v>
      </c>
      <c r="I11" s="5">
        <v>44713</v>
      </c>
      <c r="J11" s="6">
        <v>497</v>
      </c>
      <c r="K11" s="58">
        <v>497</v>
      </c>
      <c r="L11" s="6">
        <v>136.583</v>
      </c>
      <c r="M11" s="59">
        <v>136.583</v>
      </c>
      <c r="N11" s="6">
        <v>136.583</v>
      </c>
      <c r="O11" s="59">
        <v>136.583</v>
      </c>
      <c r="P11" s="6">
        <v>0</v>
      </c>
      <c r="Q11" s="4" t="s">
        <v>26</v>
      </c>
      <c r="R11" s="4">
        <v>0</v>
      </c>
      <c r="S11" s="4">
        <v>12</v>
      </c>
      <c r="T11" s="4">
        <v>10</v>
      </c>
      <c r="U11" s="4">
        <v>85</v>
      </c>
      <c r="V11" s="59">
        <f>IF(ISERROR(VLOOKUP($S$11,'TAR FIN'!$A$1:$O$91,15,0)),0,VLOOKUP($S$11,'TAR FIN'!$A$1:$O$91,15,0))*(1-0.06)</f>
        <v>13.582999999999998</v>
      </c>
      <c r="W11" s="59">
        <f>IF(ISERROR(VLOOKUP($T$11,'TAR FIN'!$A$1:$O$91,15,0)),0,VLOOKUP($T$11,'TAR FIN'!$A$1:$O$91,15,0))*(1-0.06)</f>
        <v>85.229799999999997</v>
      </c>
      <c r="X11" s="59">
        <f>IF(ISERROR(VLOOKUP($U$11,'TAR FIN'!$A$1:$O$91,15,0)),0,VLOOKUP($U$11,'TAR FIN'!$A$1:$O$91,15,0))*(1-0.06)</f>
        <v>125.9318</v>
      </c>
      <c r="Y11" s="59">
        <f ca="1">('TUSD BE'!$AM$10+'TUSD BF'!$AM$10+'TUSD CVA'!$AM$10)*1*(1-0.03)</f>
        <v>17.821144123367016</v>
      </c>
      <c r="Z11" s="59">
        <f ca="1">('TUSD BE'!$AM$11+'TUSD BF'!$AM$11+'TUSD CVA'!$AM$11)*1*(1-0.03)</f>
        <v>117.99412696008461</v>
      </c>
      <c r="AA11" s="59">
        <f>('TE BE'!$AB$8+'TE BF'!$AB$8+'TE CVA'!$AB$8)*1*(1-0.03)</f>
        <v>111.32233992297954</v>
      </c>
      <c r="AB11" s="59">
        <f>(SUBSIDIO!$J$11*SUBSIDIO!$V$11)*(0.06)/(1-0.06)</f>
        <v>430.89899999999994</v>
      </c>
      <c r="AC11" s="59">
        <f>((SUBSIDIO!$L$11*SUBSIDIO!$W$11)+(SUBSIDIO!$N$11*SUBSIDIO!$X$11))*(0.06)/(1-0.06)</f>
        <v>1840.9203072</v>
      </c>
      <c r="AD11" s="59">
        <f ca="1">(SUBSIDIO!$J$11*SUBSIDIO!$Y$11)*(0.03)/(1-0.03)</f>
        <v>273.93119472103319</v>
      </c>
      <c r="AE11" s="59">
        <f ca="1">((SUBSIDIO!$L$11*SUBSIDIO!$Z$11)+(SUBSIDIO!$N$11*SUBSIDIO!$AA$11))*(0.03)/(1-0.03)</f>
        <v>968.68240194709949</v>
      </c>
      <c r="AF11" s="4" t="s">
        <v>644</v>
      </c>
    </row>
    <row r="12" spans="1:36" ht="11.25" customHeight="1" x14ac:dyDescent="0.25">
      <c r="A12" s="4" t="s">
        <v>21</v>
      </c>
      <c r="B12" s="4" t="s">
        <v>39</v>
      </c>
      <c r="C12" s="4" t="s">
        <v>36</v>
      </c>
      <c r="D12" s="4" t="s">
        <v>48</v>
      </c>
      <c r="E12" s="4" t="s">
        <v>49</v>
      </c>
      <c r="F12" s="4" t="s">
        <v>25</v>
      </c>
      <c r="G12" s="4" t="s">
        <v>25</v>
      </c>
      <c r="H12" s="4" t="s">
        <v>38</v>
      </c>
      <c r="I12" s="5">
        <v>44743</v>
      </c>
      <c r="J12" s="6">
        <v>497</v>
      </c>
      <c r="K12" s="58">
        <v>497</v>
      </c>
      <c r="L12" s="6">
        <v>162.51599999999999</v>
      </c>
      <c r="M12" s="59">
        <v>162.51599999999999</v>
      </c>
      <c r="N12" s="6">
        <v>162.51599999999999</v>
      </c>
      <c r="O12" s="59">
        <v>162.51599999999999</v>
      </c>
      <c r="P12" s="6">
        <v>0</v>
      </c>
      <c r="Q12" s="4" t="s">
        <v>26</v>
      </c>
      <c r="R12" s="4">
        <v>0</v>
      </c>
      <c r="S12" s="4">
        <v>12</v>
      </c>
      <c r="T12" s="4">
        <v>10</v>
      </c>
      <c r="U12" s="4">
        <v>85</v>
      </c>
      <c r="V12" s="59">
        <f>IF(ISERROR(VLOOKUP($S$12,'TAR FIN'!$A$1:$O$91,15,0)),0,VLOOKUP($S$12,'TAR FIN'!$A$1:$O$91,15,0))*(1-0.06)</f>
        <v>13.582999999999998</v>
      </c>
      <c r="W12" s="59">
        <f>IF(ISERROR(VLOOKUP($T$12,'TAR FIN'!$A$1:$O$91,15,0)),0,VLOOKUP($T$12,'TAR FIN'!$A$1:$O$91,15,0))*(1-0.06)</f>
        <v>85.229799999999997</v>
      </c>
      <c r="X12" s="59">
        <f>IF(ISERROR(VLOOKUP($U$12,'TAR FIN'!$A$1:$O$91,15,0)),0,VLOOKUP($U$12,'TAR FIN'!$A$1:$O$91,15,0))*(1-0.06)</f>
        <v>125.9318</v>
      </c>
      <c r="Y12" s="59">
        <f ca="1">('TUSD BE'!$AM$10+'TUSD BF'!$AM$10+'TUSD CVA'!$AM$10)*1*(1-0.03)</f>
        <v>17.821144123367016</v>
      </c>
      <c r="Z12" s="59">
        <f ca="1">('TUSD BE'!$AM$11+'TUSD BF'!$AM$11+'TUSD CVA'!$AM$11)*1*(1-0.03)</f>
        <v>117.99412696008461</v>
      </c>
      <c r="AA12" s="59">
        <f>('TE BE'!$AB$8+'TE BF'!$AB$8+'TE CVA'!$AB$8)*1*(1-0.03)</f>
        <v>111.32233992297954</v>
      </c>
      <c r="AB12" s="59">
        <f>(SUBSIDIO!$J$12*SUBSIDIO!$V$12)*(0.06)/(1-0.06)</f>
        <v>430.89899999999994</v>
      </c>
      <c r="AC12" s="59">
        <f>((SUBSIDIO!$L$12*SUBSIDIO!$W$12)+(SUBSIDIO!$N$12*SUBSIDIO!$X$12))*(0.06)/(1-0.06)</f>
        <v>2190.4556544000002</v>
      </c>
      <c r="AD12" s="59">
        <f ca="1">(SUBSIDIO!$J$12*SUBSIDIO!$Y$12)*(0.03)/(1-0.03)</f>
        <v>273.93119472103319</v>
      </c>
      <c r="AE12" s="59">
        <f ca="1">((SUBSIDIO!$L$12*SUBSIDIO!$Z$12)+(SUBSIDIO!$N$12*SUBSIDIO!$AA$12))*(0.03)/(1-0.03)</f>
        <v>1152.6060288237543</v>
      </c>
      <c r="AF12" s="4" t="s">
        <v>644</v>
      </c>
    </row>
    <row r="13" spans="1:36" ht="11.25" customHeight="1" x14ac:dyDescent="0.25">
      <c r="A13" s="4" t="s">
        <v>57</v>
      </c>
      <c r="B13" s="4" t="s">
        <v>39</v>
      </c>
      <c r="C13" s="4" t="s">
        <v>36</v>
      </c>
      <c r="D13" s="4" t="s">
        <v>48</v>
      </c>
      <c r="E13" s="4" t="s">
        <v>49</v>
      </c>
      <c r="F13" s="4" t="s">
        <v>25</v>
      </c>
      <c r="G13" s="4" t="s">
        <v>25</v>
      </c>
      <c r="H13" s="4" t="s">
        <v>38</v>
      </c>
      <c r="I13" s="5">
        <v>44774</v>
      </c>
      <c r="J13" s="6">
        <v>497</v>
      </c>
      <c r="K13" s="58">
        <v>497</v>
      </c>
      <c r="L13" s="6">
        <v>162.51599999999999</v>
      </c>
      <c r="M13" s="59">
        <v>162.51599999999999</v>
      </c>
      <c r="N13" s="6">
        <v>162.51599999999999</v>
      </c>
      <c r="O13" s="59">
        <v>162.51599999999999</v>
      </c>
      <c r="P13" s="6">
        <v>0</v>
      </c>
      <c r="Q13" s="4" t="s">
        <v>26</v>
      </c>
      <c r="R13" s="4">
        <v>0</v>
      </c>
      <c r="S13" s="4">
        <v>12</v>
      </c>
      <c r="T13" s="4">
        <v>10</v>
      </c>
      <c r="U13" s="4">
        <v>85</v>
      </c>
      <c r="V13" s="59">
        <f>IF(ISERROR(VLOOKUP($S$13,'TAR FIN'!$A$1:$O$91,15,0)),0,VLOOKUP($S$13,'TAR FIN'!$A$1:$O$91,15,0))*(1-0.06)</f>
        <v>13.582999999999998</v>
      </c>
      <c r="W13" s="59">
        <f>IF(ISERROR(VLOOKUP($T$13,'TAR FIN'!$A$1:$O$91,15,0)),0,VLOOKUP($T$13,'TAR FIN'!$A$1:$O$91,15,0))*(1-0.06)</f>
        <v>85.229799999999997</v>
      </c>
      <c r="X13" s="59">
        <f>IF(ISERROR(VLOOKUP($U$13,'TAR FIN'!$A$1:$O$91,15,0)),0,VLOOKUP($U$13,'TAR FIN'!$A$1:$O$91,15,0))*(1-0.06)</f>
        <v>125.9318</v>
      </c>
      <c r="Y13" s="59">
        <f ca="1">('TUSD BE'!$AM$10+'TUSD BF'!$AM$10+'TUSD CVA'!$AM$10)*1*(1-0.03)</f>
        <v>17.821144123367016</v>
      </c>
      <c r="Z13" s="59">
        <f ca="1">('TUSD BE'!$AM$11+'TUSD BF'!$AM$11+'TUSD CVA'!$AM$11)*1*(1-0.03)</f>
        <v>117.99412696008461</v>
      </c>
      <c r="AA13" s="59">
        <f>('TE BE'!$AB$8+'TE BF'!$AB$8+'TE CVA'!$AB$8)*1*(1-0.03)</f>
        <v>111.32233992297954</v>
      </c>
      <c r="AB13" s="59">
        <f>(SUBSIDIO!$J$13*SUBSIDIO!$V$13)*(0.06)/(1-0.06)</f>
        <v>430.89899999999994</v>
      </c>
      <c r="AC13" s="59">
        <f>((SUBSIDIO!$L$13*SUBSIDIO!$W$13)+(SUBSIDIO!$N$13*SUBSIDIO!$X$13))*(0.06)/(1-0.06)</f>
        <v>2190.4556544000002</v>
      </c>
      <c r="AD13" s="59">
        <f ca="1">(SUBSIDIO!$J$13*SUBSIDIO!$Y$13)*(0.03)/(1-0.03)</f>
        <v>273.93119472103319</v>
      </c>
      <c r="AE13" s="59">
        <f ca="1">((SUBSIDIO!$L$13*SUBSIDIO!$Z$13)+(SUBSIDIO!$N$13*SUBSIDIO!$AA$13))*(0.03)/(1-0.03)</f>
        <v>1152.6060288237543</v>
      </c>
      <c r="AF13" s="4" t="s">
        <v>644</v>
      </c>
    </row>
    <row r="14" spans="1:36" ht="11.25" customHeight="1" x14ac:dyDescent="0.25">
      <c r="A14" s="4" t="s">
        <v>21</v>
      </c>
      <c r="B14" s="4" t="s">
        <v>39</v>
      </c>
      <c r="C14" s="4" t="s">
        <v>36</v>
      </c>
      <c r="D14" s="4" t="s">
        <v>48</v>
      </c>
      <c r="E14" s="4" t="s">
        <v>49</v>
      </c>
      <c r="F14" s="4" t="s">
        <v>25</v>
      </c>
      <c r="G14" s="4" t="s">
        <v>25</v>
      </c>
      <c r="H14" s="4" t="s">
        <v>37</v>
      </c>
      <c r="I14" s="5">
        <v>44440</v>
      </c>
      <c r="J14" s="6">
        <v>507</v>
      </c>
      <c r="K14" s="58">
        <v>507</v>
      </c>
      <c r="L14" s="6">
        <v>18.385000000000002</v>
      </c>
      <c r="M14" s="59">
        <v>18.385000000000002</v>
      </c>
      <c r="N14" s="6">
        <v>18.385000000000002</v>
      </c>
      <c r="O14" s="59">
        <v>18.385000000000002</v>
      </c>
      <c r="P14" s="6">
        <v>0</v>
      </c>
      <c r="Q14" s="4" t="s">
        <v>26</v>
      </c>
      <c r="R14" s="4">
        <v>0</v>
      </c>
      <c r="S14" s="4">
        <v>17</v>
      </c>
      <c r="T14" s="4">
        <v>10</v>
      </c>
      <c r="U14" s="4">
        <v>64</v>
      </c>
      <c r="V14" s="59">
        <f>IF(ISERROR(VLOOKUP($S$14,'TAR FIN'!$A$1:$O$91,15,0)),0,VLOOKUP($S$14,'TAR FIN'!$A$1:$O$91,15,0))*(1-0.06)</f>
        <v>35.851599999999998</v>
      </c>
      <c r="W14" s="59">
        <f>IF(ISERROR(VLOOKUP($T$14,'TAR FIN'!$A$1:$O$91,15,0)),0,VLOOKUP($T$14,'TAR FIN'!$A$1:$O$91,15,0))*(1-0.06)</f>
        <v>85.229799999999997</v>
      </c>
      <c r="X14" s="59">
        <f>IF(ISERROR(VLOOKUP($U$14,'TAR FIN'!$A$1:$O$91,15,0)),0,VLOOKUP($U$14,'TAR FIN'!$A$1:$O$91,15,0))*(1-0.06)</f>
        <v>125.9318</v>
      </c>
      <c r="Y14" s="59">
        <f ca="1">('TUSD BE'!$AM$9+'TUSD BF'!$AM$9+'TUSD CVA'!$AM$9)*1*(1-0.03)</f>
        <v>45.694756686788011</v>
      </c>
      <c r="Z14" s="59">
        <f ca="1">('TUSD BE'!$AM$11+'TUSD BF'!$AM$11+'TUSD CVA'!$AM$11)*1*(1-0.03)</f>
        <v>117.99412696008461</v>
      </c>
      <c r="AA14" s="59">
        <f>('TE BE'!$AB$7+'TE BF'!$AB$7+'TE CVA'!$AB$7)*1*(1-0.03)</f>
        <v>111.32233992297954</v>
      </c>
      <c r="AB14" s="59">
        <f>(SUBSIDIO!$J$14*SUBSIDIO!$V$14)*(0.06)/(1-0.06)</f>
        <v>1160.2187999999996</v>
      </c>
      <c r="AC14" s="59">
        <f>((SUBSIDIO!$L$14*SUBSIDIO!$W$14)+(SUBSIDIO!$N$14*SUBSIDIO!$X$14))*(0.06)/(1-0.06)</f>
        <v>247.80038400000001</v>
      </c>
      <c r="AD14" s="59">
        <f ca="1">(SUBSIDIO!$J$14*SUBSIDIO!$Y$14)*(0.03)/(1-0.03)</f>
        <v>716.51262804746978</v>
      </c>
      <c r="AE14" s="59">
        <f ca="1">((SUBSIDIO!$L$14*SUBSIDIO!$Z$14)+(SUBSIDIO!$N$14*SUBSIDIO!$AA$14))*(0.03)/(1-0.03)</f>
        <v>130.39123433954023</v>
      </c>
      <c r="AF14" s="4" t="s">
        <v>644</v>
      </c>
    </row>
    <row r="15" spans="1:36" ht="11.25" customHeight="1" x14ac:dyDescent="0.25">
      <c r="A15" s="4" t="s">
        <v>21</v>
      </c>
      <c r="B15" s="4" t="s">
        <v>39</v>
      </c>
      <c r="C15" s="4" t="s">
        <v>36</v>
      </c>
      <c r="D15" s="4" t="s">
        <v>48</v>
      </c>
      <c r="E15" s="4" t="s">
        <v>49</v>
      </c>
      <c r="F15" s="4" t="s">
        <v>25</v>
      </c>
      <c r="G15" s="4" t="s">
        <v>25</v>
      </c>
      <c r="H15" s="4" t="s">
        <v>37</v>
      </c>
      <c r="I15" s="5">
        <v>44470</v>
      </c>
      <c r="J15" s="6">
        <v>403</v>
      </c>
      <c r="K15" s="58">
        <v>403</v>
      </c>
      <c r="L15" s="6">
        <v>19.538</v>
      </c>
      <c r="M15" s="59">
        <v>19.538</v>
      </c>
      <c r="N15" s="6">
        <v>19.538</v>
      </c>
      <c r="O15" s="59">
        <v>19.538</v>
      </c>
      <c r="P15" s="6">
        <v>0</v>
      </c>
      <c r="Q15" s="4" t="s">
        <v>26</v>
      </c>
      <c r="R15" s="4">
        <v>0</v>
      </c>
      <c r="S15" s="4">
        <v>17</v>
      </c>
      <c r="T15" s="4">
        <v>10</v>
      </c>
      <c r="U15" s="4">
        <v>64</v>
      </c>
      <c r="V15" s="59">
        <f>IF(ISERROR(VLOOKUP($S$15,'TAR FIN'!$A$1:$O$91,15,0)),0,VLOOKUP($S$15,'TAR FIN'!$A$1:$O$91,15,0))*(1-0.06)</f>
        <v>35.851599999999998</v>
      </c>
      <c r="W15" s="59">
        <f>IF(ISERROR(VLOOKUP($T$15,'TAR FIN'!$A$1:$O$91,15,0)),0,VLOOKUP($T$15,'TAR FIN'!$A$1:$O$91,15,0))*(1-0.06)</f>
        <v>85.229799999999997</v>
      </c>
      <c r="X15" s="59">
        <f>IF(ISERROR(VLOOKUP($U$15,'TAR FIN'!$A$1:$O$91,15,0)),0,VLOOKUP($U$15,'TAR FIN'!$A$1:$O$91,15,0))*(1-0.06)</f>
        <v>125.9318</v>
      </c>
      <c r="Y15" s="59">
        <f ca="1">('TUSD BE'!$AM$9+'TUSD BF'!$AM$9+'TUSD CVA'!$AM$9)*1*(1-0.03)</f>
        <v>45.694756686788011</v>
      </c>
      <c r="Z15" s="59">
        <f ca="1">('TUSD BE'!$AM$11+'TUSD BF'!$AM$11+'TUSD CVA'!$AM$11)*1*(1-0.03)</f>
        <v>117.99412696008461</v>
      </c>
      <c r="AA15" s="59">
        <f>('TE BE'!$AB$7+'TE BF'!$AB$7+'TE CVA'!$AB$7)*1*(1-0.03)</f>
        <v>111.32233992297954</v>
      </c>
      <c r="AB15" s="59">
        <f>(SUBSIDIO!$J$15*SUBSIDIO!$V$15)*(0.06)/(1-0.06)</f>
        <v>922.22519999999997</v>
      </c>
      <c r="AC15" s="59">
        <f>((SUBSIDIO!$L$15*SUBSIDIO!$W$15)+(SUBSIDIO!$N$15*SUBSIDIO!$X$15))*(0.06)/(1-0.06)</f>
        <v>263.34097919999999</v>
      </c>
      <c r="AD15" s="59">
        <f ca="1">(SUBSIDIO!$J$15*SUBSIDIO!$Y$15)*(0.03)/(1-0.03)</f>
        <v>569.53567870439906</v>
      </c>
      <c r="AE15" s="59">
        <f ca="1">((SUBSIDIO!$L$15*SUBSIDIO!$Z$15)+(SUBSIDIO!$N$15*SUBSIDIO!$AA$15))*(0.03)/(1-0.03)</f>
        <v>138.56861226684455</v>
      </c>
      <c r="AF15" s="4" t="s">
        <v>644</v>
      </c>
    </row>
    <row r="16" spans="1:36" ht="11.25" customHeight="1" x14ac:dyDescent="0.25">
      <c r="A16" s="4" t="s">
        <v>21</v>
      </c>
      <c r="B16" s="4" t="s">
        <v>39</v>
      </c>
      <c r="C16" s="4" t="s">
        <v>36</v>
      </c>
      <c r="D16" s="4" t="s">
        <v>48</v>
      </c>
      <c r="E16" s="4" t="s">
        <v>49</v>
      </c>
      <c r="F16" s="4" t="s">
        <v>25</v>
      </c>
      <c r="G16" s="4" t="s">
        <v>25</v>
      </c>
      <c r="H16" s="4" t="s">
        <v>37</v>
      </c>
      <c r="I16" s="5">
        <v>44501</v>
      </c>
      <c r="J16" s="6">
        <v>401</v>
      </c>
      <c r="K16" s="58">
        <v>401</v>
      </c>
      <c r="L16" s="6">
        <v>18.024000000000001</v>
      </c>
      <c r="M16" s="59">
        <v>18.024000000000001</v>
      </c>
      <c r="N16" s="6">
        <v>18.024000000000001</v>
      </c>
      <c r="O16" s="59">
        <v>18.024000000000001</v>
      </c>
      <c r="P16" s="6">
        <v>0</v>
      </c>
      <c r="Q16" s="4" t="s">
        <v>26</v>
      </c>
      <c r="R16" s="4">
        <v>0</v>
      </c>
      <c r="S16" s="4">
        <v>17</v>
      </c>
      <c r="T16" s="4">
        <v>10</v>
      </c>
      <c r="U16" s="4">
        <v>64</v>
      </c>
      <c r="V16" s="59">
        <f>IF(ISERROR(VLOOKUP($S$16,'TAR FIN'!$A$1:$O$91,15,0)),0,VLOOKUP($S$16,'TAR FIN'!$A$1:$O$91,15,0))*(1-0.06)</f>
        <v>35.851599999999998</v>
      </c>
      <c r="W16" s="59">
        <f>IF(ISERROR(VLOOKUP($T$16,'TAR FIN'!$A$1:$O$91,15,0)),0,VLOOKUP($T$16,'TAR FIN'!$A$1:$O$91,15,0))*(1-0.06)</f>
        <v>85.229799999999997</v>
      </c>
      <c r="X16" s="59">
        <f>IF(ISERROR(VLOOKUP($U$16,'TAR FIN'!$A$1:$O$91,15,0)),0,VLOOKUP($U$16,'TAR FIN'!$A$1:$O$91,15,0))*(1-0.06)</f>
        <v>125.9318</v>
      </c>
      <c r="Y16" s="59">
        <f ca="1">('TUSD BE'!$AM$9+'TUSD BF'!$AM$9+'TUSD CVA'!$AM$9)*1*(1-0.03)</f>
        <v>45.694756686788011</v>
      </c>
      <c r="Z16" s="59">
        <f ca="1">('TUSD BE'!$AM$11+'TUSD BF'!$AM$11+'TUSD CVA'!$AM$11)*1*(1-0.03)</f>
        <v>117.99412696008461</v>
      </c>
      <c r="AA16" s="59">
        <f>('TE BE'!$AB$7+'TE BF'!$AB$7+'TE CVA'!$AB$7)*1*(1-0.03)</f>
        <v>111.32233992297954</v>
      </c>
      <c r="AB16" s="59">
        <f>(SUBSIDIO!$J$16*SUBSIDIO!$V$16)*(0.06)/(1-0.06)</f>
        <v>917.64840000000004</v>
      </c>
      <c r="AC16" s="59">
        <f>((SUBSIDIO!$L$16*SUBSIDIO!$W$16)+(SUBSIDIO!$N$16*SUBSIDIO!$X$16))*(0.06)/(1-0.06)</f>
        <v>242.9346816</v>
      </c>
      <c r="AD16" s="59">
        <f ca="1">(SUBSIDIO!$J$16*SUBSIDIO!$Y$16)*(0.03)/(1-0.03)</f>
        <v>566.70919890933988</v>
      </c>
      <c r="AE16" s="59">
        <f ca="1">((SUBSIDIO!$L$16*SUBSIDIO!$Z$16)+(SUBSIDIO!$N$16*SUBSIDIO!$AA$16))*(0.03)/(1-0.03)</f>
        <v>127.83092780722728</v>
      </c>
      <c r="AF16" s="4" t="s">
        <v>644</v>
      </c>
    </row>
    <row r="17" spans="1:32" ht="11.25" customHeight="1" x14ac:dyDescent="0.25">
      <c r="A17" s="4" t="s">
        <v>21</v>
      </c>
      <c r="B17" s="4" t="s">
        <v>39</v>
      </c>
      <c r="C17" s="4" t="s">
        <v>36</v>
      </c>
      <c r="D17" s="4" t="s">
        <v>48</v>
      </c>
      <c r="E17" s="4" t="s">
        <v>49</v>
      </c>
      <c r="F17" s="4" t="s">
        <v>25</v>
      </c>
      <c r="G17" s="4" t="s">
        <v>25</v>
      </c>
      <c r="H17" s="4" t="s">
        <v>37</v>
      </c>
      <c r="I17" s="5">
        <v>44531</v>
      </c>
      <c r="J17" s="6">
        <v>386</v>
      </c>
      <c r="K17" s="58">
        <v>386</v>
      </c>
      <c r="L17" s="6">
        <v>21.445</v>
      </c>
      <c r="M17" s="59">
        <v>21.445</v>
      </c>
      <c r="N17" s="6">
        <v>21.445</v>
      </c>
      <c r="O17" s="59">
        <v>21.445</v>
      </c>
      <c r="P17" s="6">
        <v>0</v>
      </c>
      <c r="Q17" s="4" t="s">
        <v>26</v>
      </c>
      <c r="R17" s="4">
        <v>0</v>
      </c>
      <c r="S17" s="4">
        <v>17</v>
      </c>
      <c r="T17" s="4">
        <v>10</v>
      </c>
      <c r="U17" s="4">
        <v>64</v>
      </c>
      <c r="V17" s="59">
        <f>IF(ISERROR(VLOOKUP($S$17,'TAR FIN'!$A$1:$O$91,15,0)),0,VLOOKUP($S$17,'TAR FIN'!$A$1:$O$91,15,0))*(1-0.06)</f>
        <v>35.851599999999998</v>
      </c>
      <c r="W17" s="59">
        <f>IF(ISERROR(VLOOKUP($T$17,'TAR FIN'!$A$1:$O$91,15,0)),0,VLOOKUP($T$17,'TAR FIN'!$A$1:$O$91,15,0))*(1-0.06)</f>
        <v>85.229799999999997</v>
      </c>
      <c r="X17" s="59">
        <f>IF(ISERROR(VLOOKUP($U$17,'TAR FIN'!$A$1:$O$91,15,0)),0,VLOOKUP($U$17,'TAR FIN'!$A$1:$O$91,15,0))*(1-0.06)</f>
        <v>125.9318</v>
      </c>
      <c r="Y17" s="59">
        <f ca="1">('TUSD BE'!$AM$9+'TUSD BF'!$AM$9+'TUSD CVA'!$AM$9)*1*(1-0.03)</f>
        <v>45.694756686788011</v>
      </c>
      <c r="Z17" s="59">
        <f ca="1">('TUSD BE'!$AM$11+'TUSD BF'!$AM$11+'TUSD CVA'!$AM$11)*1*(1-0.03)</f>
        <v>117.99412696008461</v>
      </c>
      <c r="AA17" s="59">
        <f>('TE BE'!$AB$7+'TE BF'!$AB$7+'TE CVA'!$AB$7)*1*(1-0.03)</f>
        <v>111.32233992297954</v>
      </c>
      <c r="AB17" s="59">
        <f>(SUBSIDIO!$J$17*SUBSIDIO!$V$17)*(0.06)/(1-0.06)</f>
        <v>883.32240000000002</v>
      </c>
      <c r="AC17" s="59">
        <f>((SUBSIDIO!$L$17*SUBSIDIO!$W$17)+(SUBSIDIO!$N$17*SUBSIDIO!$X$17))*(0.06)/(1-0.06)</f>
        <v>289.04428799999999</v>
      </c>
      <c r="AD17" s="59">
        <f ca="1">(SUBSIDIO!$J$17*SUBSIDIO!$Y$17)*(0.03)/(1-0.03)</f>
        <v>545.51060044639712</v>
      </c>
      <c r="AE17" s="59">
        <f ca="1">((SUBSIDIO!$L$17*SUBSIDIO!$Z$17)+(SUBSIDIO!$N$17*SUBSIDIO!$AA$17))*(0.03)/(1-0.03)</f>
        <v>152.09355563837045</v>
      </c>
      <c r="AF17" s="4" t="s">
        <v>644</v>
      </c>
    </row>
    <row r="18" spans="1:32" ht="11.25" customHeight="1" x14ac:dyDescent="0.25">
      <c r="A18" s="4" t="s">
        <v>21</v>
      </c>
      <c r="B18" s="4" t="s">
        <v>39</v>
      </c>
      <c r="C18" s="4" t="s">
        <v>36</v>
      </c>
      <c r="D18" s="4" t="s">
        <v>48</v>
      </c>
      <c r="E18" s="4" t="s">
        <v>49</v>
      </c>
      <c r="F18" s="4" t="s">
        <v>25</v>
      </c>
      <c r="G18" s="4" t="s">
        <v>25</v>
      </c>
      <c r="H18" s="4" t="s">
        <v>37</v>
      </c>
      <c r="I18" s="5">
        <v>44562</v>
      </c>
      <c r="J18" s="6">
        <v>387</v>
      </c>
      <c r="K18" s="58">
        <v>387</v>
      </c>
      <c r="L18" s="6">
        <v>18.664000000000001</v>
      </c>
      <c r="M18" s="59">
        <v>18.664000000000001</v>
      </c>
      <c r="N18" s="6">
        <v>18.664000000000001</v>
      </c>
      <c r="O18" s="59">
        <v>18.664000000000001</v>
      </c>
      <c r="P18" s="6">
        <v>0</v>
      </c>
      <c r="Q18" s="4" t="s">
        <v>26</v>
      </c>
      <c r="R18" s="4">
        <v>0</v>
      </c>
      <c r="S18" s="4">
        <v>17</v>
      </c>
      <c r="T18" s="4">
        <v>10</v>
      </c>
      <c r="U18" s="4">
        <v>64</v>
      </c>
      <c r="V18" s="59">
        <f>IF(ISERROR(VLOOKUP($S$18,'TAR FIN'!$A$1:$O$91,15,0)),0,VLOOKUP($S$18,'TAR FIN'!$A$1:$O$91,15,0))*(1-0.06)</f>
        <v>35.851599999999998</v>
      </c>
      <c r="W18" s="59">
        <f>IF(ISERROR(VLOOKUP($T$18,'TAR FIN'!$A$1:$O$91,15,0)),0,VLOOKUP($T$18,'TAR FIN'!$A$1:$O$91,15,0))*(1-0.06)</f>
        <v>85.229799999999997</v>
      </c>
      <c r="X18" s="59">
        <f>IF(ISERROR(VLOOKUP($U$18,'TAR FIN'!$A$1:$O$91,15,0)),0,VLOOKUP($U$18,'TAR FIN'!$A$1:$O$91,15,0))*(1-0.06)</f>
        <v>125.9318</v>
      </c>
      <c r="Y18" s="59">
        <f ca="1">('TUSD BE'!$AM$9+'TUSD BF'!$AM$9+'TUSD CVA'!$AM$9)*1*(1-0.03)</f>
        <v>45.694756686788011</v>
      </c>
      <c r="Z18" s="59">
        <f ca="1">('TUSD BE'!$AM$11+'TUSD BF'!$AM$11+'TUSD CVA'!$AM$11)*1*(1-0.03)</f>
        <v>117.99412696008461</v>
      </c>
      <c r="AA18" s="59">
        <f>('TE BE'!$AB$7+'TE BF'!$AB$7+'TE CVA'!$AB$7)*1*(1-0.03)</f>
        <v>111.32233992297954</v>
      </c>
      <c r="AB18" s="59">
        <f>(SUBSIDIO!$J$18*SUBSIDIO!$V$18)*(0.06)/(1-0.06)</f>
        <v>885.61080000000004</v>
      </c>
      <c r="AC18" s="59">
        <f>((SUBSIDIO!$L$18*SUBSIDIO!$W$18)+(SUBSIDIO!$N$18*SUBSIDIO!$X$18))*(0.06)/(1-0.06)</f>
        <v>251.56085759999999</v>
      </c>
      <c r="AD18" s="59">
        <f ca="1">(SUBSIDIO!$J$18*SUBSIDIO!$Y$18)*(0.03)/(1-0.03)</f>
        <v>546.9238403439266</v>
      </c>
      <c r="AE18" s="59">
        <f ca="1">((SUBSIDIO!$L$18*SUBSIDIO!$Z$18)+(SUBSIDIO!$N$18*SUBSIDIO!$AA$18))*(0.03)/(1-0.03)</f>
        <v>132.36997539913946</v>
      </c>
      <c r="AF18" s="4" t="s">
        <v>644</v>
      </c>
    </row>
    <row r="19" spans="1:32" ht="11.25" customHeight="1" x14ac:dyDescent="0.25">
      <c r="A19" s="4" t="s">
        <v>21</v>
      </c>
      <c r="B19" s="4" t="s">
        <v>39</v>
      </c>
      <c r="C19" s="4" t="s">
        <v>36</v>
      </c>
      <c r="D19" s="4" t="s">
        <v>48</v>
      </c>
      <c r="E19" s="4" t="s">
        <v>49</v>
      </c>
      <c r="F19" s="4" t="s">
        <v>25</v>
      </c>
      <c r="G19" s="4" t="s">
        <v>25</v>
      </c>
      <c r="H19" s="4" t="s">
        <v>37</v>
      </c>
      <c r="I19" s="5">
        <v>44593</v>
      </c>
      <c r="J19" s="6">
        <v>405</v>
      </c>
      <c r="K19" s="58">
        <v>405</v>
      </c>
      <c r="L19" s="6">
        <v>17.995000000000001</v>
      </c>
      <c r="M19" s="59">
        <v>17.995000000000001</v>
      </c>
      <c r="N19" s="6">
        <v>17.995000000000001</v>
      </c>
      <c r="O19" s="59">
        <v>17.995000000000001</v>
      </c>
      <c r="P19" s="6">
        <v>0</v>
      </c>
      <c r="Q19" s="4" t="s">
        <v>26</v>
      </c>
      <c r="R19" s="4">
        <v>0</v>
      </c>
      <c r="S19" s="4">
        <v>17</v>
      </c>
      <c r="T19" s="4">
        <v>10</v>
      </c>
      <c r="U19" s="4">
        <v>64</v>
      </c>
      <c r="V19" s="59">
        <f>IF(ISERROR(VLOOKUP($S$19,'TAR FIN'!$A$1:$O$91,15,0)),0,VLOOKUP($S$19,'TAR FIN'!$A$1:$O$91,15,0))*(1-0.06)</f>
        <v>35.851599999999998</v>
      </c>
      <c r="W19" s="59">
        <f>IF(ISERROR(VLOOKUP($T$19,'TAR FIN'!$A$1:$O$91,15,0)),0,VLOOKUP($T$19,'TAR FIN'!$A$1:$O$91,15,0))*(1-0.06)</f>
        <v>85.229799999999997</v>
      </c>
      <c r="X19" s="59">
        <f>IF(ISERROR(VLOOKUP($U$19,'TAR FIN'!$A$1:$O$91,15,0)),0,VLOOKUP($U$19,'TAR FIN'!$A$1:$O$91,15,0))*(1-0.06)</f>
        <v>125.9318</v>
      </c>
      <c r="Y19" s="59">
        <f ca="1">('TUSD BE'!$AM$9+'TUSD BF'!$AM$9+'TUSD CVA'!$AM$9)*1*(1-0.03)</f>
        <v>45.694756686788011</v>
      </c>
      <c r="Z19" s="59">
        <f ca="1">('TUSD BE'!$AM$11+'TUSD BF'!$AM$11+'TUSD CVA'!$AM$11)*1*(1-0.03)</f>
        <v>117.99412696008461</v>
      </c>
      <c r="AA19" s="59">
        <f>('TE BE'!$AB$7+'TE BF'!$AB$7+'TE CVA'!$AB$7)*1*(1-0.03)</f>
        <v>111.32233992297954</v>
      </c>
      <c r="AB19" s="59">
        <f>(SUBSIDIO!$J$19*SUBSIDIO!$V$19)*(0.06)/(1-0.06)</f>
        <v>926.80200000000002</v>
      </c>
      <c r="AC19" s="59">
        <f>((SUBSIDIO!$L$19*SUBSIDIO!$W$19)+(SUBSIDIO!$N$19*SUBSIDIO!$X$19))*(0.06)/(1-0.06)</f>
        <v>242.54380800000001</v>
      </c>
      <c r="AD19" s="59">
        <f ca="1">(SUBSIDIO!$J$19*SUBSIDIO!$Y$19)*(0.03)/(1-0.03)</f>
        <v>572.36215849945813</v>
      </c>
      <c r="AE19" s="59">
        <f ca="1">((SUBSIDIO!$L$19*SUBSIDIO!$Z$19)+(SUBSIDIO!$N$19*SUBSIDIO!$AA$19))*(0.03)/(1-0.03)</f>
        <v>127.62525221321874</v>
      </c>
      <c r="AF19" s="4" t="s">
        <v>644</v>
      </c>
    </row>
    <row r="20" spans="1:32" ht="11.25" customHeight="1" x14ac:dyDescent="0.25">
      <c r="A20" s="4" t="s">
        <v>21</v>
      </c>
      <c r="B20" s="4" t="s">
        <v>39</v>
      </c>
      <c r="C20" s="4" t="s">
        <v>36</v>
      </c>
      <c r="D20" s="4" t="s">
        <v>48</v>
      </c>
      <c r="E20" s="4" t="s">
        <v>49</v>
      </c>
      <c r="F20" s="4" t="s">
        <v>25</v>
      </c>
      <c r="G20" s="4" t="s">
        <v>25</v>
      </c>
      <c r="H20" s="4" t="s">
        <v>37</v>
      </c>
      <c r="I20" s="5">
        <v>44621</v>
      </c>
      <c r="J20" s="6">
        <v>415</v>
      </c>
      <c r="K20" s="58">
        <v>415</v>
      </c>
      <c r="L20" s="6">
        <v>21.170999999999999</v>
      </c>
      <c r="M20" s="59">
        <v>21.170999999999999</v>
      </c>
      <c r="N20" s="6">
        <v>21.170999999999999</v>
      </c>
      <c r="O20" s="59">
        <v>21.170999999999999</v>
      </c>
      <c r="P20" s="6">
        <v>0</v>
      </c>
      <c r="Q20" s="4" t="s">
        <v>26</v>
      </c>
      <c r="R20" s="4">
        <v>0</v>
      </c>
      <c r="S20" s="4">
        <v>17</v>
      </c>
      <c r="T20" s="4">
        <v>10</v>
      </c>
      <c r="U20" s="4">
        <v>64</v>
      </c>
      <c r="V20" s="59">
        <f>IF(ISERROR(VLOOKUP($S$20,'TAR FIN'!$A$1:$O$91,15,0)),0,VLOOKUP($S$20,'TAR FIN'!$A$1:$O$91,15,0))*(1-0.06)</f>
        <v>35.851599999999998</v>
      </c>
      <c r="W20" s="59">
        <f>IF(ISERROR(VLOOKUP($T$20,'TAR FIN'!$A$1:$O$91,15,0)),0,VLOOKUP($T$20,'TAR FIN'!$A$1:$O$91,15,0))*(1-0.06)</f>
        <v>85.229799999999997</v>
      </c>
      <c r="X20" s="59">
        <f>IF(ISERROR(VLOOKUP($U$20,'TAR FIN'!$A$1:$O$91,15,0)),0,VLOOKUP($U$20,'TAR FIN'!$A$1:$O$91,15,0))*(1-0.06)</f>
        <v>125.9318</v>
      </c>
      <c r="Y20" s="59">
        <f ca="1">('TUSD BE'!$AM$9+'TUSD BF'!$AM$9+'TUSD CVA'!$AM$9)*1*(1-0.03)</f>
        <v>45.694756686788011</v>
      </c>
      <c r="Z20" s="59">
        <f ca="1">('TUSD BE'!$AM$11+'TUSD BF'!$AM$11+'TUSD CVA'!$AM$11)*1*(1-0.03)</f>
        <v>117.99412696008461</v>
      </c>
      <c r="AA20" s="59">
        <f>('TE BE'!$AB$7+'TE BF'!$AB$7+'TE CVA'!$AB$7)*1*(1-0.03)</f>
        <v>111.32233992297954</v>
      </c>
      <c r="AB20" s="59">
        <f>(SUBSIDIO!$J$20*SUBSIDIO!$V$20)*(0.06)/(1-0.06)</f>
        <v>949.68599999999992</v>
      </c>
      <c r="AC20" s="59">
        <f>((SUBSIDIO!$L$20*SUBSIDIO!$W$20)+(SUBSIDIO!$N$20*SUBSIDIO!$X$20))*(0.06)/(1-0.06)</f>
        <v>285.35120640000002</v>
      </c>
      <c r="AD20" s="59">
        <f ca="1">(SUBSIDIO!$J$20*SUBSIDIO!$Y$20)*(0.03)/(1-0.03)</f>
        <v>586.49455747475338</v>
      </c>
      <c r="AE20" s="59">
        <f ca="1">((SUBSIDIO!$L$20*SUBSIDIO!$Z$20)+(SUBSIDIO!$N$20*SUBSIDIO!$AA$20))*(0.03)/(1-0.03)</f>
        <v>150.150275888083</v>
      </c>
      <c r="AF20" s="4" t="s">
        <v>644</v>
      </c>
    </row>
    <row r="21" spans="1:32" ht="11.25" customHeight="1" x14ac:dyDescent="0.25">
      <c r="A21" s="4" t="s">
        <v>21</v>
      </c>
      <c r="B21" s="4" t="s">
        <v>39</v>
      </c>
      <c r="C21" s="4" t="s">
        <v>36</v>
      </c>
      <c r="D21" s="4" t="s">
        <v>48</v>
      </c>
      <c r="E21" s="4" t="s">
        <v>49</v>
      </c>
      <c r="F21" s="4" t="s">
        <v>25</v>
      </c>
      <c r="G21" s="4" t="s">
        <v>25</v>
      </c>
      <c r="H21" s="4" t="s">
        <v>37</v>
      </c>
      <c r="I21" s="5">
        <v>44652</v>
      </c>
      <c r="J21" s="6">
        <v>382</v>
      </c>
      <c r="K21" s="58">
        <v>382</v>
      </c>
      <c r="L21" s="6">
        <v>17.343</v>
      </c>
      <c r="M21" s="59">
        <v>17.343</v>
      </c>
      <c r="N21" s="6">
        <v>17.343</v>
      </c>
      <c r="O21" s="59">
        <v>17.343</v>
      </c>
      <c r="P21" s="6">
        <v>0</v>
      </c>
      <c r="Q21" s="4" t="s">
        <v>26</v>
      </c>
      <c r="R21" s="4">
        <v>0</v>
      </c>
      <c r="S21" s="4">
        <v>17</v>
      </c>
      <c r="T21" s="4">
        <v>10</v>
      </c>
      <c r="U21" s="4">
        <v>64</v>
      </c>
      <c r="V21" s="59">
        <f>IF(ISERROR(VLOOKUP($S$21,'TAR FIN'!$A$1:$O$91,15,0)),0,VLOOKUP($S$21,'TAR FIN'!$A$1:$O$91,15,0))*(1-0.06)</f>
        <v>35.851599999999998</v>
      </c>
      <c r="W21" s="59">
        <f>IF(ISERROR(VLOOKUP($T$21,'TAR FIN'!$A$1:$O$91,15,0)),0,VLOOKUP($T$21,'TAR FIN'!$A$1:$O$91,15,0))*(1-0.06)</f>
        <v>85.229799999999997</v>
      </c>
      <c r="X21" s="59">
        <f>IF(ISERROR(VLOOKUP($U$21,'TAR FIN'!$A$1:$O$91,15,0)),0,VLOOKUP($U$21,'TAR FIN'!$A$1:$O$91,15,0))*(1-0.06)</f>
        <v>125.9318</v>
      </c>
      <c r="Y21" s="59">
        <f ca="1">('TUSD BE'!$AM$9+'TUSD BF'!$AM$9+'TUSD CVA'!$AM$9)*1*(1-0.03)</f>
        <v>45.694756686788011</v>
      </c>
      <c r="Z21" s="59">
        <f ca="1">('TUSD BE'!$AM$11+'TUSD BF'!$AM$11+'TUSD CVA'!$AM$11)*1*(1-0.03)</f>
        <v>117.99412696008461</v>
      </c>
      <c r="AA21" s="59">
        <f>('TE BE'!$AB$7+'TE BF'!$AB$7+'TE CVA'!$AB$7)*1*(1-0.03)</f>
        <v>111.32233992297954</v>
      </c>
      <c r="AB21" s="59">
        <f>(SUBSIDIO!$J$21*SUBSIDIO!$V$21)*(0.06)/(1-0.06)</f>
        <v>874.16879999999992</v>
      </c>
      <c r="AC21" s="59">
        <f>((SUBSIDIO!$L$21*SUBSIDIO!$W$21)+(SUBSIDIO!$N$21*SUBSIDIO!$X$21))*(0.06)/(1-0.06)</f>
        <v>233.75589119999998</v>
      </c>
      <c r="AD21" s="59">
        <f ca="1">(SUBSIDIO!$J$21*SUBSIDIO!$Y$21)*(0.03)/(1-0.03)</f>
        <v>539.85764085627898</v>
      </c>
      <c r="AE21" s="59">
        <f ca="1">((SUBSIDIO!$L$21*SUBSIDIO!$Z$21)+(SUBSIDIO!$N$21*SUBSIDIO!$AA$21))*(0.03)/(1-0.03)</f>
        <v>123.0010974789582</v>
      </c>
      <c r="AF21" s="4" t="s">
        <v>644</v>
      </c>
    </row>
    <row r="22" spans="1:32" ht="11.25" customHeight="1" x14ac:dyDescent="0.25">
      <c r="A22" s="4" t="s">
        <v>21</v>
      </c>
      <c r="B22" s="4" t="s">
        <v>39</v>
      </c>
      <c r="C22" s="4" t="s">
        <v>36</v>
      </c>
      <c r="D22" s="4" t="s">
        <v>48</v>
      </c>
      <c r="E22" s="4" t="s">
        <v>49</v>
      </c>
      <c r="F22" s="4" t="s">
        <v>25</v>
      </c>
      <c r="G22" s="4" t="s">
        <v>25</v>
      </c>
      <c r="H22" s="4" t="s">
        <v>37</v>
      </c>
      <c r="I22" s="5">
        <v>44682</v>
      </c>
      <c r="J22" s="6">
        <v>497</v>
      </c>
      <c r="K22" s="58">
        <v>497</v>
      </c>
      <c r="L22" s="6">
        <v>15.837999999999999</v>
      </c>
      <c r="M22" s="59">
        <v>15.837999999999999</v>
      </c>
      <c r="N22" s="6">
        <v>15.837999999999999</v>
      </c>
      <c r="O22" s="59">
        <v>15.837999999999999</v>
      </c>
      <c r="P22" s="6">
        <v>0</v>
      </c>
      <c r="Q22" s="4" t="s">
        <v>26</v>
      </c>
      <c r="R22" s="4">
        <v>0</v>
      </c>
      <c r="S22" s="4">
        <v>17</v>
      </c>
      <c r="T22" s="4">
        <v>10</v>
      </c>
      <c r="U22" s="4">
        <v>64</v>
      </c>
      <c r="V22" s="59">
        <f>IF(ISERROR(VLOOKUP($S$22,'TAR FIN'!$A$1:$O$91,15,0)),0,VLOOKUP($S$22,'TAR FIN'!$A$1:$O$91,15,0))*(1-0.06)</f>
        <v>35.851599999999998</v>
      </c>
      <c r="W22" s="59">
        <f>IF(ISERROR(VLOOKUP($T$22,'TAR FIN'!$A$1:$O$91,15,0)),0,VLOOKUP($T$22,'TAR FIN'!$A$1:$O$91,15,0))*(1-0.06)</f>
        <v>85.229799999999997</v>
      </c>
      <c r="X22" s="59">
        <f>IF(ISERROR(VLOOKUP($U$22,'TAR FIN'!$A$1:$O$91,15,0)),0,VLOOKUP($U$22,'TAR FIN'!$A$1:$O$91,15,0))*(1-0.06)</f>
        <v>125.9318</v>
      </c>
      <c r="Y22" s="59">
        <f ca="1">('TUSD BE'!$AM$9+'TUSD BF'!$AM$9+'TUSD CVA'!$AM$9)*1*(1-0.03)</f>
        <v>45.694756686788011</v>
      </c>
      <c r="Z22" s="59">
        <f ca="1">('TUSD BE'!$AM$11+'TUSD BF'!$AM$11+'TUSD CVA'!$AM$11)*1*(1-0.03)</f>
        <v>117.99412696008461</v>
      </c>
      <c r="AA22" s="59">
        <f>('TE BE'!$AB$7+'TE BF'!$AB$7+'TE CVA'!$AB$7)*1*(1-0.03)</f>
        <v>111.32233992297954</v>
      </c>
      <c r="AB22" s="59">
        <f>(SUBSIDIO!$J$22*SUBSIDIO!$V$22)*(0.06)/(1-0.06)</f>
        <v>1137.3347999999999</v>
      </c>
      <c r="AC22" s="59">
        <f>((SUBSIDIO!$L$22*SUBSIDIO!$W$22)+(SUBSIDIO!$N$22*SUBSIDIO!$X$22))*(0.06)/(1-0.06)</f>
        <v>213.47089919999996</v>
      </c>
      <c r="AD22" s="59">
        <f ca="1">(SUBSIDIO!$J$22*SUBSIDIO!$Y$22)*(0.03)/(1-0.03)</f>
        <v>702.38022907217442</v>
      </c>
      <c r="AE22" s="59">
        <f ca="1">((SUBSIDIO!$L$22*SUBSIDIO!$Z$22)+(SUBSIDIO!$N$22*SUBSIDIO!$AA$22))*(0.03)/(1-0.03)</f>
        <v>112.32724337610215</v>
      </c>
      <c r="AF22" s="4" t="s">
        <v>644</v>
      </c>
    </row>
    <row r="23" spans="1:32" ht="11.25" customHeight="1" x14ac:dyDescent="0.25">
      <c r="A23" s="4" t="s">
        <v>21</v>
      </c>
      <c r="B23" s="4" t="s">
        <v>39</v>
      </c>
      <c r="C23" s="4" t="s">
        <v>36</v>
      </c>
      <c r="D23" s="4" t="s">
        <v>48</v>
      </c>
      <c r="E23" s="4" t="s">
        <v>49</v>
      </c>
      <c r="F23" s="4" t="s">
        <v>25</v>
      </c>
      <c r="G23" s="4" t="s">
        <v>25</v>
      </c>
      <c r="H23" s="4" t="s">
        <v>37</v>
      </c>
      <c r="I23" s="5">
        <v>44713</v>
      </c>
      <c r="J23" s="6">
        <v>497</v>
      </c>
      <c r="K23" s="58">
        <v>497</v>
      </c>
      <c r="L23" s="6">
        <v>15.795</v>
      </c>
      <c r="M23" s="59">
        <v>15.795</v>
      </c>
      <c r="N23" s="6">
        <v>15.795</v>
      </c>
      <c r="O23" s="59">
        <v>15.795</v>
      </c>
      <c r="P23" s="6">
        <v>0</v>
      </c>
      <c r="Q23" s="4" t="s">
        <v>26</v>
      </c>
      <c r="R23" s="4">
        <v>0</v>
      </c>
      <c r="S23" s="4">
        <v>17</v>
      </c>
      <c r="T23" s="4">
        <v>10</v>
      </c>
      <c r="U23" s="4">
        <v>64</v>
      </c>
      <c r="V23" s="59">
        <f>IF(ISERROR(VLOOKUP($S$23,'TAR FIN'!$A$1:$O$91,15,0)),0,VLOOKUP($S$23,'TAR FIN'!$A$1:$O$91,15,0))*(1-0.06)</f>
        <v>35.851599999999998</v>
      </c>
      <c r="W23" s="59">
        <f>IF(ISERROR(VLOOKUP($T$23,'TAR FIN'!$A$1:$O$91,15,0)),0,VLOOKUP($T$23,'TAR FIN'!$A$1:$O$91,15,0))*(1-0.06)</f>
        <v>85.229799999999997</v>
      </c>
      <c r="X23" s="59">
        <f>IF(ISERROR(VLOOKUP($U$23,'TAR FIN'!$A$1:$O$91,15,0)),0,VLOOKUP($U$23,'TAR FIN'!$A$1:$O$91,15,0))*(1-0.06)</f>
        <v>125.9318</v>
      </c>
      <c r="Y23" s="59">
        <f ca="1">('TUSD BE'!$AM$9+'TUSD BF'!$AM$9+'TUSD CVA'!$AM$9)*1*(1-0.03)</f>
        <v>45.694756686788011</v>
      </c>
      <c r="Z23" s="59">
        <f ca="1">('TUSD BE'!$AM$11+'TUSD BF'!$AM$11+'TUSD CVA'!$AM$11)*1*(1-0.03)</f>
        <v>117.99412696008461</v>
      </c>
      <c r="AA23" s="59">
        <f>('TE BE'!$AB$7+'TE BF'!$AB$7+'TE CVA'!$AB$7)*1*(1-0.03)</f>
        <v>111.32233992297954</v>
      </c>
      <c r="AB23" s="59">
        <f>(SUBSIDIO!$J$23*SUBSIDIO!$V$23)*(0.06)/(1-0.06)</f>
        <v>1137.3347999999999</v>
      </c>
      <c r="AC23" s="59">
        <f>((SUBSIDIO!$L$23*SUBSIDIO!$W$23)+(SUBSIDIO!$N$23*SUBSIDIO!$X$23))*(0.06)/(1-0.06)</f>
        <v>212.89132799999999</v>
      </c>
      <c r="AD23" s="59">
        <f ca="1">(SUBSIDIO!$J$23*SUBSIDIO!$Y$23)*(0.03)/(1-0.03)</f>
        <v>702.38022907217442</v>
      </c>
      <c r="AE23" s="59">
        <f ca="1">((SUBSIDIO!$L$23*SUBSIDIO!$Z$23)+(SUBSIDIO!$N$23*SUBSIDIO!$AA$23))*(0.03)/(1-0.03)</f>
        <v>112.02227611602056</v>
      </c>
      <c r="AF23" s="4" t="s">
        <v>644</v>
      </c>
    </row>
    <row r="24" spans="1:32" ht="11.25" customHeight="1" x14ac:dyDescent="0.25">
      <c r="A24" s="4" t="s">
        <v>21</v>
      </c>
      <c r="B24" s="4" t="s">
        <v>39</v>
      </c>
      <c r="C24" s="4" t="s">
        <v>36</v>
      </c>
      <c r="D24" s="4" t="s">
        <v>48</v>
      </c>
      <c r="E24" s="4" t="s">
        <v>49</v>
      </c>
      <c r="F24" s="4" t="s">
        <v>25</v>
      </c>
      <c r="G24" s="4" t="s">
        <v>25</v>
      </c>
      <c r="H24" s="4" t="s">
        <v>37</v>
      </c>
      <c r="I24" s="5">
        <v>44743</v>
      </c>
      <c r="J24" s="6">
        <v>497</v>
      </c>
      <c r="K24" s="58">
        <v>497</v>
      </c>
      <c r="L24" s="6">
        <v>20.617999999999999</v>
      </c>
      <c r="M24" s="59">
        <v>20.617999999999999</v>
      </c>
      <c r="N24" s="6">
        <v>20.617999999999999</v>
      </c>
      <c r="O24" s="59">
        <v>20.617999999999999</v>
      </c>
      <c r="P24" s="6">
        <v>0</v>
      </c>
      <c r="Q24" s="4" t="s">
        <v>26</v>
      </c>
      <c r="R24" s="4">
        <v>0</v>
      </c>
      <c r="S24" s="4">
        <v>17</v>
      </c>
      <c r="T24" s="4">
        <v>10</v>
      </c>
      <c r="U24" s="4">
        <v>64</v>
      </c>
      <c r="V24" s="59">
        <f>IF(ISERROR(VLOOKUP($S$24,'TAR FIN'!$A$1:$O$91,15,0)),0,VLOOKUP($S$24,'TAR FIN'!$A$1:$O$91,15,0))*(1-0.06)</f>
        <v>35.851599999999998</v>
      </c>
      <c r="W24" s="59">
        <f>IF(ISERROR(VLOOKUP($T$24,'TAR FIN'!$A$1:$O$91,15,0)),0,VLOOKUP($T$24,'TAR FIN'!$A$1:$O$91,15,0))*(1-0.06)</f>
        <v>85.229799999999997</v>
      </c>
      <c r="X24" s="59">
        <f>IF(ISERROR(VLOOKUP($U$24,'TAR FIN'!$A$1:$O$91,15,0)),0,VLOOKUP($U$24,'TAR FIN'!$A$1:$O$91,15,0))*(1-0.06)</f>
        <v>125.9318</v>
      </c>
      <c r="Y24" s="59">
        <f ca="1">('TUSD BE'!$AM$9+'TUSD BF'!$AM$9+'TUSD CVA'!$AM$9)*1*(1-0.03)</f>
        <v>45.694756686788011</v>
      </c>
      <c r="Z24" s="59">
        <f ca="1">('TUSD BE'!$AM$11+'TUSD BF'!$AM$11+'TUSD CVA'!$AM$11)*1*(1-0.03)</f>
        <v>117.99412696008461</v>
      </c>
      <c r="AA24" s="59">
        <f>('TE BE'!$AB$7+'TE BF'!$AB$7+'TE CVA'!$AB$7)*1*(1-0.03)</f>
        <v>111.32233992297954</v>
      </c>
      <c r="AB24" s="59">
        <f>(SUBSIDIO!$J$24*SUBSIDIO!$V$24)*(0.06)/(1-0.06)</f>
        <v>1137.3347999999999</v>
      </c>
      <c r="AC24" s="59">
        <f>((SUBSIDIO!$L$24*SUBSIDIO!$W$24)+(SUBSIDIO!$N$24*SUBSIDIO!$X$24))*(0.06)/(1-0.06)</f>
        <v>277.89765119999998</v>
      </c>
      <c r="AD24" s="59">
        <f ca="1">(SUBSIDIO!$J$24*SUBSIDIO!$Y$24)*(0.03)/(1-0.03)</f>
        <v>702.38022907217442</v>
      </c>
      <c r="AE24" s="59">
        <f ca="1">((SUBSIDIO!$L$24*SUBSIDIO!$Z$24)+(SUBSIDIO!$N$24*SUBSIDIO!$AA$24))*(0.03)/(1-0.03)</f>
        <v>146.22825507819638</v>
      </c>
      <c r="AF24" s="4" t="s">
        <v>644</v>
      </c>
    </row>
    <row r="25" spans="1:32" ht="11.25" customHeight="1" x14ac:dyDescent="0.25">
      <c r="A25" s="4" t="s">
        <v>57</v>
      </c>
      <c r="B25" s="4" t="s">
        <v>39</v>
      </c>
      <c r="C25" s="4" t="s">
        <v>36</v>
      </c>
      <c r="D25" s="4" t="s">
        <v>48</v>
      </c>
      <c r="E25" s="4" t="s">
        <v>49</v>
      </c>
      <c r="F25" s="4" t="s">
        <v>25</v>
      </c>
      <c r="G25" s="4" t="s">
        <v>25</v>
      </c>
      <c r="H25" s="4" t="s">
        <v>37</v>
      </c>
      <c r="I25" s="5">
        <v>44774</v>
      </c>
      <c r="J25" s="6">
        <v>497</v>
      </c>
      <c r="K25" s="58">
        <v>497</v>
      </c>
      <c r="L25" s="6">
        <v>20.617999999999999</v>
      </c>
      <c r="M25" s="59">
        <v>20.617999999999999</v>
      </c>
      <c r="N25" s="6">
        <v>20.617999999999999</v>
      </c>
      <c r="O25" s="59">
        <v>20.617999999999999</v>
      </c>
      <c r="P25" s="6">
        <v>0</v>
      </c>
      <c r="Q25" s="4" t="s">
        <v>26</v>
      </c>
      <c r="R25" s="4">
        <v>0</v>
      </c>
      <c r="S25" s="4">
        <v>17</v>
      </c>
      <c r="T25" s="4">
        <v>10</v>
      </c>
      <c r="U25" s="4">
        <v>64</v>
      </c>
      <c r="V25" s="59">
        <f>IF(ISERROR(VLOOKUP($S$25,'TAR FIN'!$A$1:$O$91,15,0)),0,VLOOKUP($S$25,'TAR FIN'!$A$1:$O$91,15,0))*(1-0.06)</f>
        <v>35.851599999999998</v>
      </c>
      <c r="W25" s="59">
        <f>IF(ISERROR(VLOOKUP($T$25,'TAR FIN'!$A$1:$O$91,15,0)),0,VLOOKUP($T$25,'TAR FIN'!$A$1:$O$91,15,0))*(1-0.06)</f>
        <v>85.229799999999997</v>
      </c>
      <c r="X25" s="59">
        <f>IF(ISERROR(VLOOKUP($U$25,'TAR FIN'!$A$1:$O$91,15,0)),0,VLOOKUP($U$25,'TAR FIN'!$A$1:$O$91,15,0))*(1-0.06)</f>
        <v>125.9318</v>
      </c>
      <c r="Y25" s="59">
        <f ca="1">('TUSD BE'!$AM$9+'TUSD BF'!$AM$9+'TUSD CVA'!$AM$9)*1*(1-0.03)</f>
        <v>45.694756686788011</v>
      </c>
      <c r="Z25" s="59">
        <f ca="1">('TUSD BE'!$AM$11+'TUSD BF'!$AM$11+'TUSD CVA'!$AM$11)*1*(1-0.03)</f>
        <v>117.99412696008461</v>
      </c>
      <c r="AA25" s="59">
        <f>('TE BE'!$AB$7+'TE BF'!$AB$7+'TE CVA'!$AB$7)*1*(1-0.03)</f>
        <v>111.32233992297954</v>
      </c>
      <c r="AB25" s="59">
        <f>(SUBSIDIO!$J$25*SUBSIDIO!$V$25)*(0.06)/(1-0.06)</f>
        <v>1137.3347999999999</v>
      </c>
      <c r="AC25" s="59">
        <f>((SUBSIDIO!$L$25*SUBSIDIO!$W$25)+(SUBSIDIO!$N$25*SUBSIDIO!$X$25))*(0.06)/(1-0.06)</f>
        <v>277.89765119999998</v>
      </c>
      <c r="AD25" s="59">
        <f ca="1">(SUBSIDIO!$J$25*SUBSIDIO!$Y$25)*(0.03)/(1-0.03)</f>
        <v>702.38022907217442</v>
      </c>
      <c r="AE25" s="59">
        <f ca="1">((SUBSIDIO!$L$25*SUBSIDIO!$Z$25)+(SUBSIDIO!$N$25*SUBSIDIO!$AA$25))*(0.03)/(1-0.03)</f>
        <v>146.22825507819638</v>
      </c>
      <c r="AF25" s="4" t="s">
        <v>644</v>
      </c>
    </row>
    <row r="26" spans="1:32" ht="11.25" customHeight="1" x14ac:dyDescent="0.25">
      <c r="A26" s="4" t="s">
        <v>21</v>
      </c>
      <c r="B26" s="4" t="s">
        <v>22</v>
      </c>
      <c r="C26" s="4" t="s">
        <v>23</v>
      </c>
      <c r="D26" s="4" t="s">
        <v>24</v>
      </c>
      <c r="E26" s="4" t="s">
        <v>24</v>
      </c>
      <c r="F26" s="4" t="s">
        <v>25</v>
      </c>
      <c r="G26" s="4" t="s">
        <v>25</v>
      </c>
      <c r="H26" s="4" t="s">
        <v>25</v>
      </c>
      <c r="I26" s="5">
        <v>44440</v>
      </c>
      <c r="J26" s="6">
        <v>0</v>
      </c>
      <c r="K26" s="6">
        <v>0</v>
      </c>
      <c r="L26" s="6">
        <v>4595.1440000000002</v>
      </c>
      <c r="M26" s="6">
        <v>4595.1440000000002</v>
      </c>
      <c r="N26" s="6">
        <v>4595.1440000000002</v>
      </c>
      <c r="O26" s="6">
        <v>4595.1440000000002</v>
      </c>
      <c r="P26" s="6">
        <v>20586</v>
      </c>
      <c r="Q26" s="4" t="s">
        <v>26</v>
      </c>
      <c r="R26" s="4">
        <v>0</v>
      </c>
      <c r="S26" s="4">
        <v>0</v>
      </c>
      <c r="T26" s="4">
        <v>11</v>
      </c>
      <c r="U26" s="4">
        <v>88</v>
      </c>
      <c r="V26" s="6">
        <f>IF(ISERROR(VLOOKUP($S$26,'TAR FIN'!$A$1:$O$91,15,0)),0,VLOOKUP($S$26,'TAR FIN'!$A$1:$O$91,15,0))</f>
        <v>0</v>
      </c>
      <c r="W26" s="6">
        <f>IF(ISERROR(VLOOKUP($T$26,'TAR FIN'!$A$1:$O$91,15,0)),0,VLOOKUP($T$26,'TAR FIN'!$A$1:$O$91,15,0))</f>
        <v>269.06</v>
      </c>
      <c r="X26" s="6">
        <f>IF(ISERROR(VLOOKUP($U$26,'TAR FIN'!$A$1:$O$91,15,0)),0,VLOOKUP($U$26,'TAR FIN'!$A$1:$O$91,15,0))</f>
        <v>133.97</v>
      </c>
      <c r="Y26" s="6"/>
      <c r="Z26" s="6">
        <f ca="1">('TUSD BE'!$AM$24+'TUSD BF'!$AM$24+'TUSD CVA'!$AM$24)*1</f>
        <v>343.81469354767324</v>
      </c>
      <c r="AA26" s="6">
        <f>('TE BE'!$AB$12+'TE BF'!$AB$12+'TE CVA'!$AB$12)*1</f>
        <v>114.76529888966962</v>
      </c>
      <c r="AB26" s="6">
        <f t="shared" ref="AB26:AB33" si="2">(J26-K26)*V26</f>
        <v>0</v>
      </c>
      <c r="AC26" s="6">
        <f t="shared" ref="AC26" si="3">(L26-M26)*W26+(N26-O26)*X26</f>
        <v>0</v>
      </c>
      <c r="AD26" s="6">
        <f t="shared" ref="AD26:AD33" si="4">(J26-K26)*Y26</f>
        <v>0</v>
      </c>
      <c r="AE26" s="6">
        <f t="shared" ref="AE26" ca="1" si="5">(L26-M26)*Z26+(N26-O26)*AA26</f>
        <v>0</v>
      </c>
    </row>
    <row r="27" spans="1:32" ht="11.25" customHeight="1" x14ac:dyDescent="0.25">
      <c r="A27" s="4" t="s">
        <v>21</v>
      </c>
      <c r="B27" s="4" t="s">
        <v>22</v>
      </c>
      <c r="C27" s="4" t="s">
        <v>23</v>
      </c>
      <c r="D27" s="4" t="s">
        <v>24</v>
      </c>
      <c r="E27" s="4" t="s">
        <v>29</v>
      </c>
      <c r="F27" s="4" t="s">
        <v>25</v>
      </c>
      <c r="G27" s="4" t="s">
        <v>25</v>
      </c>
      <c r="H27" s="4" t="s">
        <v>25</v>
      </c>
      <c r="I27" s="5">
        <v>44440</v>
      </c>
      <c r="J27" s="6">
        <v>0</v>
      </c>
      <c r="K27" s="6">
        <v>0</v>
      </c>
      <c r="L27" s="6">
        <v>12.63</v>
      </c>
      <c r="M27" s="6">
        <v>12.63</v>
      </c>
      <c r="N27" s="6">
        <v>12.63</v>
      </c>
      <c r="O27" s="6">
        <v>12.63</v>
      </c>
      <c r="P27" s="6">
        <v>10</v>
      </c>
      <c r="Q27" s="4" t="s">
        <v>26</v>
      </c>
      <c r="R27" s="4">
        <v>0</v>
      </c>
      <c r="S27" s="4">
        <v>0</v>
      </c>
      <c r="T27" s="4">
        <v>6</v>
      </c>
      <c r="U27" s="4">
        <v>67</v>
      </c>
      <c r="V27" s="6">
        <f>IF(ISERROR(VLOOKUP($S$27,'TAR FIN'!$A$1:$O$91,15,0)),0,VLOOKUP($S$27,'TAR FIN'!$A$1:$O$91,15,0))</f>
        <v>0</v>
      </c>
      <c r="W27" s="6">
        <f>IF(ISERROR(VLOOKUP($T$27,'TAR FIN'!$A$1:$O$91,15,0)),0,VLOOKUP($T$27,'TAR FIN'!$A$1:$O$91,15,0))</f>
        <v>60.53</v>
      </c>
      <c r="X27" s="6">
        <f>IF(ISERROR(VLOOKUP($U$27,'TAR FIN'!$A$1:$O$91,15,0)),0,VLOOKUP($U$27,'TAR FIN'!$A$1:$O$91,15,0))</f>
        <v>46.89</v>
      </c>
      <c r="Y27" s="6"/>
      <c r="Z27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7" s="6">
        <f>('TE BE'!$AB$13+'TE BF'!$AB$13+'TE CVA'!$AB$13)*(1-CUSTOS!$M$34)</f>
        <v>40.167854611384364</v>
      </c>
      <c r="AB27" s="6">
        <f t="shared" si="2"/>
        <v>0</v>
      </c>
      <c r="AC27" s="6">
        <f>(L27-M27)*(W27+X27)+($W$64+$X$64-$W$27-$X$27)*(L27)</f>
        <v>2519.4323999999997</v>
      </c>
      <c r="AD27" s="6">
        <f t="shared" si="4"/>
        <v>0</v>
      </c>
      <c r="AE27" s="6">
        <f ca="1">(L27-M27)*(Z27+AA27)+($Z$64+$AA$64-$Z$27-$AA$27)*(L27)</f>
        <v>2647.4035468754223</v>
      </c>
      <c r="AF27" s="4" t="s">
        <v>645</v>
      </c>
    </row>
    <row r="28" spans="1:32" ht="11.25" customHeight="1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29</v>
      </c>
      <c r="F28" s="4" t="s">
        <v>25</v>
      </c>
      <c r="G28" s="4" t="s">
        <v>25</v>
      </c>
      <c r="H28" s="4" t="s">
        <v>25</v>
      </c>
      <c r="I28" s="5">
        <v>44470</v>
      </c>
      <c r="J28" s="6">
        <v>0</v>
      </c>
      <c r="K28" s="6">
        <v>0</v>
      </c>
      <c r="L28" s="6">
        <v>12.9</v>
      </c>
      <c r="M28" s="6">
        <v>12.9</v>
      </c>
      <c r="N28" s="6">
        <v>12.9</v>
      </c>
      <c r="O28" s="6">
        <v>12.9</v>
      </c>
      <c r="P28" s="6">
        <v>9</v>
      </c>
      <c r="Q28" s="4" t="s">
        <v>26</v>
      </c>
      <c r="R28" s="4">
        <v>0</v>
      </c>
      <c r="S28" s="4">
        <v>0</v>
      </c>
      <c r="T28" s="4">
        <v>6</v>
      </c>
      <c r="U28" s="4">
        <v>67</v>
      </c>
      <c r="V28" s="6">
        <f>IF(ISERROR(VLOOKUP($S$28,'TAR FIN'!$A$1:$O$91,15,0)),0,VLOOKUP($S$28,'TAR FIN'!$A$1:$O$91,15,0))</f>
        <v>0</v>
      </c>
      <c r="W28" s="6">
        <f>IF(ISERROR(VLOOKUP($T$28,'TAR FIN'!$A$1:$O$91,15,0)),0,VLOOKUP($T$28,'TAR FIN'!$A$1:$O$91,15,0))</f>
        <v>60.53</v>
      </c>
      <c r="X28" s="6">
        <f>IF(ISERROR(VLOOKUP($U$28,'TAR FIN'!$A$1:$O$91,15,0)),0,VLOOKUP($U$28,'TAR FIN'!$A$1:$O$91,15,0))</f>
        <v>46.89</v>
      </c>
      <c r="Y28" s="6"/>
      <c r="Z28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8" s="6">
        <f>('TE BE'!$AB$13+'TE BF'!$AB$13+'TE CVA'!$AB$13)*(1-CUSTOS!$M$34)</f>
        <v>40.167854611384364</v>
      </c>
      <c r="AB28" s="6">
        <f t="shared" si="2"/>
        <v>0</v>
      </c>
      <c r="AC28" s="6">
        <f>(L28-M28)*(W28+X28)+($W$64+$X$64-$W$28-$X$28)*(L28)</f>
        <v>2573.2919999999995</v>
      </c>
      <c r="AD28" s="6">
        <f t="shared" si="4"/>
        <v>0</v>
      </c>
      <c r="AE28" s="6">
        <f ca="1">(L28-M28)*(Z28+AA28)+($Z$64+$AA$64-$Z$28-$AA$28)*(L28)</f>
        <v>2703.9988721055379</v>
      </c>
      <c r="AF28" s="4" t="s">
        <v>645</v>
      </c>
    </row>
    <row r="29" spans="1:32" ht="11.25" customHeight="1" x14ac:dyDescent="0.25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29</v>
      </c>
      <c r="F29" s="4" t="s">
        <v>25</v>
      </c>
      <c r="G29" s="4" t="s">
        <v>25</v>
      </c>
      <c r="H29" s="4" t="s">
        <v>25</v>
      </c>
      <c r="I29" s="5">
        <v>44501</v>
      </c>
      <c r="J29" s="6">
        <v>0</v>
      </c>
      <c r="K29" s="6">
        <v>0</v>
      </c>
      <c r="L29" s="6">
        <v>13.145</v>
      </c>
      <c r="M29" s="6">
        <v>13.145</v>
      </c>
      <c r="N29" s="6">
        <v>13.145</v>
      </c>
      <c r="O29" s="6">
        <v>13.145</v>
      </c>
      <c r="P29" s="6">
        <v>10</v>
      </c>
      <c r="Q29" s="4" t="s">
        <v>26</v>
      </c>
      <c r="R29" s="4">
        <v>0</v>
      </c>
      <c r="S29" s="4">
        <v>0</v>
      </c>
      <c r="T29" s="4">
        <v>6</v>
      </c>
      <c r="U29" s="4">
        <v>67</v>
      </c>
      <c r="V29" s="6">
        <f>IF(ISERROR(VLOOKUP($S$29,'TAR FIN'!$A$1:$O$91,15,0)),0,VLOOKUP($S$29,'TAR FIN'!$A$1:$O$91,15,0))</f>
        <v>0</v>
      </c>
      <c r="W29" s="6">
        <f>IF(ISERROR(VLOOKUP($T$29,'TAR FIN'!$A$1:$O$91,15,0)),0,VLOOKUP($T$29,'TAR FIN'!$A$1:$O$91,15,0))</f>
        <v>60.53</v>
      </c>
      <c r="X29" s="6">
        <f>IF(ISERROR(VLOOKUP($U$29,'TAR FIN'!$A$1:$O$91,15,0)),0,VLOOKUP($U$29,'TAR FIN'!$A$1:$O$91,15,0))</f>
        <v>46.89</v>
      </c>
      <c r="Y29" s="6"/>
      <c r="Z29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29" s="6">
        <f>('TE BE'!$AB$13+'TE BF'!$AB$13+'TE CVA'!$AB$13)*(1-CUSTOS!$M$34)</f>
        <v>40.167854611384364</v>
      </c>
      <c r="AB29" s="6">
        <f t="shared" si="2"/>
        <v>0</v>
      </c>
      <c r="AC29" s="6">
        <f>(L29-M29)*(W29+X29)+($W$64+$X$64-$W$29-$X$29)*(L29)</f>
        <v>2622.1645999999996</v>
      </c>
      <c r="AD29" s="6">
        <f t="shared" si="4"/>
        <v>0</v>
      </c>
      <c r="AE29" s="6">
        <f ca="1">(L29-M29)*(Z29+AA29)+($Z$64+$AA$64-$Z$29-$AA$29)*(L29)</f>
        <v>2755.3538894439766</v>
      </c>
      <c r="AF29" s="4" t="s">
        <v>645</v>
      </c>
    </row>
    <row r="30" spans="1:32" ht="11.25" customHeight="1" x14ac:dyDescent="0.25">
      <c r="A30" s="4" t="s">
        <v>21</v>
      </c>
      <c r="B30" s="4" t="s">
        <v>22</v>
      </c>
      <c r="C30" s="4" t="s">
        <v>23</v>
      </c>
      <c r="D30" s="4" t="s">
        <v>24</v>
      </c>
      <c r="E30" s="4" t="s">
        <v>29</v>
      </c>
      <c r="F30" s="4" t="s">
        <v>25</v>
      </c>
      <c r="G30" s="4" t="s">
        <v>25</v>
      </c>
      <c r="H30" s="4" t="s">
        <v>25</v>
      </c>
      <c r="I30" s="5">
        <v>44531</v>
      </c>
      <c r="J30" s="6">
        <v>0</v>
      </c>
      <c r="K30" s="6">
        <v>0</v>
      </c>
      <c r="L30" s="6">
        <v>13.44</v>
      </c>
      <c r="M30" s="6">
        <v>13.44</v>
      </c>
      <c r="N30" s="6">
        <v>13.44</v>
      </c>
      <c r="O30" s="6">
        <v>13.44</v>
      </c>
      <c r="P30" s="6">
        <v>13</v>
      </c>
      <c r="Q30" s="4" t="s">
        <v>26</v>
      </c>
      <c r="R30" s="4">
        <v>0</v>
      </c>
      <c r="S30" s="4">
        <v>0</v>
      </c>
      <c r="T30" s="4">
        <v>6</v>
      </c>
      <c r="U30" s="4">
        <v>67</v>
      </c>
      <c r="V30" s="6">
        <f>IF(ISERROR(VLOOKUP($S$30,'TAR FIN'!$A$1:$O$91,15,0)),0,VLOOKUP($S$30,'TAR FIN'!$A$1:$O$91,15,0))</f>
        <v>0</v>
      </c>
      <c r="W30" s="6">
        <f>IF(ISERROR(VLOOKUP($T$30,'TAR FIN'!$A$1:$O$91,15,0)),0,VLOOKUP($T$30,'TAR FIN'!$A$1:$O$91,15,0))</f>
        <v>60.53</v>
      </c>
      <c r="X30" s="6">
        <f>IF(ISERROR(VLOOKUP($U$30,'TAR FIN'!$A$1:$O$91,15,0)),0,VLOOKUP($U$30,'TAR FIN'!$A$1:$O$91,15,0))</f>
        <v>46.89</v>
      </c>
      <c r="Y30" s="6"/>
      <c r="Z30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0" s="6">
        <f>('TE BE'!$AB$13+'TE BF'!$AB$13+'TE CVA'!$AB$13)*(1-CUSTOS!$M$34)</f>
        <v>40.167854611384364</v>
      </c>
      <c r="AB30" s="6">
        <f t="shared" si="2"/>
        <v>0</v>
      </c>
      <c r="AC30" s="6">
        <f>(L30-M30)*(W30+X30)+($W$64+$X$64-$W$30-$X$30)*(L30)</f>
        <v>2681.0111999999995</v>
      </c>
      <c r="AD30" s="6">
        <f t="shared" si="4"/>
        <v>0</v>
      </c>
      <c r="AE30" s="6">
        <f ca="1">(L30-M30)*(Z30+AA30)+($Z$64+$AA$64-$Z$30-$AA$30)*(L30)</f>
        <v>2817.1895225657699</v>
      </c>
      <c r="AF30" s="4" t="s">
        <v>645</v>
      </c>
    </row>
    <row r="31" spans="1:32" ht="11.25" customHeight="1" x14ac:dyDescent="0.25">
      <c r="A31" s="4" t="s">
        <v>21</v>
      </c>
      <c r="B31" s="4" t="s">
        <v>22</v>
      </c>
      <c r="C31" s="4" t="s">
        <v>23</v>
      </c>
      <c r="D31" s="4" t="s">
        <v>24</v>
      </c>
      <c r="E31" s="4" t="s">
        <v>29</v>
      </c>
      <c r="F31" s="4" t="s">
        <v>25</v>
      </c>
      <c r="G31" s="4" t="s">
        <v>25</v>
      </c>
      <c r="H31" s="4" t="s">
        <v>25</v>
      </c>
      <c r="I31" s="5">
        <v>44562</v>
      </c>
      <c r="J31" s="6">
        <v>0</v>
      </c>
      <c r="K31" s="6">
        <v>0</v>
      </c>
      <c r="L31" s="6">
        <v>13.53</v>
      </c>
      <c r="M31" s="6">
        <v>13.53</v>
      </c>
      <c r="N31" s="6">
        <v>13.53</v>
      </c>
      <c r="O31" s="6">
        <v>13.53</v>
      </c>
      <c r="P31" s="6">
        <v>7</v>
      </c>
      <c r="Q31" s="4" t="s">
        <v>26</v>
      </c>
      <c r="R31" s="4">
        <v>0</v>
      </c>
      <c r="S31" s="4">
        <v>0</v>
      </c>
      <c r="T31" s="4">
        <v>6</v>
      </c>
      <c r="U31" s="4">
        <v>67</v>
      </c>
      <c r="V31" s="6">
        <f>IF(ISERROR(VLOOKUP($S$31,'TAR FIN'!$A$1:$O$91,15,0)),0,VLOOKUP($S$31,'TAR FIN'!$A$1:$O$91,15,0))</f>
        <v>0</v>
      </c>
      <c r="W31" s="6">
        <f>IF(ISERROR(VLOOKUP($T$31,'TAR FIN'!$A$1:$O$91,15,0)),0,VLOOKUP($T$31,'TAR FIN'!$A$1:$O$91,15,0))</f>
        <v>60.53</v>
      </c>
      <c r="X31" s="6">
        <f>IF(ISERROR(VLOOKUP($U$31,'TAR FIN'!$A$1:$O$91,15,0)),0,VLOOKUP($U$31,'TAR FIN'!$A$1:$O$91,15,0))</f>
        <v>46.89</v>
      </c>
      <c r="Y31" s="6"/>
      <c r="Z31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1" s="6">
        <f>('TE BE'!$AB$13+'TE BF'!$AB$13+'TE CVA'!$AB$13)*(1-CUSTOS!$M$34)</f>
        <v>40.167854611384364</v>
      </c>
      <c r="AB31" s="6">
        <f t="shared" si="2"/>
        <v>0</v>
      </c>
      <c r="AC31" s="6">
        <f>(L31-M31)*(W31+X31)+($W$64+$X$64-$W$31-$X$31)*(L31)</f>
        <v>2698.9643999999994</v>
      </c>
      <c r="AD31" s="6">
        <f t="shared" si="4"/>
        <v>0</v>
      </c>
      <c r="AE31" s="6">
        <f ca="1">(L31-M31)*(Z31+AA31)+($Z$64+$AA$64-$Z$31-$AA$31)*(L31)</f>
        <v>2836.0546309758083</v>
      </c>
      <c r="AF31" s="4" t="s">
        <v>645</v>
      </c>
    </row>
    <row r="32" spans="1:32" ht="11.25" customHeight="1" x14ac:dyDescent="0.25">
      <c r="A32" s="4" t="s">
        <v>21</v>
      </c>
      <c r="B32" s="4" t="s">
        <v>22</v>
      </c>
      <c r="C32" s="4" t="s">
        <v>23</v>
      </c>
      <c r="D32" s="4" t="s">
        <v>24</v>
      </c>
      <c r="E32" s="4" t="s">
        <v>29</v>
      </c>
      <c r="F32" s="4" t="s">
        <v>25</v>
      </c>
      <c r="G32" s="4" t="s">
        <v>25</v>
      </c>
      <c r="H32" s="4" t="s">
        <v>25</v>
      </c>
      <c r="I32" s="5">
        <v>44593</v>
      </c>
      <c r="J32" s="6">
        <v>0</v>
      </c>
      <c r="K32" s="6">
        <v>0</v>
      </c>
      <c r="L32" s="6">
        <v>14.97</v>
      </c>
      <c r="M32" s="6">
        <v>14.97</v>
      </c>
      <c r="N32" s="6">
        <v>14.97</v>
      </c>
      <c r="O32" s="6">
        <v>14.97</v>
      </c>
      <c r="P32" s="6">
        <v>9</v>
      </c>
      <c r="Q32" s="4" t="s">
        <v>26</v>
      </c>
      <c r="R32" s="4">
        <v>0</v>
      </c>
      <c r="S32" s="4">
        <v>0</v>
      </c>
      <c r="T32" s="4">
        <v>6</v>
      </c>
      <c r="U32" s="4">
        <v>67</v>
      </c>
      <c r="V32" s="6">
        <f>IF(ISERROR(VLOOKUP($S$32,'TAR FIN'!$A$1:$O$91,15,0)),0,VLOOKUP($S$32,'TAR FIN'!$A$1:$O$91,15,0))</f>
        <v>0</v>
      </c>
      <c r="W32" s="6">
        <f>IF(ISERROR(VLOOKUP($T$32,'TAR FIN'!$A$1:$O$91,15,0)),0,VLOOKUP($T$32,'TAR FIN'!$A$1:$O$91,15,0))</f>
        <v>60.53</v>
      </c>
      <c r="X32" s="6">
        <f>IF(ISERROR(VLOOKUP($U$32,'TAR FIN'!$A$1:$O$91,15,0)),0,VLOOKUP($U$32,'TAR FIN'!$A$1:$O$91,15,0))</f>
        <v>46.89</v>
      </c>
      <c r="Y32" s="6"/>
      <c r="Z32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2" s="6">
        <f>('TE BE'!$AB$13+'TE BF'!$AB$13+'TE CVA'!$AB$13)*(1-CUSTOS!$M$34)</f>
        <v>40.167854611384364</v>
      </c>
      <c r="AB32" s="6">
        <f t="shared" si="2"/>
        <v>0</v>
      </c>
      <c r="AC32" s="6">
        <f>(L32-M32)*(W32+X32)+($W$64+$X$64-$W$32-$X$32)*(L32)</f>
        <v>2986.2155999999995</v>
      </c>
      <c r="AD32" s="6">
        <f t="shared" si="4"/>
        <v>0</v>
      </c>
      <c r="AE32" s="6">
        <f ca="1">(L32-M32)*(Z32+AA32)+($Z$64+$AA$64-$Z$32-$AA$32)*(L32)</f>
        <v>3137.8963655364269</v>
      </c>
      <c r="AF32" s="4" t="s">
        <v>645</v>
      </c>
    </row>
    <row r="33" spans="1:32" ht="11.25" customHeight="1" x14ac:dyDescent="0.25">
      <c r="A33" s="4" t="s">
        <v>21</v>
      </c>
      <c r="B33" s="4" t="s">
        <v>22</v>
      </c>
      <c r="C33" s="4" t="s">
        <v>23</v>
      </c>
      <c r="D33" s="4" t="s">
        <v>24</v>
      </c>
      <c r="E33" s="4" t="s">
        <v>29</v>
      </c>
      <c r="F33" s="4" t="s">
        <v>25</v>
      </c>
      <c r="G33" s="4" t="s">
        <v>25</v>
      </c>
      <c r="H33" s="4" t="s">
        <v>25</v>
      </c>
      <c r="I33" s="5">
        <v>44621</v>
      </c>
      <c r="J33" s="6">
        <v>0</v>
      </c>
      <c r="K33" s="6">
        <v>0</v>
      </c>
      <c r="L33" s="6">
        <v>19.440000000000001</v>
      </c>
      <c r="M33" s="6">
        <v>19.440000000000001</v>
      </c>
      <c r="N33" s="6">
        <v>19.440000000000001</v>
      </c>
      <c r="O33" s="6">
        <v>19.440000000000001</v>
      </c>
      <c r="P33" s="6">
        <v>12</v>
      </c>
      <c r="Q33" s="4" t="s">
        <v>26</v>
      </c>
      <c r="R33" s="4">
        <v>0</v>
      </c>
      <c r="S33" s="4">
        <v>0</v>
      </c>
      <c r="T33" s="4">
        <v>6</v>
      </c>
      <c r="U33" s="4">
        <v>67</v>
      </c>
      <c r="V33" s="6">
        <f>IF(ISERROR(VLOOKUP($S$33,'TAR FIN'!$A$1:$O$91,15,0)),0,VLOOKUP($S$33,'TAR FIN'!$A$1:$O$91,15,0))</f>
        <v>0</v>
      </c>
      <c r="W33" s="6">
        <f>IF(ISERROR(VLOOKUP($T$33,'TAR FIN'!$A$1:$O$91,15,0)),0,VLOOKUP($T$33,'TAR FIN'!$A$1:$O$91,15,0))</f>
        <v>60.53</v>
      </c>
      <c r="X33" s="6">
        <f>IF(ISERROR(VLOOKUP($U$33,'TAR FIN'!$A$1:$O$91,15,0)),0,VLOOKUP($U$33,'TAR FIN'!$A$1:$O$91,15,0))</f>
        <v>46.89</v>
      </c>
      <c r="Y33" s="6"/>
      <c r="Z33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3" s="6">
        <f>('TE BE'!$AB$13+'TE BF'!$AB$13+'TE CVA'!$AB$13)*(1-CUSTOS!$M$34)</f>
        <v>40.167854611384364</v>
      </c>
      <c r="AB33" s="6">
        <f t="shared" si="2"/>
        <v>0</v>
      </c>
      <c r="AC33" s="6">
        <f>(L33-M33)*(W33+X33)+($W$64+$X$64-$W$33-$X$33)*(L33)</f>
        <v>3877.8911999999996</v>
      </c>
      <c r="AD33" s="6">
        <f t="shared" si="4"/>
        <v>0</v>
      </c>
      <c r="AE33" s="6">
        <f ca="1">(L33-M33)*(Z33+AA33)+($Z$64+$AA$64-$Z$33-$AA$33)*(L33)</f>
        <v>4074.8634165683461</v>
      </c>
      <c r="AF33" s="4" t="s">
        <v>645</v>
      </c>
    </row>
    <row r="34" spans="1:32" ht="11.25" customHeight="1" x14ac:dyDescent="0.25">
      <c r="A34" s="4" t="s">
        <v>21</v>
      </c>
      <c r="B34" s="4" t="s">
        <v>22</v>
      </c>
      <c r="C34" s="4" t="s">
        <v>23</v>
      </c>
      <c r="D34" s="4" t="s">
        <v>24</v>
      </c>
      <c r="E34" s="4" t="s">
        <v>29</v>
      </c>
      <c r="F34" s="4" t="s">
        <v>25</v>
      </c>
      <c r="G34" s="4" t="s">
        <v>25</v>
      </c>
      <c r="H34" s="4" t="s">
        <v>25</v>
      </c>
      <c r="I34" s="5">
        <v>44652</v>
      </c>
      <c r="J34" s="6">
        <v>0</v>
      </c>
      <c r="K34" s="6">
        <v>0</v>
      </c>
      <c r="L34" s="6">
        <v>21.99</v>
      </c>
      <c r="M34" s="6">
        <v>21.99</v>
      </c>
      <c r="N34" s="6">
        <v>21.99</v>
      </c>
      <c r="O34" s="6">
        <v>21.99</v>
      </c>
      <c r="P34" s="6">
        <v>17</v>
      </c>
      <c r="Q34" s="4" t="s">
        <v>26</v>
      </c>
      <c r="R34" s="4">
        <v>0</v>
      </c>
      <c r="S34" s="4">
        <v>0</v>
      </c>
      <c r="T34" s="4">
        <v>6</v>
      </c>
      <c r="U34" s="4">
        <v>67</v>
      </c>
      <c r="V34" s="6">
        <f>IF(ISERROR(VLOOKUP($S$34,'TAR FIN'!$A$1:$O$91,15,0)),0,VLOOKUP($S$34,'TAR FIN'!$A$1:$O$91,15,0))</f>
        <v>0</v>
      </c>
      <c r="W34" s="6">
        <f>IF(ISERROR(VLOOKUP($T$34,'TAR FIN'!$A$1:$O$91,15,0)),0,VLOOKUP($T$34,'TAR FIN'!$A$1:$O$91,15,0))</f>
        <v>60.53</v>
      </c>
      <c r="X34" s="6">
        <f>IF(ISERROR(VLOOKUP($U$34,'TAR FIN'!$A$1:$O$91,15,0)),0,VLOOKUP($U$34,'TAR FIN'!$A$1:$O$91,15,0))</f>
        <v>46.89</v>
      </c>
      <c r="Y34" s="6"/>
      <c r="Z34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4" s="6">
        <f>('TE BE'!$AB$13+'TE BF'!$AB$13+'TE CVA'!$AB$13)*(1-CUSTOS!$M$34)</f>
        <v>40.167854611384364</v>
      </c>
      <c r="AB34" s="6">
        <f t="shared" ref="AB34:AB65" si="6">(J34-K34)*V34</f>
        <v>0</v>
      </c>
      <c r="AC34" s="6">
        <f>(L34-M34)*(W34+X34)+($W$64+$X$64-$W$34-$X$34)*(L34)</f>
        <v>4386.5651999999991</v>
      </c>
      <c r="AD34" s="6">
        <f t="shared" ref="AD34:AD65" si="7">(J34-K34)*Y34</f>
        <v>0</v>
      </c>
      <c r="AE34" s="6">
        <f ca="1">(L34-M34)*(Z34+AA34)+($Z$64+$AA$64-$Z$34-$AA$34)*(L34)</f>
        <v>4609.37482151944</v>
      </c>
      <c r="AF34" s="4" t="s">
        <v>645</v>
      </c>
    </row>
    <row r="35" spans="1:32" ht="11.25" customHeight="1" x14ac:dyDescent="0.25">
      <c r="A35" s="4" t="s">
        <v>21</v>
      </c>
      <c r="B35" s="4" t="s">
        <v>22</v>
      </c>
      <c r="C35" s="4" t="s">
        <v>23</v>
      </c>
      <c r="D35" s="4" t="s">
        <v>24</v>
      </c>
      <c r="E35" s="4" t="s">
        <v>29</v>
      </c>
      <c r="F35" s="4" t="s">
        <v>25</v>
      </c>
      <c r="G35" s="4" t="s">
        <v>25</v>
      </c>
      <c r="H35" s="4" t="s">
        <v>25</v>
      </c>
      <c r="I35" s="5">
        <v>44682</v>
      </c>
      <c r="J35" s="6">
        <v>0</v>
      </c>
      <c r="K35" s="6">
        <v>0</v>
      </c>
      <c r="L35" s="6">
        <v>22.77</v>
      </c>
      <c r="M35" s="6">
        <v>22.77</v>
      </c>
      <c r="N35" s="6">
        <v>22.77</v>
      </c>
      <c r="O35" s="6">
        <v>22.77</v>
      </c>
      <c r="P35" s="6">
        <v>26</v>
      </c>
      <c r="Q35" s="4" t="s">
        <v>26</v>
      </c>
      <c r="R35" s="4">
        <v>0</v>
      </c>
      <c r="S35" s="4">
        <v>0</v>
      </c>
      <c r="T35" s="4">
        <v>6</v>
      </c>
      <c r="U35" s="4">
        <v>67</v>
      </c>
      <c r="V35" s="6">
        <f>IF(ISERROR(VLOOKUP($S$35,'TAR FIN'!$A$1:$O$91,15,0)),0,VLOOKUP($S$35,'TAR FIN'!$A$1:$O$91,15,0))</f>
        <v>0</v>
      </c>
      <c r="W35" s="6">
        <f>IF(ISERROR(VLOOKUP($T$35,'TAR FIN'!$A$1:$O$91,15,0)),0,VLOOKUP($T$35,'TAR FIN'!$A$1:$O$91,15,0))</f>
        <v>60.53</v>
      </c>
      <c r="X35" s="6">
        <f>IF(ISERROR(VLOOKUP($U$35,'TAR FIN'!$A$1:$O$91,15,0)),0,VLOOKUP($U$35,'TAR FIN'!$A$1:$O$91,15,0))</f>
        <v>46.89</v>
      </c>
      <c r="Y35" s="6"/>
      <c r="Z35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5" s="6">
        <f>('TE BE'!$AB$13+'TE BF'!$AB$13+'TE CVA'!$AB$13)*(1-CUSTOS!$M$34)</f>
        <v>40.167854611384364</v>
      </c>
      <c r="AB35" s="6">
        <f t="shared" si="6"/>
        <v>0</v>
      </c>
      <c r="AC35" s="6">
        <f>(L35-M35)*(W35+X35)+($W$64+$X$64-$W$35-$X$35)*(L35)</f>
        <v>4542.159599999999</v>
      </c>
      <c r="AD35" s="6">
        <f t="shared" si="7"/>
        <v>0</v>
      </c>
      <c r="AE35" s="6">
        <f ca="1">(L35-M35)*(Z35+AA35)+($Z$64+$AA$64-$Z$35-$AA$35)*(L35)</f>
        <v>4772.872427739775</v>
      </c>
      <c r="AF35" s="4" t="s">
        <v>645</v>
      </c>
    </row>
    <row r="36" spans="1:32" ht="11.25" customHeight="1" x14ac:dyDescent="0.25">
      <c r="A36" s="4" t="s">
        <v>21</v>
      </c>
      <c r="B36" s="4" t="s">
        <v>22</v>
      </c>
      <c r="C36" s="4" t="s">
        <v>23</v>
      </c>
      <c r="D36" s="4" t="s">
        <v>24</v>
      </c>
      <c r="E36" s="4" t="s">
        <v>29</v>
      </c>
      <c r="F36" s="4" t="s">
        <v>25</v>
      </c>
      <c r="G36" s="4" t="s">
        <v>25</v>
      </c>
      <c r="H36" s="4" t="s">
        <v>25</v>
      </c>
      <c r="I36" s="5">
        <v>44713</v>
      </c>
      <c r="J36" s="6">
        <v>0</v>
      </c>
      <c r="K36" s="6">
        <v>0</v>
      </c>
      <c r="L36" s="6">
        <v>22.44</v>
      </c>
      <c r="M36" s="6">
        <v>22.44</v>
      </c>
      <c r="N36" s="6">
        <v>22.44</v>
      </c>
      <c r="O36" s="6">
        <v>22.44</v>
      </c>
      <c r="P36" s="6">
        <v>23</v>
      </c>
      <c r="Q36" s="4" t="s">
        <v>26</v>
      </c>
      <c r="R36" s="4">
        <v>0</v>
      </c>
      <c r="S36" s="4">
        <v>0</v>
      </c>
      <c r="T36" s="4">
        <v>6</v>
      </c>
      <c r="U36" s="4">
        <v>67</v>
      </c>
      <c r="V36" s="6">
        <f>IF(ISERROR(VLOOKUP($S$36,'TAR FIN'!$A$1:$O$91,15,0)),0,VLOOKUP($S$36,'TAR FIN'!$A$1:$O$91,15,0))</f>
        <v>0</v>
      </c>
      <c r="W36" s="6">
        <f>IF(ISERROR(VLOOKUP($T$36,'TAR FIN'!$A$1:$O$91,15,0)),0,VLOOKUP($T$36,'TAR FIN'!$A$1:$O$91,15,0))</f>
        <v>60.53</v>
      </c>
      <c r="X36" s="6">
        <f>IF(ISERROR(VLOOKUP($U$36,'TAR FIN'!$A$1:$O$91,15,0)),0,VLOOKUP($U$36,'TAR FIN'!$A$1:$O$91,15,0))</f>
        <v>46.89</v>
      </c>
      <c r="Y36" s="6"/>
      <c r="Z36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6" s="6">
        <f>('TE BE'!$AB$13+'TE BF'!$AB$13+'TE CVA'!$AB$13)*(1-CUSTOS!$M$34)</f>
        <v>40.167854611384364</v>
      </c>
      <c r="AB36" s="6">
        <f t="shared" si="6"/>
        <v>0</v>
      </c>
      <c r="AC36" s="6">
        <f>(L36-M36)*(W36+X36)+($W$64+$X$64-$W$36-$X$36)*(L36)</f>
        <v>4476.3311999999996</v>
      </c>
      <c r="AD36" s="6">
        <f t="shared" si="7"/>
        <v>0</v>
      </c>
      <c r="AE36" s="6">
        <f ca="1">(L36-M36)*(Z36+AA36)+($Z$64+$AA$64-$Z$36-$AA$36)*(L36)</f>
        <v>4703.7003635696337</v>
      </c>
      <c r="AF36" s="4" t="s">
        <v>645</v>
      </c>
    </row>
    <row r="37" spans="1:32" ht="11.25" customHeight="1" x14ac:dyDescent="0.25">
      <c r="A37" s="4" t="s">
        <v>21</v>
      </c>
      <c r="B37" s="4" t="s">
        <v>22</v>
      </c>
      <c r="C37" s="4" t="s">
        <v>23</v>
      </c>
      <c r="D37" s="4" t="s">
        <v>24</v>
      </c>
      <c r="E37" s="4" t="s">
        <v>29</v>
      </c>
      <c r="F37" s="4" t="s">
        <v>25</v>
      </c>
      <c r="G37" s="4" t="s">
        <v>25</v>
      </c>
      <c r="H37" s="4" t="s">
        <v>25</v>
      </c>
      <c r="I37" s="5">
        <v>44743</v>
      </c>
      <c r="J37" s="6">
        <v>0</v>
      </c>
      <c r="K37" s="6">
        <v>0</v>
      </c>
      <c r="L37" s="6">
        <v>21.09</v>
      </c>
      <c r="M37" s="6">
        <v>21.09</v>
      </c>
      <c r="N37" s="6">
        <v>21.09</v>
      </c>
      <c r="O37" s="6">
        <v>21.09</v>
      </c>
      <c r="P37" s="6">
        <v>21</v>
      </c>
      <c r="Q37" s="4" t="s">
        <v>26</v>
      </c>
      <c r="R37" s="4">
        <v>0</v>
      </c>
      <c r="S37" s="4">
        <v>0</v>
      </c>
      <c r="T37" s="4">
        <v>6</v>
      </c>
      <c r="U37" s="4">
        <v>67</v>
      </c>
      <c r="V37" s="6">
        <f>IF(ISERROR(VLOOKUP($S$37,'TAR FIN'!$A$1:$O$91,15,0)),0,VLOOKUP($S$37,'TAR FIN'!$A$1:$O$91,15,0))</f>
        <v>0</v>
      </c>
      <c r="W37" s="6">
        <f>IF(ISERROR(VLOOKUP($T$37,'TAR FIN'!$A$1:$O$91,15,0)),0,VLOOKUP($T$37,'TAR FIN'!$A$1:$O$91,15,0))</f>
        <v>60.53</v>
      </c>
      <c r="X37" s="6">
        <f>IF(ISERROR(VLOOKUP($U$37,'TAR FIN'!$A$1:$O$91,15,0)),0,VLOOKUP($U$37,'TAR FIN'!$A$1:$O$91,15,0))</f>
        <v>46.89</v>
      </c>
      <c r="Y37" s="6"/>
      <c r="Z37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7" s="6">
        <f>('TE BE'!$AB$13+'TE BF'!$AB$13+'TE CVA'!$AB$13)*(1-CUSTOS!$M$34)</f>
        <v>40.167854611384364</v>
      </c>
      <c r="AB37" s="6">
        <f t="shared" si="6"/>
        <v>0</v>
      </c>
      <c r="AC37" s="6">
        <f>(L37-M37)*(W37+X37)+($W$64+$X$64-$W$37-$X$37)*(L37)</f>
        <v>4207.0331999999989</v>
      </c>
      <c r="AD37" s="6">
        <f t="shared" si="7"/>
        <v>0</v>
      </c>
      <c r="AE37" s="6">
        <f ca="1">(L37-M37)*(Z37+AA37)+($Z$64+$AA$64-$Z$37-$AA$37)*(L37)</f>
        <v>4420.7237374190536</v>
      </c>
      <c r="AF37" s="4" t="s">
        <v>645</v>
      </c>
    </row>
    <row r="38" spans="1:32" ht="11.25" customHeight="1" x14ac:dyDescent="0.25">
      <c r="A38" s="4" t="s">
        <v>57</v>
      </c>
      <c r="B38" s="4" t="s">
        <v>22</v>
      </c>
      <c r="C38" s="4" t="s">
        <v>23</v>
      </c>
      <c r="D38" s="4" t="s">
        <v>24</v>
      </c>
      <c r="E38" s="4" t="s">
        <v>29</v>
      </c>
      <c r="F38" s="4" t="s">
        <v>25</v>
      </c>
      <c r="G38" s="4" t="s">
        <v>25</v>
      </c>
      <c r="H38" s="4" t="s">
        <v>25</v>
      </c>
      <c r="I38" s="5">
        <v>44774</v>
      </c>
      <c r="J38" s="6">
        <v>0</v>
      </c>
      <c r="K38" s="6">
        <v>0</v>
      </c>
      <c r="L38" s="6">
        <v>21.09</v>
      </c>
      <c r="M38" s="6">
        <v>21.09</v>
      </c>
      <c r="N38" s="6">
        <v>21.09</v>
      </c>
      <c r="O38" s="6">
        <v>21.09</v>
      </c>
      <c r="P38" s="6">
        <v>21</v>
      </c>
      <c r="Q38" s="4" t="s">
        <v>26</v>
      </c>
      <c r="R38" s="4">
        <v>0</v>
      </c>
      <c r="S38" s="4">
        <v>0</v>
      </c>
      <c r="T38" s="4">
        <v>6</v>
      </c>
      <c r="U38" s="4">
        <v>67</v>
      </c>
      <c r="V38" s="6">
        <f>IF(ISERROR(VLOOKUP($S$38,'TAR FIN'!$A$1:$O$91,15,0)),0,VLOOKUP($S$38,'TAR FIN'!$A$1:$O$91,15,0))</f>
        <v>0</v>
      </c>
      <c r="W38" s="6">
        <f>IF(ISERROR(VLOOKUP($T$38,'TAR FIN'!$A$1:$O$91,15,0)),0,VLOOKUP($T$38,'TAR FIN'!$A$1:$O$91,15,0))</f>
        <v>60.53</v>
      </c>
      <c r="X38" s="6">
        <f>IF(ISERROR(VLOOKUP($U$38,'TAR FIN'!$A$1:$O$91,15,0)),0,VLOOKUP($U$38,'TAR FIN'!$A$1:$O$91,15,0))</f>
        <v>46.89</v>
      </c>
      <c r="Y38" s="6"/>
      <c r="Z38" s="6">
        <f ca="1">('TUSD BE'!$AM$25+'TUSD BF'!$AM$25+'TUSD CVA'!$AM$25-('TUSD BE'!$P$25+'TUSD BF'!$P$25+'TUSD CVA'!$P$25)-('TUSD BE'!$Q$25+'TUSD BF'!$Q$25+'TUSD CVA'!$Q$25)-('TUSD BE'!$R$25+'TUSD BF'!$R$25+'TUSD CVA'!$R$25))*(1-CUSTOS!$M$34)</f>
        <v>72.700315363205746</v>
      </c>
      <c r="AA38" s="6">
        <f>('TE BE'!$AB$13+'TE BF'!$AB$13+'TE CVA'!$AB$13)*(1-CUSTOS!$M$34)</f>
        <v>40.167854611384364</v>
      </c>
      <c r="AB38" s="6">
        <f t="shared" si="6"/>
        <v>0</v>
      </c>
      <c r="AC38" s="6">
        <f>(L38-M38)*(W38+X38)+($W$64+$X$64-$W$38-$X$38)*(L38)</f>
        <v>4207.0331999999989</v>
      </c>
      <c r="AD38" s="6">
        <f t="shared" si="7"/>
        <v>0</v>
      </c>
      <c r="AE38" s="6">
        <f ca="1">(L38-M38)*(Z38+AA38)+($Z$64+$AA$64-$Z$38-$AA$38)*(L38)</f>
        <v>4420.7237374190536</v>
      </c>
      <c r="AF38" s="4" t="s">
        <v>645</v>
      </c>
    </row>
    <row r="39" spans="1:32" ht="11.25" customHeight="1" x14ac:dyDescent="0.25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30</v>
      </c>
      <c r="F39" s="4" t="s">
        <v>25</v>
      </c>
      <c r="G39" s="4" t="s">
        <v>25</v>
      </c>
      <c r="H39" s="4" t="s">
        <v>25</v>
      </c>
      <c r="I39" s="5">
        <v>44440</v>
      </c>
      <c r="J39" s="6">
        <v>0</v>
      </c>
      <c r="K39" s="6">
        <v>0</v>
      </c>
      <c r="L39" s="6">
        <v>27.273</v>
      </c>
      <c r="M39" s="6">
        <v>27.273</v>
      </c>
      <c r="N39" s="6">
        <v>27.273</v>
      </c>
      <c r="O39" s="6">
        <v>27.273</v>
      </c>
      <c r="P39" s="6">
        <v>56</v>
      </c>
      <c r="Q39" s="4" t="s">
        <v>26</v>
      </c>
      <c r="R39" s="4">
        <v>0</v>
      </c>
      <c r="S39" s="4">
        <v>0</v>
      </c>
      <c r="T39" s="4">
        <v>24</v>
      </c>
      <c r="U39" s="4">
        <v>50</v>
      </c>
      <c r="V39" s="6">
        <f>IF(ISERROR(VLOOKUP($S$39,'TAR FIN'!$A$1:$O$91,15,0)),0,VLOOKUP($S$39,'TAR FIN'!$A$1:$O$91,15,0))</f>
        <v>0</v>
      </c>
      <c r="W39" s="6">
        <f>IF(ISERROR(VLOOKUP($T$39,'TAR FIN'!$A$1:$O$91,15,0)),0,VLOOKUP($T$39,'TAR FIN'!$A$1:$O$91,15,0))</f>
        <v>103.76</v>
      </c>
      <c r="X39" s="6">
        <f>IF(ISERROR(VLOOKUP($U$39,'TAR FIN'!$A$1:$O$91,15,0)),0,VLOOKUP($U$39,'TAR FIN'!$A$1:$O$91,15,0))</f>
        <v>80.38</v>
      </c>
      <c r="Y39" s="6"/>
      <c r="Z39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39" s="6">
        <f>('TE BE'!$AB$14+'TE BF'!$AB$14+'TE CVA'!$AB$14)*(1-CUSTOS!$M$35)</f>
        <v>68.859179333801777</v>
      </c>
      <c r="AB39" s="6">
        <f t="shared" si="6"/>
        <v>0</v>
      </c>
      <c r="AC39" s="6">
        <f>(L39-M39)*(W39+X39)+($W$64+$X$64-$W$39-$X$39)*(L39)</f>
        <v>3348.0334799999996</v>
      </c>
      <c r="AD39" s="6">
        <f t="shared" si="7"/>
        <v>0</v>
      </c>
      <c r="AE39" s="6">
        <f ca="1">(L39-M39)*(Z39+AA39)+($Z$64+$AA$64-$Z$39-$AA$39)*(L39)</f>
        <v>3518.0041139622822</v>
      </c>
      <c r="AF39" s="4" t="s">
        <v>645</v>
      </c>
    </row>
    <row r="40" spans="1:32" ht="11.25" customHeight="1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30</v>
      </c>
      <c r="F40" s="4" t="s">
        <v>25</v>
      </c>
      <c r="G40" s="4" t="s">
        <v>25</v>
      </c>
      <c r="H40" s="4" t="s">
        <v>25</v>
      </c>
      <c r="I40" s="5">
        <v>44470</v>
      </c>
      <c r="J40" s="6">
        <v>0</v>
      </c>
      <c r="K40" s="6">
        <v>0</v>
      </c>
      <c r="L40" s="6">
        <v>27.638999999999999</v>
      </c>
      <c r="M40" s="6">
        <v>27.638999999999999</v>
      </c>
      <c r="N40" s="6">
        <v>27.638999999999999</v>
      </c>
      <c r="O40" s="6">
        <v>27.638999999999999</v>
      </c>
      <c r="P40" s="6">
        <v>63</v>
      </c>
      <c r="Q40" s="4" t="s">
        <v>26</v>
      </c>
      <c r="R40" s="4">
        <v>0</v>
      </c>
      <c r="S40" s="4">
        <v>0</v>
      </c>
      <c r="T40" s="4">
        <v>24</v>
      </c>
      <c r="U40" s="4">
        <v>50</v>
      </c>
      <c r="V40" s="6">
        <f>IF(ISERROR(VLOOKUP($S$40,'TAR FIN'!$A$1:$O$91,15,0)),0,VLOOKUP($S$40,'TAR FIN'!$A$1:$O$91,15,0))</f>
        <v>0</v>
      </c>
      <c r="W40" s="6">
        <f>IF(ISERROR(VLOOKUP($T$40,'TAR FIN'!$A$1:$O$91,15,0)),0,VLOOKUP($T$40,'TAR FIN'!$A$1:$O$91,15,0))</f>
        <v>103.76</v>
      </c>
      <c r="X40" s="6">
        <f>IF(ISERROR(VLOOKUP($U$40,'TAR FIN'!$A$1:$O$91,15,0)),0,VLOOKUP($U$40,'TAR FIN'!$A$1:$O$91,15,0))</f>
        <v>80.38</v>
      </c>
      <c r="Y40" s="6"/>
      <c r="Z40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0" s="6">
        <f>('TE BE'!$AB$14+'TE BF'!$AB$14+'TE CVA'!$AB$14)*(1-CUSTOS!$M$35)</f>
        <v>68.859179333801777</v>
      </c>
      <c r="AB40" s="6">
        <f t="shared" si="6"/>
        <v>0</v>
      </c>
      <c r="AC40" s="6">
        <f>(L40-M40)*(W40+X40)+($W$64+$X$64-$W$40-$X$40)*(L40)</f>
        <v>3392.9636399999995</v>
      </c>
      <c r="AD40" s="6">
        <f t="shared" si="7"/>
        <v>0</v>
      </c>
      <c r="AE40" s="6">
        <f ca="1">(L40-M40)*(Z40+AA40)+($Z$64+$AA$64-$Z$40-$AA$40)*(L40)</f>
        <v>3565.2152570602252</v>
      </c>
      <c r="AF40" s="4" t="s">
        <v>645</v>
      </c>
    </row>
    <row r="41" spans="1:32" ht="11.25" customHeight="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30</v>
      </c>
      <c r="F41" s="4" t="s">
        <v>25</v>
      </c>
      <c r="G41" s="4" t="s">
        <v>25</v>
      </c>
      <c r="H41" s="4" t="s">
        <v>25</v>
      </c>
      <c r="I41" s="5">
        <v>44501</v>
      </c>
      <c r="J41" s="6">
        <v>0</v>
      </c>
      <c r="K41" s="6">
        <v>0</v>
      </c>
      <c r="L41" s="6">
        <v>28.382000000000001</v>
      </c>
      <c r="M41" s="6">
        <v>28.382000000000001</v>
      </c>
      <c r="N41" s="6">
        <v>28.382000000000001</v>
      </c>
      <c r="O41" s="6">
        <v>28.382000000000001</v>
      </c>
      <c r="P41" s="6">
        <v>60</v>
      </c>
      <c r="Q41" s="4" t="s">
        <v>26</v>
      </c>
      <c r="R41" s="4">
        <v>0</v>
      </c>
      <c r="S41" s="4">
        <v>0</v>
      </c>
      <c r="T41" s="4">
        <v>24</v>
      </c>
      <c r="U41" s="4">
        <v>50</v>
      </c>
      <c r="V41" s="6">
        <f>IF(ISERROR(VLOOKUP($S$41,'TAR FIN'!$A$1:$O$91,15,0)),0,VLOOKUP($S$41,'TAR FIN'!$A$1:$O$91,15,0))</f>
        <v>0</v>
      </c>
      <c r="W41" s="6">
        <f>IF(ISERROR(VLOOKUP($T$41,'TAR FIN'!$A$1:$O$91,15,0)),0,VLOOKUP($T$41,'TAR FIN'!$A$1:$O$91,15,0))</f>
        <v>103.76</v>
      </c>
      <c r="X41" s="6">
        <f>IF(ISERROR(VLOOKUP($U$41,'TAR FIN'!$A$1:$O$91,15,0)),0,VLOOKUP($U$41,'TAR FIN'!$A$1:$O$91,15,0))</f>
        <v>80.38</v>
      </c>
      <c r="Y41" s="6"/>
      <c r="Z41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1" s="6">
        <f>('TE BE'!$AB$14+'TE BF'!$AB$14+'TE CVA'!$AB$14)*(1-CUSTOS!$M$35)</f>
        <v>68.859179333801777</v>
      </c>
      <c r="AB41" s="6">
        <f t="shared" si="6"/>
        <v>0</v>
      </c>
      <c r="AC41" s="6">
        <f>(L41-M41)*(W41+X41)+($W$64+$X$64-$W$41-$X$41)*(L41)</f>
        <v>3484.1743200000001</v>
      </c>
      <c r="AD41" s="6">
        <f t="shared" si="7"/>
        <v>0</v>
      </c>
      <c r="AE41" s="6">
        <f ca="1">(L41-M41)*(Z41+AA41)+($Z$64+$AA$64-$Z$41-$AA$41)*(L41)</f>
        <v>3661.0564573929346</v>
      </c>
      <c r="AF41" s="4" t="s">
        <v>645</v>
      </c>
    </row>
    <row r="42" spans="1:32" ht="11.25" customHeight="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30</v>
      </c>
      <c r="F42" s="4" t="s">
        <v>25</v>
      </c>
      <c r="G42" s="4" t="s">
        <v>25</v>
      </c>
      <c r="H42" s="4" t="s">
        <v>25</v>
      </c>
      <c r="I42" s="5">
        <v>44531</v>
      </c>
      <c r="J42" s="6">
        <v>0</v>
      </c>
      <c r="K42" s="6">
        <v>0</v>
      </c>
      <c r="L42" s="6">
        <v>28.824999999999999</v>
      </c>
      <c r="M42" s="6">
        <v>28.824999999999999</v>
      </c>
      <c r="N42" s="6">
        <v>28.824999999999999</v>
      </c>
      <c r="O42" s="6">
        <v>28.824999999999999</v>
      </c>
      <c r="P42" s="6">
        <v>59</v>
      </c>
      <c r="Q42" s="4" t="s">
        <v>26</v>
      </c>
      <c r="R42" s="4">
        <v>0</v>
      </c>
      <c r="S42" s="4">
        <v>0</v>
      </c>
      <c r="T42" s="4">
        <v>24</v>
      </c>
      <c r="U42" s="4">
        <v>50</v>
      </c>
      <c r="V42" s="6">
        <f>IF(ISERROR(VLOOKUP($S$42,'TAR FIN'!$A$1:$O$91,15,0)),0,VLOOKUP($S$42,'TAR FIN'!$A$1:$O$91,15,0))</f>
        <v>0</v>
      </c>
      <c r="W42" s="6">
        <f>IF(ISERROR(VLOOKUP($T$42,'TAR FIN'!$A$1:$O$91,15,0)),0,VLOOKUP($T$42,'TAR FIN'!$A$1:$O$91,15,0))</f>
        <v>103.76</v>
      </c>
      <c r="X42" s="6">
        <f>IF(ISERROR(VLOOKUP($U$42,'TAR FIN'!$A$1:$O$91,15,0)),0,VLOOKUP($U$42,'TAR FIN'!$A$1:$O$91,15,0))</f>
        <v>80.38</v>
      </c>
      <c r="Y42" s="6"/>
      <c r="Z42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2" s="6">
        <f>('TE BE'!$AB$14+'TE BF'!$AB$14+'TE CVA'!$AB$14)*(1-CUSTOS!$M$35)</f>
        <v>68.859179333801777</v>
      </c>
      <c r="AB42" s="6">
        <f t="shared" si="6"/>
        <v>0</v>
      </c>
      <c r="AC42" s="6">
        <f>(L42-M42)*(W42+X42)+($W$64+$X$64-$W$42-$X$42)*(L42)</f>
        <v>3538.5569999999998</v>
      </c>
      <c r="AD42" s="6">
        <f t="shared" si="7"/>
        <v>0</v>
      </c>
      <c r="AE42" s="6">
        <f ca="1">(L42-M42)*(Z42+AA42)+($Z$64+$AA$64-$Z$42-$AA$42)*(L42)</f>
        <v>3718.1999994486409</v>
      </c>
      <c r="AF42" s="4" t="s">
        <v>645</v>
      </c>
    </row>
    <row r="43" spans="1:32" ht="11.25" customHeight="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30</v>
      </c>
      <c r="F43" s="4" t="s">
        <v>25</v>
      </c>
      <c r="G43" s="4" t="s">
        <v>25</v>
      </c>
      <c r="H43" s="4" t="s">
        <v>25</v>
      </c>
      <c r="I43" s="5">
        <v>44562</v>
      </c>
      <c r="J43" s="6">
        <v>0</v>
      </c>
      <c r="K43" s="6">
        <v>0</v>
      </c>
      <c r="L43" s="6">
        <v>29.748000000000001</v>
      </c>
      <c r="M43" s="6">
        <v>29.748000000000001</v>
      </c>
      <c r="N43" s="6">
        <v>29.748000000000001</v>
      </c>
      <c r="O43" s="6">
        <v>29.748000000000001</v>
      </c>
      <c r="P43" s="6">
        <v>45</v>
      </c>
      <c r="Q43" s="4" t="s">
        <v>26</v>
      </c>
      <c r="R43" s="4">
        <v>0</v>
      </c>
      <c r="S43" s="4">
        <v>0</v>
      </c>
      <c r="T43" s="4">
        <v>24</v>
      </c>
      <c r="U43" s="4">
        <v>50</v>
      </c>
      <c r="V43" s="6">
        <f>IF(ISERROR(VLOOKUP($S$43,'TAR FIN'!$A$1:$O$91,15,0)),0,VLOOKUP($S$43,'TAR FIN'!$A$1:$O$91,15,0))</f>
        <v>0</v>
      </c>
      <c r="W43" s="6">
        <f>IF(ISERROR(VLOOKUP($T$43,'TAR FIN'!$A$1:$O$91,15,0)),0,VLOOKUP($T$43,'TAR FIN'!$A$1:$O$91,15,0))</f>
        <v>103.76</v>
      </c>
      <c r="X43" s="6">
        <f>IF(ISERROR(VLOOKUP($U$43,'TAR FIN'!$A$1:$O$91,15,0)),0,VLOOKUP($U$43,'TAR FIN'!$A$1:$O$91,15,0))</f>
        <v>80.38</v>
      </c>
      <c r="Y43" s="6"/>
      <c r="Z43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3" s="6">
        <f>('TE BE'!$AB$14+'TE BF'!$AB$14+'TE CVA'!$AB$14)*(1-CUSTOS!$M$35)</f>
        <v>68.859179333801777</v>
      </c>
      <c r="AB43" s="6">
        <f t="shared" si="6"/>
        <v>0</v>
      </c>
      <c r="AC43" s="6">
        <f>(L43-M43)*(W43+X43)+($W$64+$X$64-$W$43-$X$43)*(L43)</f>
        <v>3651.8644799999997</v>
      </c>
      <c r="AD43" s="6">
        <f t="shared" si="7"/>
        <v>0</v>
      </c>
      <c r="AE43" s="6">
        <f ca="1">(L43-M43)*(Z43+AA43)+($Z$64+$AA$64-$Z$43-$AA$43)*(L43)</f>
        <v>3837.259794747552</v>
      </c>
      <c r="AF43" s="4" t="s">
        <v>645</v>
      </c>
    </row>
    <row r="44" spans="1:32" ht="11.25" customHeight="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30</v>
      </c>
      <c r="F44" s="4" t="s">
        <v>25</v>
      </c>
      <c r="G44" s="4" t="s">
        <v>25</v>
      </c>
      <c r="H44" s="4" t="s">
        <v>25</v>
      </c>
      <c r="I44" s="5">
        <v>44593</v>
      </c>
      <c r="J44" s="6">
        <v>0</v>
      </c>
      <c r="K44" s="6">
        <v>0</v>
      </c>
      <c r="L44" s="6">
        <v>33.079000000000001</v>
      </c>
      <c r="M44" s="6">
        <v>33.079000000000001</v>
      </c>
      <c r="N44" s="6">
        <v>33.079000000000001</v>
      </c>
      <c r="O44" s="6">
        <v>33.079000000000001</v>
      </c>
      <c r="P44" s="6">
        <v>54</v>
      </c>
      <c r="Q44" s="4" t="s">
        <v>26</v>
      </c>
      <c r="R44" s="4">
        <v>0</v>
      </c>
      <c r="S44" s="4">
        <v>0</v>
      </c>
      <c r="T44" s="4">
        <v>24</v>
      </c>
      <c r="U44" s="4">
        <v>50</v>
      </c>
      <c r="V44" s="6">
        <f>IF(ISERROR(VLOOKUP($S$44,'TAR FIN'!$A$1:$O$91,15,0)),0,VLOOKUP($S$44,'TAR FIN'!$A$1:$O$91,15,0))</f>
        <v>0</v>
      </c>
      <c r="W44" s="6">
        <f>IF(ISERROR(VLOOKUP($T$44,'TAR FIN'!$A$1:$O$91,15,0)),0,VLOOKUP($T$44,'TAR FIN'!$A$1:$O$91,15,0))</f>
        <v>103.76</v>
      </c>
      <c r="X44" s="6">
        <f>IF(ISERROR(VLOOKUP($U$44,'TAR FIN'!$A$1:$O$91,15,0)),0,VLOOKUP($U$44,'TAR FIN'!$A$1:$O$91,15,0))</f>
        <v>80.38</v>
      </c>
      <c r="Y44" s="6"/>
      <c r="Z44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4" s="6">
        <f>('TE BE'!$AB$14+'TE BF'!$AB$14+'TE CVA'!$AB$14)*(1-CUSTOS!$M$35)</f>
        <v>68.859179333801777</v>
      </c>
      <c r="AB44" s="6">
        <f t="shared" si="6"/>
        <v>0</v>
      </c>
      <c r="AC44" s="6">
        <f>(L44-M44)*(W44+X44)+($W$64+$X$64-$W$44-$X$44)*(L44)</f>
        <v>4060.7780399999997</v>
      </c>
      <c r="AD44" s="6">
        <f t="shared" si="7"/>
        <v>0</v>
      </c>
      <c r="AE44" s="6">
        <f ca="1">(L44-M44)*(Z44+AA44)+($Z$64+$AA$64-$Z$44-$AA$44)*(L44)</f>
        <v>4266.9327938165343</v>
      </c>
      <c r="AF44" s="4" t="s">
        <v>645</v>
      </c>
    </row>
    <row r="45" spans="1:32" ht="11.25" customHeight="1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30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0</v>
      </c>
      <c r="K45" s="6">
        <v>0</v>
      </c>
      <c r="L45" s="6">
        <v>42.780999999999999</v>
      </c>
      <c r="M45" s="6">
        <v>42.780999999999999</v>
      </c>
      <c r="N45" s="6">
        <v>42.780999999999999</v>
      </c>
      <c r="O45" s="6">
        <v>42.780999999999999</v>
      </c>
      <c r="P45" s="6">
        <v>66</v>
      </c>
      <c r="Q45" s="4" t="s">
        <v>26</v>
      </c>
      <c r="R45" s="4">
        <v>0</v>
      </c>
      <c r="S45" s="4">
        <v>0</v>
      </c>
      <c r="T45" s="4">
        <v>24</v>
      </c>
      <c r="U45" s="4">
        <v>50</v>
      </c>
      <c r="V45" s="6">
        <f>IF(ISERROR(VLOOKUP($S$45,'TAR FIN'!$A$1:$O$91,15,0)),0,VLOOKUP($S$45,'TAR FIN'!$A$1:$O$91,15,0))</f>
        <v>0</v>
      </c>
      <c r="W45" s="6">
        <f>IF(ISERROR(VLOOKUP($T$45,'TAR FIN'!$A$1:$O$91,15,0)),0,VLOOKUP($T$45,'TAR FIN'!$A$1:$O$91,15,0))</f>
        <v>103.76</v>
      </c>
      <c r="X45" s="6">
        <f>IF(ISERROR(VLOOKUP($U$45,'TAR FIN'!$A$1:$O$91,15,0)),0,VLOOKUP($U$45,'TAR FIN'!$A$1:$O$91,15,0))</f>
        <v>80.38</v>
      </c>
      <c r="Y45" s="6"/>
      <c r="Z45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5" s="6">
        <f>('TE BE'!$AB$14+'TE BF'!$AB$14+'TE CVA'!$AB$14)*(1-CUSTOS!$M$35)</f>
        <v>68.859179333801777</v>
      </c>
      <c r="AB45" s="6">
        <f t="shared" si="6"/>
        <v>0</v>
      </c>
      <c r="AC45" s="6">
        <f>(L45-M45)*(W45+X45)+($W$64+$X$64-$W$45-$X$45)*(L45)</f>
        <v>5251.7955599999996</v>
      </c>
      <c r="AD45" s="6">
        <f t="shared" si="7"/>
        <v>0</v>
      </c>
      <c r="AE45" s="6">
        <f ca="1">(L45-M45)*(Z45+AA45)+($Z$64+$AA$64-$Z$45-$AA$45)*(L45)</f>
        <v>5518.4150624947897</v>
      </c>
      <c r="AF45" s="4" t="s">
        <v>645</v>
      </c>
    </row>
    <row r="46" spans="1:32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30</v>
      </c>
      <c r="F46" s="4" t="s">
        <v>25</v>
      </c>
      <c r="G46" s="4" t="s">
        <v>25</v>
      </c>
      <c r="H46" s="4" t="s">
        <v>25</v>
      </c>
      <c r="I46" s="5">
        <v>44652</v>
      </c>
      <c r="J46" s="6">
        <v>0</v>
      </c>
      <c r="K46" s="6">
        <v>0</v>
      </c>
      <c r="L46" s="6">
        <v>47.735999999999997</v>
      </c>
      <c r="M46" s="6">
        <v>47.735999999999997</v>
      </c>
      <c r="N46" s="6">
        <v>47.735999999999997</v>
      </c>
      <c r="O46" s="6">
        <v>47.735999999999997</v>
      </c>
      <c r="P46" s="6">
        <v>101</v>
      </c>
      <c r="Q46" s="4" t="s">
        <v>26</v>
      </c>
      <c r="R46" s="4">
        <v>0</v>
      </c>
      <c r="S46" s="4">
        <v>0</v>
      </c>
      <c r="T46" s="4">
        <v>24</v>
      </c>
      <c r="U46" s="4">
        <v>50</v>
      </c>
      <c r="V46" s="6">
        <f>IF(ISERROR(VLOOKUP($S$46,'TAR FIN'!$A$1:$O$91,15,0)),0,VLOOKUP($S$46,'TAR FIN'!$A$1:$O$91,15,0))</f>
        <v>0</v>
      </c>
      <c r="W46" s="6">
        <f>IF(ISERROR(VLOOKUP($T$46,'TAR FIN'!$A$1:$O$91,15,0)),0,VLOOKUP($T$46,'TAR FIN'!$A$1:$O$91,15,0))</f>
        <v>103.76</v>
      </c>
      <c r="X46" s="6">
        <f>IF(ISERROR(VLOOKUP($U$46,'TAR FIN'!$A$1:$O$91,15,0)),0,VLOOKUP($U$46,'TAR FIN'!$A$1:$O$91,15,0))</f>
        <v>80.38</v>
      </c>
      <c r="Y46" s="6"/>
      <c r="Z46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6" s="6">
        <f>('TE BE'!$AB$14+'TE BF'!$AB$14+'TE CVA'!$AB$14)*(1-CUSTOS!$M$35)</f>
        <v>68.859179333801777</v>
      </c>
      <c r="AB46" s="6">
        <f t="shared" si="6"/>
        <v>0</v>
      </c>
      <c r="AC46" s="6">
        <f>(L46-M46)*(W46+X46)+($W$64+$X$64-$W$46-$X$46)*(L46)</f>
        <v>5860.071359999999</v>
      </c>
      <c r="AD46" s="6">
        <f t="shared" si="7"/>
        <v>0</v>
      </c>
      <c r="AE46" s="6">
        <f ca="1">(L46-M46)*(Z46+AA46)+($Z$64+$AA$64-$Z$46-$AA$46)*(L46)</f>
        <v>6157.571385036611</v>
      </c>
      <c r="AF46" s="4" t="s">
        <v>645</v>
      </c>
    </row>
    <row r="47" spans="1:32" ht="11.25" customHeight="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30</v>
      </c>
      <c r="F47" s="4" t="s">
        <v>25</v>
      </c>
      <c r="G47" s="4" t="s">
        <v>25</v>
      </c>
      <c r="H47" s="4" t="s">
        <v>25</v>
      </c>
      <c r="I47" s="5">
        <v>44682</v>
      </c>
      <c r="J47" s="6">
        <v>0</v>
      </c>
      <c r="K47" s="6">
        <v>0</v>
      </c>
      <c r="L47" s="6">
        <v>48.088000000000001</v>
      </c>
      <c r="M47" s="6">
        <v>48.088000000000001</v>
      </c>
      <c r="N47" s="6">
        <v>48.088000000000001</v>
      </c>
      <c r="O47" s="6">
        <v>48.088000000000001</v>
      </c>
      <c r="P47" s="6">
        <v>127</v>
      </c>
      <c r="Q47" s="4" t="s">
        <v>26</v>
      </c>
      <c r="R47" s="4">
        <v>0</v>
      </c>
      <c r="S47" s="4">
        <v>0</v>
      </c>
      <c r="T47" s="4">
        <v>24</v>
      </c>
      <c r="U47" s="4">
        <v>50</v>
      </c>
      <c r="V47" s="6">
        <f>IF(ISERROR(VLOOKUP($S$47,'TAR FIN'!$A$1:$O$91,15,0)),0,VLOOKUP($S$47,'TAR FIN'!$A$1:$O$91,15,0))</f>
        <v>0</v>
      </c>
      <c r="W47" s="6">
        <f>IF(ISERROR(VLOOKUP($T$47,'TAR FIN'!$A$1:$O$91,15,0)),0,VLOOKUP($T$47,'TAR FIN'!$A$1:$O$91,15,0))</f>
        <v>103.76</v>
      </c>
      <c r="X47" s="6">
        <f>IF(ISERROR(VLOOKUP($U$47,'TAR FIN'!$A$1:$O$91,15,0)),0,VLOOKUP($U$47,'TAR FIN'!$A$1:$O$91,15,0))</f>
        <v>80.38</v>
      </c>
      <c r="Y47" s="6"/>
      <c r="Z47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7" s="6">
        <f>('TE BE'!$AB$14+'TE BF'!$AB$14+'TE CVA'!$AB$14)*(1-CUSTOS!$M$35)</f>
        <v>68.859179333801777</v>
      </c>
      <c r="AB47" s="6">
        <f t="shared" si="6"/>
        <v>0</v>
      </c>
      <c r="AC47" s="6">
        <f>(L47-M47)*(W47+X47)+($W$64+$X$64-$W$47-$X$47)*(L47)</f>
        <v>5903.2828799999997</v>
      </c>
      <c r="AD47" s="6">
        <f t="shared" si="7"/>
        <v>0</v>
      </c>
      <c r="AE47" s="6">
        <f ca="1">(L47-M47)*(Z47+AA47)+($Z$64+$AA$64-$Z$47-$AA$47)*(L47)</f>
        <v>6202.9766374149613</v>
      </c>
      <c r="AF47" s="4" t="s">
        <v>645</v>
      </c>
    </row>
    <row r="48" spans="1:32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30</v>
      </c>
      <c r="F48" s="4" t="s">
        <v>25</v>
      </c>
      <c r="G48" s="4" t="s">
        <v>25</v>
      </c>
      <c r="H48" s="4" t="s">
        <v>25</v>
      </c>
      <c r="I48" s="5">
        <v>44713</v>
      </c>
      <c r="J48" s="6">
        <v>0</v>
      </c>
      <c r="K48" s="6">
        <v>0</v>
      </c>
      <c r="L48" s="6">
        <v>47.252000000000002</v>
      </c>
      <c r="M48" s="6">
        <v>47.252000000000002</v>
      </c>
      <c r="N48" s="6">
        <v>47.252000000000002</v>
      </c>
      <c r="O48" s="6">
        <v>47.252000000000002</v>
      </c>
      <c r="P48" s="6">
        <v>133</v>
      </c>
      <c r="Q48" s="4" t="s">
        <v>26</v>
      </c>
      <c r="R48" s="4">
        <v>0</v>
      </c>
      <c r="S48" s="4">
        <v>0</v>
      </c>
      <c r="T48" s="4">
        <v>24</v>
      </c>
      <c r="U48" s="4">
        <v>50</v>
      </c>
      <c r="V48" s="6">
        <f>IF(ISERROR(VLOOKUP($S$48,'TAR FIN'!$A$1:$O$91,15,0)),0,VLOOKUP($S$48,'TAR FIN'!$A$1:$O$91,15,0))</f>
        <v>0</v>
      </c>
      <c r="W48" s="6">
        <f>IF(ISERROR(VLOOKUP($T$48,'TAR FIN'!$A$1:$O$91,15,0)),0,VLOOKUP($T$48,'TAR FIN'!$A$1:$O$91,15,0))</f>
        <v>103.76</v>
      </c>
      <c r="X48" s="6">
        <f>IF(ISERROR(VLOOKUP($U$48,'TAR FIN'!$A$1:$O$91,15,0)),0,VLOOKUP($U$48,'TAR FIN'!$A$1:$O$91,15,0))</f>
        <v>80.38</v>
      </c>
      <c r="Y48" s="6"/>
      <c r="Z48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8" s="6">
        <f>('TE BE'!$AB$14+'TE BF'!$AB$14+'TE CVA'!$AB$14)*(1-CUSTOS!$M$35)</f>
        <v>68.859179333801777</v>
      </c>
      <c r="AB48" s="6">
        <f t="shared" si="6"/>
        <v>0</v>
      </c>
      <c r="AC48" s="6">
        <f>(L48-M48)*(W48+X48)+($W$64+$X$64-$W$48-$X$48)*(L48)</f>
        <v>5800.6555200000003</v>
      </c>
      <c r="AD48" s="6">
        <f t="shared" si="7"/>
        <v>0</v>
      </c>
      <c r="AE48" s="6">
        <f ca="1">(L48-M48)*(Z48+AA48)+($Z$64+$AA$64-$Z$48-$AA$48)*(L48)</f>
        <v>6095.1391630163816</v>
      </c>
      <c r="AF48" s="4" t="s">
        <v>645</v>
      </c>
    </row>
    <row r="49" spans="1:32" ht="11.25" customHeight="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30</v>
      </c>
      <c r="F49" s="4" t="s">
        <v>25</v>
      </c>
      <c r="G49" s="4" t="s">
        <v>25</v>
      </c>
      <c r="H49" s="4" t="s">
        <v>25</v>
      </c>
      <c r="I49" s="5">
        <v>44743</v>
      </c>
      <c r="J49" s="6">
        <v>0</v>
      </c>
      <c r="K49" s="6">
        <v>0</v>
      </c>
      <c r="L49" s="6">
        <v>44.747999999999998</v>
      </c>
      <c r="M49" s="6">
        <v>44.747999999999998</v>
      </c>
      <c r="N49" s="6">
        <v>44.747999999999998</v>
      </c>
      <c r="O49" s="6">
        <v>44.747999999999998</v>
      </c>
      <c r="P49" s="6">
        <v>109</v>
      </c>
      <c r="Q49" s="4" t="s">
        <v>26</v>
      </c>
      <c r="R49" s="4">
        <v>0</v>
      </c>
      <c r="S49" s="4">
        <v>0</v>
      </c>
      <c r="T49" s="4">
        <v>24</v>
      </c>
      <c r="U49" s="4">
        <v>50</v>
      </c>
      <c r="V49" s="6">
        <f>IF(ISERROR(VLOOKUP($S$49,'TAR FIN'!$A$1:$O$91,15,0)),0,VLOOKUP($S$49,'TAR FIN'!$A$1:$O$91,15,0))</f>
        <v>0</v>
      </c>
      <c r="W49" s="6">
        <f>IF(ISERROR(VLOOKUP($T$49,'TAR FIN'!$A$1:$O$91,15,0)),0,VLOOKUP($T$49,'TAR FIN'!$A$1:$O$91,15,0))</f>
        <v>103.76</v>
      </c>
      <c r="X49" s="6">
        <f>IF(ISERROR(VLOOKUP($U$49,'TAR FIN'!$A$1:$O$91,15,0)),0,VLOOKUP($U$49,'TAR FIN'!$A$1:$O$91,15,0))</f>
        <v>80.38</v>
      </c>
      <c r="Y49" s="6"/>
      <c r="Z49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49" s="6">
        <f>('TE BE'!$AB$14+'TE BF'!$AB$14+'TE CVA'!$AB$14)*(1-CUSTOS!$M$35)</f>
        <v>68.859179333801777</v>
      </c>
      <c r="AB49" s="6">
        <f t="shared" si="6"/>
        <v>0</v>
      </c>
      <c r="AC49" s="6">
        <f>(L49-M49)*(W49+X49)+($W$64+$X$64-$W$49-$X$49)*(L49)</f>
        <v>5493.2644799999989</v>
      </c>
      <c r="AD49" s="6">
        <f t="shared" si="7"/>
        <v>0</v>
      </c>
      <c r="AE49" s="6">
        <f ca="1">(L49-M49)*(Z49+AA49)+($Z$64+$AA$64-$Z$49-$AA$49)*(L49)</f>
        <v>5772.1427085976684</v>
      </c>
      <c r="AF49" s="4" t="s">
        <v>645</v>
      </c>
    </row>
    <row r="50" spans="1:32" ht="11.25" customHeight="1" x14ac:dyDescent="0.25">
      <c r="A50" s="4" t="s">
        <v>57</v>
      </c>
      <c r="B50" s="4" t="s">
        <v>22</v>
      </c>
      <c r="C50" s="4" t="s">
        <v>23</v>
      </c>
      <c r="D50" s="4" t="s">
        <v>24</v>
      </c>
      <c r="E50" s="4" t="s">
        <v>30</v>
      </c>
      <c r="F50" s="4" t="s">
        <v>25</v>
      </c>
      <c r="G50" s="4" t="s">
        <v>25</v>
      </c>
      <c r="H50" s="4" t="s">
        <v>25</v>
      </c>
      <c r="I50" s="5">
        <v>44774</v>
      </c>
      <c r="J50" s="6">
        <v>0</v>
      </c>
      <c r="K50" s="6">
        <v>0</v>
      </c>
      <c r="L50" s="6">
        <v>44.747999999999998</v>
      </c>
      <c r="M50" s="6">
        <v>44.747999999999998</v>
      </c>
      <c r="N50" s="6">
        <v>44.747999999999998</v>
      </c>
      <c r="O50" s="6">
        <v>44.747999999999998</v>
      </c>
      <c r="P50" s="6">
        <v>109</v>
      </c>
      <c r="Q50" s="4" t="s">
        <v>26</v>
      </c>
      <c r="R50" s="4">
        <v>0</v>
      </c>
      <c r="S50" s="4">
        <v>0</v>
      </c>
      <c r="T50" s="4">
        <v>24</v>
      </c>
      <c r="U50" s="4">
        <v>50</v>
      </c>
      <c r="V50" s="6">
        <f>IF(ISERROR(VLOOKUP($S$50,'TAR FIN'!$A$1:$O$91,15,0)),0,VLOOKUP($S$50,'TAR FIN'!$A$1:$O$91,15,0))</f>
        <v>0</v>
      </c>
      <c r="W50" s="6">
        <f>IF(ISERROR(VLOOKUP($T$50,'TAR FIN'!$A$1:$O$91,15,0)),0,VLOOKUP($T$50,'TAR FIN'!$A$1:$O$91,15,0))</f>
        <v>103.76</v>
      </c>
      <c r="X50" s="6">
        <f>IF(ISERROR(VLOOKUP($U$50,'TAR FIN'!$A$1:$O$91,15,0)),0,VLOOKUP($U$50,'TAR FIN'!$A$1:$O$91,15,0))</f>
        <v>80.38</v>
      </c>
      <c r="Y50" s="6"/>
      <c r="Z50" s="6">
        <f ca="1">('TUSD BE'!$AM$26+'TUSD BF'!$AM$26+'TUSD CVA'!$AM$26-('TUSD BE'!$P$26+'TUSD BF'!$P$26+'TUSD CVA'!$P$26)-('TUSD BE'!$Q$26+'TUSD BF'!$Q$26+'TUSD CVA'!$Q$26)-('TUSD BE'!$R$26+'TUSD BF'!$R$26+'TUSD CVA'!$R$26))*(1-CUSTOS!$M$35)</f>
        <v>124.62911205120986</v>
      </c>
      <c r="AA50" s="6">
        <f>('TE BE'!$AB$14+'TE BF'!$AB$14+'TE CVA'!$AB$14)*(1-CUSTOS!$M$35)</f>
        <v>68.859179333801777</v>
      </c>
      <c r="AB50" s="6">
        <f t="shared" si="6"/>
        <v>0</v>
      </c>
      <c r="AC50" s="6">
        <f>(L50-M50)*(W50+X50)+($W$64+$X$64-$W$50-$X$50)*(L50)</f>
        <v>5493.2644799999989</v>
      </c>
      <c r="AD50" s="6">
        <f t="shared" si="7"/>
        <v>0</v>
      </c>
      <c r="AE50" s="6">
        <f ca="1">(L50-M50)*(Z50+AA50)+($Z$64+$AA$64-$Z$50-$AA$50)*(L50)</f>
        <v>5772.1427085976684</v>
      </c>
      <c r="AF50" s="4" t="s">
        <v>645</v>
      </c>
    </row>
    <row r="51" spans="1:32" ht="11.25" customHeight="1" x14ac:dyDescent="0.25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31</v>
      </c>
      <c r="F51" s="4" t="s">
        <v>25</v>
      </c>
      <c r="G51" s="4" t="s">
        <v>25</v>
      </c>
      <c r="H51" s="4" t="s">
        <v>25</v>
      </c>
      <c r="I51" s="5">
        <v>44440</v>
      </c>
      <c r="J51" s="6">
        <v>0</v>
      </c>
      <c r="K51" s="6">
        <v>0</v>
      </c>
      <c r="L51" s="6">
        <v>31.975999999999999</v>
      </c>
      <c r="M51" s="6">
        <v>31.975999999999999</v>
      </c>
      <c r="N51" s="6">
        <v>31.975999999999999</v>
      </c>
      <c r="O51" s="6">
        <v>31.975999999999999</v>
      </c>
      <c r="P51" s="6">
        <v>186</v>
      </c>
      <c r="Q51" s="4" t="s">
        <v>26</v>
      </c>
      <c r="R51" s="4">
        <v>0</v>
      </c>
      <c r="S51" s="4">
        <v>0</v>
      </c>
      <c r="T51" s="4">
        <v>29</v>
      </c>
      <c r="U51" s="4">
        <v>46</v>
      </c>
      <c r="V51" s="6">
        <f>IF(ISERROR(VLOOKUP($S$51,'TAR FIN'!$A$1:$O$91,15,0)),0,VLOOKUP($S$51,'TAR FIN'!$A$1:$O$91,15,0))</f>
        <v>0</v>
      </c>
      <c r="W51" s="6">
        <f>IF(ISERROR(VLOOKUP($T$51,'TAR FIN'!$A$1:$O$91,15,0)),0,VLOOKUP($T$51,'TAR FIN'!$A$1:$O$91,15,0))</f>
        <v>155.63999999999999</v>
      </c>
      <c r="X51" s="6">
        <f>IF(ISERROR(VLOOKUP($U$51,'TAR FIN'!$A$1:$O$91,15,0)),0,VLOOKUP($U$51,'TAR FIN'!$A$1:$O$91,15,0))</f>
        <v>120.57</v>
      </c>
      <c r="Y51" s="6"/>
      <c r="Z51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1" s="6">
        <f>('TE BE'!$AB$15+'TE BF'!$AB$15+'TE CVA'!$AB$15)*(1-CUSTOS!$M$36)</f>
        <v>103.28876900070266</v>
      </c>
      <c r="AB51" s="6">
        <f t="shared" si="6"/>
        <v>0</v>
      </c>
      <c r="AC51" s="6">
        <f>(L51-M51)*(W51+X51)+($W$64+$X$64-$W$51-$X$51)*(L51)</f>
        <v>981.34343999999987</v>
      </c>
      <c r="AD51" s="6">
        <f t="shared" si="7"/>
        <v>0</v>
      </c>
      <c r="AE51" s="6">
        <f ca="1">(L51-M51)*(Z51+AA51)+($Z$64+$AA$64-$Z$51-$AA$51)*(L51)</f>
        <v>1031.1636008878552</v>
      </c>
      <c r="AF51" s="4" t="s">
        <v>645</v>
      </c>
    </row>
    <row r="52" spans="1:32" ht="11.25" customHeight="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31</v>
      </c>
      <c r="F52" s="4" t="s">
        <v>25</v>
      </c>
      <c r="G52" s="4" t="s">
        <v>25</v>
      </c>
      <c r="H52" s="4" t="s">
        <v>25</v>
      </c>
      <c r="I52" s="5">
        <v>44470</v>
      </c>
      <c r="J52" s="6">
        <v>0</v>
      </c>
      <c r="K52" s="6">
        <v>0</v>
      </c>
      <c r="L52" s="6">
        <v>32.045999999999999</v>
      </c>
      <c r="M52" s="6">
        <v>32.045999999999999</v>
      </c>
      <c r="N52" s="6">
        <v>32.045999999999999</v>
      </c>
      <c r="O52" s="6">
        <v>32.045999999999999</v>
      </c>
      <c r="P52" s="6">
        <v>202</v>
      </c>
      <c r="Q52" s="4" t="s">
        <v>26</v>
      </c>
      <c r="R52" s="4">
        <v>0</v>
      </c>
      <c r="S52" s="4">
        <v>0</v>
      </c>
      <c r="T52" s="4">
        <v>29</v>
      </c>
      <c r="U52" s="4">
        <v>46</v>
      </c>
      <c r="V52" s="6">
        <f>IF(ISERROR(VLOOKUP($S$52,'TAR FIN'!$A$1:$O$91,15,0)),0,VLOOKUP($S$52,'TAR FIN'!$A$1:$O$91,15,0))</f>
        <v>0</v>
      </c>
      <c r="W52" s="6">
        <f>IF(ISERROR(VLOOKUP($T$52,'TAR FIN'!$A$1:$O$91,15,0)),0,VLOOKUP($T$52,'TAR FIN'!$A$1:$O$91,15,0))</f>
        <v>155.63999999999999</v>
      </c>
      <c r="X52" s="6">
        <f>IF(ISERROR(VLOOKUP($U$52,'TAR FIN'!$A$1:$O$91,15,0)),0,VLOOKUP($U$52,'TAR FIN'!$A$1:$O$91,15,0))</f>
        <v>120.57</v>
      </c>
      <c r="Y52" s="6"/>
      <c r="Z52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2" s="6">
        <f>('TE BE'!$AB$15+'TE BF'!$AB$15+'TE CVA'!$AB$15)*(1-CUSTOS!$M$36)</f>
        <v>103.28876900070266</v>
      </c>
      <c r="AB52" s="6">
        <f t="shared" si="6"/>
        <v>0</v>
      </c>
      <c r="AC52" s="6">
        <f>(L52-M52)*(W52+X52)+($W$64+$X$64-$W$52-$X$52)*(L52)</f>
        <v>983.49173999999994</v>
      </c>
      <c r="AD52" s="6">
        <f t="shared" si="7"/>
        <v>0</v>
      </c>
      <c r="AE52" s="6">
        <f ca="1">(L52-M52)*(Z52+AA52)+($Z$64+$AA$64-$Z$52-$AA$52)*(L52)</f>
        <v>1033.4209642873468</v>
      </c>
      <c r="AF52" s="4" t="s">
        <v>645</v>
      </c>
    </row>
    <row r="53" spans="1:32" ht="11.25" customHeight="1" x14ac:dyDescent="0.25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31</v>
      </c>
      <c r="F53" s="4" t="s">
        <v>25</v>
      </c>
      <c r="G53" s="4" t="s">
        <v>25</v>
      </c>
      <c r="H53" s="4" t="s">
        <v>25</v>
      </c>
      <c r="I53" s="5">
        <v>44501</v>
      </c>
      <c r="J53" s="6">
        <v>0</v>
      </c>
      <c r="K53" s="6">
        <v>0</v>
      </c>
      <c r="L53" s="6">
        <v>32.201000000000001</v>
      </c>
      <c r="M53" s="6">
        <v>32.201000000000001</v>
      </c>
      <c r="N53" s="6">
        <v>32.201000000000001</v>
      </c>
      <c r="O53" s="6">
        <v>32.201000000000001</v>
      </c>
      <c r="P53" s="6">
        <v>224</v>
      </c>
      <c r="Q53" s="4" t="s">
        <v>26</v>
      </c>
      <c r="R53" s="4">
        <v>0</v>
      </c>
      <c r="S53" s="4">
        <v>0</v>
      </c>
      <c r="T53" s="4">
        <v>29</v>
      </c>
      <c r="U53" s="4">
        <v>46</v>
      </c>
      <c r="V53" s="6">
        <f>IF(ISERROR(VLOOKUP($S$53,'TAR FIN'!$A$1:$O$91,15,0)),0,VLOOKUP($S$53,'TAR FIN'!$A$1:$O$91,15,0))</f>
        <v>0</v>
      </c>
      <c r="W53" s="6">
        <f>IF(ISERROR(VLOOKUP($T$53,'TAR FIN'!$A$1:$O$91,15,0)),0,VLOOKUP($T$53,'TAR FIN'!$A$1:$O$91,15,0))</f>
        <v>155.63999999999999</v>
      </c>
      <c r="X53" s="6">
        <f>IF(ISERROR(VLOOKUP($U$53,'TAR FIN'!$A$1:$O$91,15,0)),0,VLOOKUP($U$53,'TAR FIN'!$A$1:$O$91,15,0))</f>
        <v>120.57</v>
      </c>
      <c r="Y53" s="6"/>
      <c r="Z53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3" s="6">
        <f>('TE BE'!$AB$15+'TE BF'!$AB$15+'TE CVA'!$AB$15)*(1-CUSTOS!$M$36)</f>
        <v>103.28876900070266</v>
      </c>
      <c r="AB53" s="6">
        <f t="shared" si="6"/>
        <v>0</v>
      </c>
      <c r="AC53" s="6">
        <f>(L53-M53)*(W53+X53)+($W$64+$X$64-$W$53-$X$53)*(L53)</f>
        <v>988.2486899999999</v>
      </c>
      <c r="AD53" s="6">
        <f t="shared" si="7"/>
        <v>0</v>
      </c>
      <c r="AE53" s="6">
        <f ca="1">(L53-M53)*(Z53+AA53)+($Z$64+$AA$64-$Z$53-$AA$53)*(L53)</f>
        <v>1038.419411814793</v>
      </c>
      <c r="AF53" s="4" t="s">
        <v>645</v>
      </c>
    </row>
    <row r="54" spans="1:32" ht="11.25" customHeight="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31</v>
      </c>
      <c r="F54" s="4" t="s">
        <v>25</v>
      </c>
      <c r="G54" s="4" t="s">
        <v>25</v>
      </c>
      <c r="H54" s="4" t="s">
        <v>25</v>
      </c>
      <c r="I54" s="5">
        <v>44531</v>
      </c>
      <c r="J54" s="6">
        <v>0</v>
      </c>
      <c r="K54" s="6">
        <v>0</v>
      </c>
      <c r="L54" s="6">
        <v>33.396999999999998</v>
      </c>
      <c r="M54" s="6">
        <v>33.396999999999998</v>
      </c>
      <c r="N54" s="6">
        <v>33.396999999999998</v>
      </c>
      <c r="O54" s="6">
        <v>33.396999999999998</v>
      </c>
      <c r="P54" s="6">
        <v>211</v>
      </c>
      <c r="Q54" s="4" t="s">
        <v>26</v>
      </c>
      <c r="R54" s="4">
        <v>0</v>
      </c>
      <c r="S54" s="4">
        <v>0</v>
      </c>
      <c r="T54" s="4">
        <v>29</v>
      </c>
      <c r="U54" s="4">
        <v>46</v>
      </c>
      <c r="V54" s="6">
        <f>IF(ISERROR(VLOOKUP($S$54,'TAR FIN'!$A$1:$O$91,15,0)),0,VLOOKUP($S$54,'TAR FIN'!$A$1:$O$91,15,0))</f>
        <v>0</v>
      </c>
      <c r="W54" s="6">
        <f>IF(ISERROR(VLOOKUP($T$54,'TAR FIN'!$A$1:$O$91,15,0)),0,VLOOKUP($T$54,'TAR FIN'!$A$1:$O$91,15,0))</f>
        <v>155.63999999999999</v>
      </c>
      <c r="X54" s="6">
        <f>IF(ISERROR(VLOOKUP($U$54,'TAR FIN'!$A$1:$O$91,15,0)),0,VLOOKUP($U$54,'TAR FIN'!$A$1:$O$91,15,0))</f>
        <v>120.57</v>
      </c>
      <c r="Y54" s="6"/>
      <c r="Z54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4" s="6">
        <f>('TE BE'!$AB$15+'TE BF'!$AB$15+'TE CVA'!$AB$15)*(1-CUSTOS!$M$36)</f>
        <v>103.28876900070266</v>
      </c>
      <c r="AB54" s="6">
        <f t="shared" si="6"/>
        <v>0</v>
      </c>
      <c r="AC54" s="6">
        <f>(L54-M54)*(W54+X54)+($W$64+$X$64-$W$54-$X$54)*(L54)</f>
        <v>1024.9539299999999</v>
      </c>
      <c r="AD54" s="6">
        <f t="shared" si="7"/>
        <v>0</v>
      </c>
      <c r="AE54" s="6">
        <f ca="1">(L54-M54)*(Z54+AA54)+($Z$64+$AA$64-$Z$54-$AA$54)*(L54)</f>
        <v>1076.9880778975387</v>
      </c>
      <c r="AF54" s="4" t="s">
        <v>645</v>
      </c>
    </row>
    <row r="55" spans="1:32" ht="11.25" customHeight="1" x14ac:dyDescent="0.25">
      <c r="A55" s="4" t="s">
        <v>21</v>
      </c>
      <c r="B55" s="4" t="s">
        <v>22</v>
      </c>
      <c r="C55" s="4" t="s">
        <v>23</v>
      </c>
      <c r="D55" s="4" t="s">
        <v>24</v>
      </c>
      <c r="E55" s="4" t="s">
        <v>31</v>
      </c>
      <c r="F55" s="4" t="s">
        <v>25</v>
      </c>
      <c r="G55" s="4" t="s">
        <v>25</v>
      </c>
      <c r="H55" s="4" t="s">
        <v>25</v>
      </c>
      <c r="I55" s="5">
        <v>44562</v>
      </c>
      <c r="J55" s="6">
        <v>0</v>
      </c>
      <c r="K55" s="6">
        <v>0</v>
      </c>
      <c r="L55" s="6">
        <v>39.515000000000001</v>
      </c>
      <c r="M55" s="6">
        <v>39.515000000000001</v>
      </c>
      <c r="N55" s="6">
        <v>39.515000000000001</v>
      </c>
      <c r="O55" s="6">
        <v>39.515000000000001</v>
      </c>
      <c r="P55" s="6">
        <v>156</v>
      </c>
      <c r="Q55" s="4" t="s">
        <v>26</v>
      </c>
      <c r="R55" s="4">
        <v>0</v>
      </c>
      <c r="S55" s="4">
        <v>0</v>
      </c>
      <c r="T55" s="4">
        <v>29</v>
      </c>
      <c r="U55" s="4">
        <v>46</v>
      </c>
      <c r="V55" s="6">
        <f>IF(ISERROR(VLOOKUP($S$55,'TAR FIN'!$A$1:$O$91,15,0)),0,VLOOKUP($S$55,'TAR FIN'!$A$1:$O$91,15,0))</f>
        <v>0</v>
      </c>
      <c r="W55" s="6">
        <f>IF(ISERROR(VLOOKUP($T$55,'TAR FIN'!$A$1:$O$91,15,0)),0,VLOOKUP($T$55,'TAR FIN'!$A$1:$O$91,15,0))</f>
        <v>155.63999999999999</v>
      </c>
      <c r="X55" s="6">
        <f>IF(ISERROR(VLOOKUP($U$55,'TAR FIN'!$A$1:$O$91,15,0)),0,VLOOKUP($U$55,'TAR FIN'!$A$1:$O$91,15,0))</f>
        <v>120.57</v>
      </c>
      <c r="Y55" s="6"/>
      <c r="Z55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5" s="6">
        <f>('TE BE'!$AB$15+'TE BF'!$AB$15+'TE CVA'!$AB$15)*(1-CUSTOS!$M$36)</f>
        <v>103.28876900070266</v>
      </c>
      <c r="AB55" s="6">
        <f t="shared" si="6"/>
        <v>0</v>
      </c>
      <c r="AC55" s="6">
        <f>(L55-M55)*(W55+X55)+($W$64+$X$64-$W$55-$X$55)*(L55)</f>
        <v>1212.7153499999999</v>
      </c>
      <c r="AD55" s="6">
        <f t="shared" si="7"/>
        <v>0</v>
      </c>
      <c r="AE55" s="6">
        <f ca="1">(L55-M55)*(Z55+AA55)+($Z$64+$AA$64-$Z$55-$AA$55)*(L55)</f>
        <v>1274.2816390131222</v>
      </c>
      <c r="AF55" s="4" t="s">
        <v>645</v>
      </c>
    </row>
    <row r="56" spans="1:32" ht="11.25" customHeight="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31</v>
      </c>
      <c r="F56" s="4" t="s">
        <v>25</v>
      </c>
      <c r="G56" s="4" t="s">
        <v>25</v>
      </c>
      <c r="H56" s="4" t="s">
        <v>25</v>
      </c>
      <c r="I56" s="5">
        <v>44593</v>
      </c>
      <c r="J56" s="6">
        <v>0</v>
      </c>
      <c r="K56" s="6">
        <v>0</v>
      </c>
      <c r="L56" s="6">
        <v>42.531999999999996</v>
      </c>
      <c r="M56" s="6">
        <v>42.531999999999996</v>
      </c>
      <c r="N56" s="6">
        <v>42.531999999999996</v>
      </c>
      <c r="O56" s="6">
        <v>42.531999999999996</v>
      </c>
      <c r="P56" s="6">
        <v>178</v>
      </c>
      <c r="Q56" s="4" t="s">
        <v>26</v>
      </c>
      <c r="R56" s="4">
        <v>0</v>
      </c>
      <c r="S56" s="4">
        <v>0</v>
      </c>
      <c r="T56" s="4">
        <v>29</v>
      </c>
      <c r="U56" s="4">
        <v>46</v>
      </c>
      <c r="V56" s="6">
        <f>IF(ISERROR(VLOOKUP($S$56,'TAR FIN'!$A$1:$O$91,15,0)),0,VLOOKUP($S$56,'TAR FIN'!$A$1:$O$91,15,0))</f>
        <v>0</v>
      </c>
      <c r="W56" s="6">
        <f>IF(ISERROR(VLOOKUP($T$56,'TAR FIN'!$A$1:$O$91,15,0)),0,VLOOKUP($T$56,'TAR FIN'!$A$1:$O$91,15,0))</f>
        <v>155.63999999999999</v>
      </c>
      <c r="X56" s="6">
        <f>IF(ISERROR(VLOOKUP($U$56,'TAR FIN'!$A$1:$O$91,15,0)),0,VLOOKUP($U$56,'TAR FIN'!$A$1:$O$91,15,0))</f>
        <v>120.57</v>
      </c>
      <c r="Y56" s="6"/>
      <c r="Z56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6" s="6">
        <f>('TE BE'!$AB$15+'TE BF'!$AB$15+'TE CVA'!$AB$15)*(1-CUSTOS!$M$36)</f>
        <v>103.28876900070266</v>
      </c>
      <c r="AB56" s="6">
        <f t="shared" si="6"/>
        <v>0</v>
      </c>
      <c r="AC56" s="6">
        <f>(L56-M56)*(W56+X56)+($W$64+$X$64-$W$56-$X$56)*(L56)</f>
        <v>1305.3070799999998</v>
      </c>
      <c r="AD56" s="6">
        <f t="shared" si="7"/>
        <v>0</v>
      </c>
      <c r="AE56" s="6">
        <f ca="1">(L56-M56)*(Z56+AA56)+($Z$64+$AA$64-$Z$56-$AA$56)*(L56)</f>
        <v>1371.5740015312188</v>
      </c>
      <c r="AF56" s="4" t="s">
        <v>645</v>
      </c>
    </row>
    <row r="57" spans="1:32" ht="11.25" customHeight="1" x14ac:dyDescent="0.25">
      <c r="A57" s="4" t="s">
        <v>27</v>
      </c>
      <c r="B57" s="4" t="s">
        <v>22</v>
      </c>
      <c r="C57" s="4" t="s">
        <v>23</v>
      </c>
      <c r="D57" s="4" t="s">
        <v>24</v>
      </c>
      <c r="E57" s="4" t="s">
        <v>31</v>
      </c>
      <c r="F57" s="4" t="s">
        <v>25</v>
      </c>
      <c r="G57" s="4" t="s">
        <v>25</v>
      </c>
      <c r="H57" s="4" t="s">
        <v>25</v>
      </c>
      <c r="I57" s="5">
        <v>44593</v>
      </c>
      <c r="J57" s="6">
        <v>0</v>
      </c>
      <c r="K57" s="6">
        <v>0</v>
      </c>
      <c r="L57" s="6">
        <v>-2E-3</v>
      </c>
      <c r="M57" s="6">
        <v>-2E-3</v>
      </c>
      <c r="N57" s="6">
        <v>-2E-3</v>
      </c>
      <c r="O57" s="6">
        <v>-2E-3</v>
      </c>
      <c r="P57" s="6">
        <v>0</v>
      </c>
      <c r="Q57" s="4" t="s">
        <v>26</v>
      </c>
      <c r="R57" s="4">
        <v>0</v>
      </c>
      <c r="S57" s="4">
        <v>0</v>
      </c>
      <c r="T57" s="4">
        <v>29</v>
      </c>
      <c r="U57" s="4">
        <v>46</v>
      </c>
      <c r="V57" s="6">
        <f>IF(ISERROR(VLOOKUP($S$57,'TAR FIN'!$A$1:$O$91,15,0)),0,VLOOKUP($S$57,'TAR FIN'!$A$1:$O$91,15,0))</f>
        <v>0</v>
      </c>
      <c r="W57" s="6">
        <f>IF(ISERROR(VLOOKUP($T$57,'TAR FIN'!$A$1:$O$91,15,0)),0,VLOOKUP($T$57,'TAR FIN'!$A$1:$O$91,15,0))</f>
        <v>155.63999999999999</v>
      </c>
      <c r="X57" s="6">
        <f>IF(ISERROR(VLOOKUP($U$57,'TAR FIN'!$A$1:$O$91,15,0)),0,VLOOKUP($U$57,'TAR FIN'!$A$1:$O$91,15,0))</f>
        <v>120.57</v>
      </c>
      <c r="Y57" s="6"/>
      <c r="Z57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7" s="6">
        <f>('TE BE'!$AB$15+'TE BF'!$AB$15+'TE CVA'!$AB$15)*(1-CUSTOS!$M$36)</f>
        <v>103.28876900070266</v>
      </c>
      <c r="AB57" s="6">
        <f t="shared" si="6"/>
        <v>0</v>
      </c>
      <c r="AC57" s="6">
        <f>(L57-M57)*(W57+X57)+($W$64+$X$64-$W$57-$X$57)*(L57)</f>
        <v>-6.1379999999999997E-2</v>
      </c>
      <c r="AD57" s="6">
        <f t="shared" si="7"/>
        <v>0</v>
      </c>
      <c r="AE57" s="6">
        <f ca="1">(L57-M57)*(Z57+AA57)+($Z$64+$AA$64-$Z$57-$AA$57)*(L57)</f>
        <v>-6.4496097128337204E-2</v>
      </c>
      <c r="AF57" s="4" t="s">
        <v>645</v>
      </c>
    </row>
    <row r="58" spans="1:32" ht="11.25" customHeight="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31</v>
      </c>
      <c r="F58" s="4" t="s">
        <v>25</v>
      </c>
      <c r="G58" s="4" t="s">
        <v>25</v>
      </c>
      <c r="H58" s="4" t="s">
        <v>25</v>
      </c>
      <c r="I58" s="5">
        <v>44621</v>
      </c>
      <c r="J58" s="6">
        <v>0</v>
      </c>
      <c r="K58" s="6">
        <v>0</v>
      </c>
      <c r="L58" s="6">
        <v>53.284999999999997</v>
      </c>
      <c r="M58" s="6">
        <v>53.284999999999997</v>
      </c>
      <c r="N58" s="6">
        <v>53.284999999999997</v>
      </c>
      <c r="O58" s="6">
        <v>53.284999999999997</v>
      </c>
      <c r="P58" s="6">
        <v>261</v>
      </c>
      <c r="Q58" s="4" t="s">
        <v>26</v>
      </c>
      <c r="R58" s="4">
        <v>0</v>
      </c>
      <c r="S58" s="4">
        <v>0</v>
      </c>
      <c r="T58" s="4">
        <v>29</v>
      </c>
      <c r="U58" s="4">
        <v>46</v>
      </c>
      <c r="V58" s="6">
        <f>IF(ISERROR(VLOOKUP($S$58,'TAR FIN'!$A$1:$O$91,15,0)),0,VLOOKUP($S$58,'TAR FIN'!$A$1:$O$91,15,0))</f>
        <v>0</v>
      </c>
      <c r="W58" s="6">
        <f>IF(ISERROR(VLOOKUP($T$58,'TAR FIN'!$A$1:$O$91,15,0)),0,VLOOKUP($T$58,'TAR FIN'!$A$1:$O$91,15,0))</f>
        <v>155.63999999999999</v>
      </c>
      <c r="X58" s="6">
        <f>IF(ISERROR(VLOOKUP($U$58,'TAR FIN'!$A$1:$O$91,15,0)),0,VLOOKUP($U$58,'TAR FIN'!$A$1:$O$91,15,0))</f>
        <v>120.57</v>
      </c>
      <c r="Y58" s="6"/>
      <c r="Z58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8" s="6">
        <f>('TE BE'!$AB$15+'TE BF'!$AB$15+'TE CVA'!$AB$15)*(1-CUSTOS!$M$36)</f>
        <v>103.28876900070266</v>
      </c>
      <c r="AB58" s="6">
        <f t="shared" si="6"/>
        <v>0</v>
      </c>
      <c r="AC58" s="6">
        <f>(L58-M58)*(W58+X58)+($W$64+$X$64-$W$58-$X$58)*(L58)</f>
        <v>1635.3166499999998</v>
      </c>
      <c r="AD58" s="6">
        <f t="shared" si="7"/>
        <v>0</v>
      </c>
      <c r="AE58" s="6">
        <f ca="1">(L58-M58)*(Z58+AA58)+($Z$64+$AA$64-$Z$58-$AA$58)*(L58)</f>
        <v>1718.3372677417237</v>
      </c>
      <c r="AF58" s="4" t="s">
        <v>645</v>
      </c>
    </row>
    <row r="59" spans="1:32" ht="11.25" customHeight="1" x14ac:dyDescent="0.25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31</v>
      </c>
      <c r="F59" s="4" t="s">
        <v>25</v>
      </c>
      <c r="G59" s="4" t="s">
        <v>25</v>
      </c>
      <c r="H59" s="4" t="s">
        <v>25</v>
      </c>
      <c r="I59" s="5">
        <v>44652</v>
      </c>
      <c r="J59" s="6">
        <v>0</v>
      </c>
      <c r="K59" s="6">
        <v>0</v>
      </c>
      <c r="L59" s="6">
        <v>54.87</v>
      </c>
      <c r="M59" s="6">
        <v>54.87</v>
      </c>
      <c r="N59" s="6">
        <v>54.87</v>
      </c>
      <c r="O59" s="6">
        <v>54.87</v>
      </c>
      <c r="P59" s="6">
        <v>331</v>
      </c>
      <c r="Q59" s="4" t="s">
        <v>26</v>
      </c>
      <c r="R59" s="4">
        <v>0</v>
      </c>
      <c r="S59" s="4">
        <v>0</v>
      </c>
      <c r="T59" s="4">
        <v>29</v>
      </c>
      <c r="U59" s="4">
        <v>46</v>
      </c>
      <c r="V59" s="6">
        <f>IF(ISERROR(VLOOKUP($S$59,'TAR FIN'!$A$1:$O$91,15,0)),0,VLOOKUP($S$59,'TAR FIN'!$A$1:$O$91,15,0))</f>
        <v>0</v>
      </c>
      <c r="W59" s="6">
        <f>IF(ISERROR(VLOOKUP($T$59,'TAR FIN'!$A$1:$O$91,15,0)),0,VLOOKUP($T$59,'TAR FIN'!$A$1:$O$91,15,0))</f>
        <v>155.63999999999999</v>
      </c>
      <c r="X59" s="6">
        <f>IF(ISERROR(VLOOKUP($U$59,'TAR FIN'!$A$1:$O$91,15,0)),0,VLOOKUP($U$59,'TAR FIN'!$A$1:$O$91,15,0))</f>
        <v>120.57</v>
      </c>
      <c r="Y59" s="6"/>
      <c r="Z59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59" s="6">
        <f>('TE BE'!$AB$15+'TE BF'!$AB$15+'TE CVA'!$AB$15)*(1-CUSTOS!$M$36)</f>
        <v>103.28876900070266</v>
      </c>
      <c r="AB59" s="6">
        <f t="shared" si="6"/>
        <v>0</v>
      </c>
      <c r="AC59" s="6">
        <f>(L59-M59)*(W59+X59)+($W$64+$X$64-$W$59-$X$59)*(L59)</f>
        <v>1683.9602999999997</v>
      </c>
      <c r="AD59" s="6">
        <f t="shared" si="7"/>
        <v>0</v>
      </c>
      <c r="AE59" s="6">
        <f ca="1">(L59-M59)*(Z59+AA59)+($Z$64+$AA$64-$Z$59-$AA$59)*(L59)</f>
        <v>1769.4504247159309</v>
      </c>
      <c r="AF59" s="4" t="s">
        <v>645</v>
      </c>
    </row>
    <row r="60" spans="1:32" ht="11.25" customHeight="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31</v>
      </c>
      <c r="F60" s="4" t="s">
        <v>25</v>
      </c>
      <c r="G60" s="4" t="s">
        <v>25</v>
      </c>
      <c r="H60" s="4" t="s">
        <v>25</v>
      </c>
      <c r="I60" s="5">
        <v>44682</v>
      </c>
      <c r="J60" s="6">
        <v>0</v>
      </c>
      <c r="K60" s="6">
        <v>0</v>
      </c>
      <c r="L60" s="6">
        <v>48.58</v>
      </c>
      <c r="M60" s="6">
        <v>48.58</v>
      </c>
      <c r="N60" s="6">
        <v>48.58</v>
      </c>
      <c r="O60" s="6">
        <v>48.58</v>
      </c>
      <c r="P60" s="6">
        <v>387</v>
      </c>
      <c r="Q60" s="4" t="s">
        <v>26</v>
      </c>
      <c r="R60" s="4">
        <v>0</v>
      </c>
      <c r="S60" s="4">
        <v>0</v>
      </c>
      <c r="T60" s="4">
        <v>29</v>
      </c>
      <c r="U60" s="4">
        <v>46</v>
      </c>
      <c r="V60" s="6">
        <f>IF(ISERROR(VLOOKUP($S$60,'TAR FIN'!$A$1:$O$91,15,0)),0,VLOOKUP($S$60,'TAR FIN'!$A$1:$O$91,15,0))</f>
        <v>0</v>
      </c>
      <c r="W60" s="6">
        <f>IF(ISERROR(VLOOKUP($T$60,'TAR FIN'!$A$1:$O$91,15,0)),0,VLOOKUP($T$60,'TAR FIN'!$A$1:$O$91,15,0))</f>
        <v>155.63999999999999</v>
      </c>
      <c r="X60" s="6">
        <f>IF(ISERROR(VLOOKUP($U$60,'TAR FIN'!$A$1:$O$91,15,0)),0,VLOOKUP($U$60,'TAR FIN'!$A$1:$O$91,15,0))</f>
        <v>120.57</v>
      </c>
      <c r="Y60" s="6"/>
      <c r="Z60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60" s="6">
        <f>('TE BE'!$AB$15+'TE BF'!$AB$15+'TE CVA'!$AB$15)*(1-CUSTOS!$M$36)</f>
        <v>103.28876900070266</v>
      </c>
      <c r="AB60" s="6">
        <f t="shared" si="6"/>
        <v>0</v>
      </c>
      <c r="AC60" s="6">
        <f>(L60-M60)*(W60+X60)+($W$64+$X$64-$W$60-$X$60)*(L60)</f>
        <v>1490.9201999999998</v>
      </c>
      <c r="AD60" s="6">
        <f t="shared" si="7"/>
        <v>0</v>
      </c>
      <c r="AE60" s="6">
        <f ca="1">(L60-M60)*(Z60+AA60)+($Z$64+$AA$64-$Z$60-$AA$60)*(L60)</f>
        <v>1566.6101992473104</v>
      </c>
      <c r="AF60" s="4" t="s">
        <v>645</v>
      </c>
    </row>
    <row r="61" spans="1:32" ht="11.25" customHeight="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31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0</v>
      </c>
      <c r="K61" s="6">
        <v>0</v>
      </c>
      <c r="L61" s="6">
        <v>49.460999999999999</v>
      </c>
      <c r="M61" s="6">
        <v>49.460999999999999</v>
      </c>
      <c r="N61" s="6">
        <v>49.460999999999999</v>
      </c>
      <c r="O61" s="6">
        <v>49.460999999999999</v>
      </c>
      <c r="P61" s="6">
        <v>349</v>
      </c>
      <c r="Q61" s="4" t="s">
        <v>26</v>
      </c>
      <c r="R61" s="4">
        <v>0</v>
      </c>
      <c r="S61" s="4">
        <v>0</v>
      </c>
      <c r="T61" s="4">
        <v>29</v>
      </c>
      <c r="U61" s="4">
        <v>46</v>
      </c>
      <c r="V61" s="6">
        <f>IF(ISERROR(VLOOKUP($S$61,'TAR FIN'!$A$1:$O$91,15,0)),0,VLOOKUP($S$61,'TAR FIN'!$A$1:$O$91,15,0))</f>
        <v>0</v>
      </c>
      <c r="W61" s="6">
        <f>IF(ISERROR(VLOOKUP($T$61,'TAR FIN'!$A$1:$O$91,15,0)),0,VLOOKUP($T$61,'TAR FIN'!$A$1:$O$91,15,0))</f>
        <v>155.63999999999999</v>
      </c>
      <c r="X61" s="6">
        <f>IF(ISERROR(VLOOKUP($U$61,'TAR FIN'!$A$1:$O$91,15,0)),0,VLOOKUP($U$61,'TAR FIN'!$A$1:$O$91,15,0))</f>
        <v>120.57</v>
      </c>
      <c r="Y61" s="6"/>
      <c r="Z61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61" s="6">
        <f>('TE BE'!$AB$15+'TE BF'!$AB$15+'TE CVA'!$AB$15)*(1-CUSTOS!$M$36)</f>
        <v>103.28876900070266</v>
      </c>
      <c r="AB61" s="6">
        <f t="shared" si="6"/>
        <v>0</v>
      </c>
      <c r="AC61" s="6">
        <f>(L61-M61)*(W61+X61)+($W$64+$X$64-$W$61-$X$61)*(L61)</f>
        <v>1517.9580899999999</v>
      </c>
      <c r="AD61" s="6">
        <f t="shared" si="7"/>
        <v>0</v>
      </c>
      <c r="AE61" s="6">
        <f ca="1">(L61-M61)*(Z61+AA61)+($Z$64+$AA$64-$Z$61-$AA$61)*(L61)</f>
        <v>1595.020730032343</v>
      </c>
      <c r="AF61" s="4" t="s">
        <v>645</v>
      </c>
    </row>
    <row r="62" spans="1:32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31</v>
      </c>
      <c r="F62" s="4" t="s">
        <v>25</v>
      </c>
      <c r="G62" s="4" t="s">
        <v>25</v>
      </c>
      <c r="H62" s="4" t="s">
        <v>25</v>
      </c>
      <c r="I62" s="5">
        <v>44743</v>
      </c>
      <c r="J62" s="6">
        <v>0</v>
      </c>
      <c r="K62" s="6">
        <v>0</v>
      </c>
      <c r="L62" s="6">
        <v>48.317999999999998</v>
      </c>
      <c r="M62" s="6">
        <v>48.317999999999998</v>
      </c>
      <c r="N62" s="6">
        <v>48.317999999999998</v>
      </c>
      <c r="O62" s="6">
        <v>48.317999999999998</v>
      </c>
      <c r="P62" s="6">
        <v>332</v>
      </c>
      <c r="Q62" s="4" t="s">
        <v>26</v>
      </c>
      <c r="R62" s="4">
        <v>0</v>
      </c>
      <c r="S62" s="4">
        <v>0</v>
      </c>
      <c r="T62" s="4">
        <v>29</v>
      </c>
      <c r="U62" s="4">
        <v>46</v>
      </c>
      <c r="V62" s="6">
        <f>IF(ISERROR(VLOOKUP($S$62,'TAR FIN'!$A$1:$O$91,15,0)),0,VLOOKUP($S$62,'TAR FIN'!$A$1:$O$91,15,0))</f>
        <v>0</v>
      </c>
      <c r="W62" s="6">
        <f>IF(ISERROR(VLOOKUP($T$62,'TAR FIN'!$A$1:$O$91,15,0)),0,VLOOKUP($T$62,'TAR FIN'!$A$1:$O$91,15,0))</f>
        <v>155.63999999999999</v>
      </c>
      <c r="X62" s="6">
        <f>IF(ISERROR(VLOOKUP($U$62,'TAR FIN'!$A$1:$O$91,15,0)),0,VLOOKUP($U$62,'TAR FIN'!$A$1:$O$91,15,0))</f>
        <v>120.57</v>
      </c>
      <c r="Y62" s="6"/>
      <c r="Z62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62" s="6">
        <f>('TE BE'!$AB$15+'TE BF'!$AB$15+'TE CVA'!$AB$15)*(1-CUSTOS!$M$36)</f>
        <v>103.28876900070266</v>
      </c>
      <c r="AB62" s="6">
        <f t="shared" si="6"/>
        <v>0</v>
      </c>
      <c r="AC62" s="6">
        <f>(L62-M62)*(W62+X62)+($W$64+$X$64-$W$62-$X$62)*(L62)</f>
        <v>1482.8794199999998</v>
      </c>
      <c r="AD62" s="6">
        <f t="shared" si="7"/>
        <v>0</v>
      </c>
      <c r="AE62" s="6">
        <f ca="1">(L62-M62)*(Z62+AA62)+($Z$64+$AA$64-$Z$62-$AA$62)*(L62)</f>
        <v>1558.1612105234983</v>
      </c>
      <c r="AF62" s="4" t="s">
        <v>645</v>
      </c>
    </row>
    <row r="63" spans="1:32" ht="11.25" customHeight="1" x14ac:dyDescent="0.25">
      <c r="A63" s="4" t="s">
        <v>57</v>
      </c>
      <c r="B63" s="4" t="s">
        <v>22</v>
      </c>
      <c r="C63" s="4" t="s">
        <v>23</v>
      </c>
      <c r="D63" s="4" t="s">
        <v>24</v>
      </c>
      <c r="E63" s="4" t="s">
        <v>31</v>
      </c>
      <c r="F63" s="4" t="s">
        <v>25</v>
      </c>
      <c r="G63" s="4" t="s">
        <v>25</v>
      </c>
      <c r="H63" s="4" t="s">
        <v>25</v>
      </c>
      <c r="I63" s="5">
        <v>44774</v>
      </c>
      <c r="J63" s="6">
        <v>0</v>
      </c>
      <c r="K63" s="6">
        <v>0</v>
      </c>
      <c r="L63" s="6">
        <v>48.317999999999998</v>
      </c>
      <c r="M63" s="6">
        <v>48.317999999999998</v>
      </c>
      <c r="N63" s="6">
        <v>48.317999999999998</v>
      </c>
      <c r="O63" s="6">
        <v>48.317999999999998</v>
      </c>
      <c r="P63" s="6">
        <v>332</v>
      </c>
      <c r="Q63" s="4" t="s">
        <v>26</v>
      </c>
      <c r="R63" s="4">
        <v>0</v>
      </c>
      <c r="S63" s="4">
        <v>0</v>
      </c>
      <c r="T63" s="4">
        <v>29</v>
      </c>
      <c r="U63" s="4">
        <v>46</v>
      </c>
      <c r="V63" s="6">
        <f>IF(ISERROR(VLOOKUP($S$63,'TAR FIN'!$A$1:$O$91,15,0)),0,VLOOKUP($S$63,'TAR FIN'!$A$1:$O$91,15,0))</f>
        <v>0</v>
      </c>
      <c r="W63" s="6">
        <f>IF(ISERROR(VLOOKUP($T$63,'TAR FIN'!$A$1:$O$91,15,0)),0,VLOOKUP($T$63,'TAR FIN'!$A$1:$O$91,15,0))</f>
        <v>155.63999999999999</v>
      </c>
      <c r="X63" s="6">
        <f>IF(ISERROR(VLOOKUP($U$63,'TAR FIN'!$A$1:$O$91,15,0)),0,VLOOKUP($U$63,'TAR FIN'!$A$1:$O$91,15,0))</f>
        <v>120.57</v>
      </c>
      <c r="Y63" s="6"/>
      <c r="Z63" s="6">
        <f ca="1">('TUSD BE'!$AM$27+'TUSD BF'!$AM$27+'TUSD CVA'!$AM$27-('TUSD BE'!$P$27+'TUSD BF'!$P$27+'TUSD CVA'!$P$27)-('TUSD BE'!$Q$27+'TUSD BF'!$Q$27+'TUSD CVA'!$Q$27)-('TUSD BE'!$R$27+'TUSD BF'!$R$27+'TUSD CVA'!$R$27))*(1-CUSTOS!$M$36)</f>
        <v>186.94366807681482</v>
      </c>
      <c r="AA63" s="6">
        <f>('TE BE'!$AB$15+'TE BF'!$AB$15+'TE CVA'!$AB$15)*(1-CUSTOS!$M$36)</f>
        <v>103.28876900070266</v>
      </c>
      <c r="AB63" s="6">
        <f t="shared" si="6"/>
        <v>0</v>
      </c>
      <c r="AC63" s="6">
        <f>(L63-M63)*(W63+X63)+($W$64+$X$64-$W$63-$X$63)*(L63)</f>
        <v>1482.8794199999998</v>
      </c>
      <c r="AD63" s="6">
        <f t="shared" si="7"/>
        <v>0</v>
      </c>
      <c r="AE63" s="6">
        <f ca="1">(L63-M63)*(Z63+AA63)+($Z$64+$AA$64-$Z$63-$AA$63)*(L63)</f>
        <v>1558.1612105234983</v>
      </c>
      <c r="AF63" s="4" t="s">
        <v>645</v>
      </c>
    </row>
    <row r="64" spans="1:32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32</v>
      </c>
      <c r="F64" s="4" t="s">
        <v>25</v>
      </c>
      <c r="G64" s="4" t="s">
        <v>25</v>
      </c>
      <c r="H64" s="4" t="s">
        <v>25</v>
      </c>
      <c r="I64" s="5">
        <v>44440</v>
      </c>
      <c r="J64" s="6">
        <v>0</v>
      </c>
      <c r="K64" s="6">
        <v>0</v>
      </c>
      <c r="L64" s="6">
        <v>11.452</v>
      </c>
      <c r="M64" s="6">
        <v>11.452</v>
      </c>
      <c r="N64" s="6">
        <v>11.452</v>
      </c>
      <c r="O64" s="6">
        <v>11.452</v>
      </c>
      <c r="P64" s="6">
        <v>169</v>
      </c>
      <c r="Q64" s="4" t="s">
        <v>26</v>
      </c>
      <c r="R64" s="4">
        <v>0</v>
      </c>
      <c r="S64" s="4">
        <v>0</v>
      </c>
      <c r="T64" s="4">
        <v>19</v>
      </c>
      <c r="U64" s="4">
        <v>57</v>
      </c>
      <c r="V64" s="6">
        <f>IF(ISERROR(VLOOKUP($S$64,'TAR FIN'!$A$1:$O$91,15,0)),0,VLOOKUP($S$64,'TAR FIN'!$A$1:$O$91,15,0))</f>
        <v>0</v>
      </c>
      <c r="W64" s="6">
        <f>IF(ISERROR(VLOOKUP($T$64,'TAR FIN'!$A$1:$O$91,15,0)),0,VLOOKUP($T$64,'TAR FIN'!$A$1:$O$91,15,0))</f>
        <v>172.93</v>
      </c>
      <c r="X64" s="6">
        <f>IF(ISERROR(VLOOKUP($U$64,'TAR FIN'!$A$1:$O$91,15,0)),0,VLOOKUP($U$64,'TAR FIN'!$A$1:$O$91,15,0))</f>
        <v>133.97</v>
      </c>
      <c r="Y64" s="6"/>
      <c r="Z64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4" s="6">
        <f>('TE BE'!$AB$16+'TE BF'!$AB$16+'TE CVA'!$AB$16)*(1-CUSTOS!$M$37)</f>
        <v>114.76529888966962</v>
      </c>
      <c r="AB64" s="6">
        <f t="shared" si="6"/>
        <v>0</v>
      </c>
      <c r="AC64" s="6">
        <f>(L64-M64)*(W64+X64)+($W$64+$X$64-$W$64-$X$64)*(L64)</f>
        <v>-3.2548541639698669E-13</v>
      </c>
      <c r="AD64" s="6">
        <f t="shared" si="7"/>
        <v>0</v>
      </c>
      <c r="AE64" s="6">
        <f ca="1">(L64-M64)*(Z64+AA64)+($Z$64+$AA$64-$Z$64-$AA$64)*(L64)</f>
        <v>0</v>
      </c>
      <c r="AF64" s="4" t="s">
        <v>645</v>
      </c>
    </row>
    <row r="65" spans="1:32" ht="11.25" customHeight="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32</v>
      </c>
      <c r="F65" s="4" t="s">
        <v>25</v>
      </c>
      <c r="G65" s="4" t="s">
        <v>25</v>
      </c>
      <c r="H65" s="4" t="s">
        <v>25</v>
      </c>
      <c r="I65" s="5">
        <v>44470</v>
      </c>
      <c r="J65" s="6">
        <v>0</v>
      </c>
      <c r="K65" s="6">
        <v>0</v>
      </c>
      <c r="L65" s="6">
        <v>11.125999999999999</v>
      </c>
      <c r="M65" s="6">
        <v>11.125999999999999</v>
      </c>
      <c r="N65" s="6">
        <v>11.125999999999999</v>
      </c>
      <c r="O65" s="6">
        <v>11.125999999999999</v>
      </c>
      <c r="P65" s="6">
        <v>156</v>
      </c>
      <c r="Q65" s="4" t="s">
        <v>26</v>
      </c>
      <c r="R65" s="4">
        <v>0</v>
      </c>
      <c r="S65" s="4">
        <v>0</v>
      </c>
      <c r="T65" s="4">
        <v>19</v>
      </c>
      <c r="U65" s="4">
        <v>57</v>
      </c>
      <c r="V65" s="6">
        <f>IF(ISERROR(VLOOKUP($S$65,'TAR FIN'!$A$1:$O$91,15,0)),0,VLOOKUP($S$65,'TAR FIN'!$A$1:$O$91,15,0))</f>
        <v>0</v>
      </c>
      <c r="W65" s="6">
        <f>IF(ISERROR(VLOOKUP($T$65,'TAR FIN'!$A$1:$O$91,15,0)),0,VLOOKUP($T$65,'TAR FIN'!$A$1:$O$91,15,0))</f>
        <v>172.93</v>
      </c>
      <c r="X65" s="6">
        <f>IF(ISERROR(VLOOKUP($U$65,'TAR FIN'!$A$1:$O$91,15,0)),0,VLOOKUP($U$65,'TAR FIN'!$A$1:$O$91,15,0))</f>
        <v>133.97</v>
      </c>
      <c r="Y65" s="6"/>
      <c r="Z65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5" s="6">
        <f>('TE BE'!$AB$16+'TE BF'!$AB$16+'TE CVA'!$AB$16)*(1-CUSTOS!$M$37)</f>
        <v>114.76529888966962</v>
      </c>
      <c r="AB65" s="6">
        <f t="shared" si="6"/>
        <v>0</v>
      </c>
      <c r="AC65" s="6">
        <f>(L65-M65)*(W65+X65)+($W$64+$X$64-$W$65-$X$65)*(L65)</f>
        <v>-3.1621993912267497E-13</v>
      </c>
      <c r="AD65" s="6">
        <f t="shared" si="7"/>
        <v>0</v>
      </c>
      <c r="AE65" s="6">
        <f ca="1">(L65-M65)*(Z65+AA65)+($Z$64+$AA$64-$Z$65-$AA$65)*(L65)</f>
        <v>0</v>
      </c>
      <c r="AF65" s="4" t="s">
        <v>645</v>
      </c>
    </row>
    <row r="66" spans="1:32" ht="11.25" customHeight="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32</v>
      </c>
      <c r="F66" s="4" t="s">
        <v>25</v>
      </c>
      <c r="G66" s="4" t="s">
        <v>25</v>
      </c>
      <c r="H66" s="4" t="s">
        <v>25</v>
      </c>
      <c r="I66" s="5">
        <v>44501</v>
      </c>
      <c r="J66" s="6">
        <v>0</v>
      </c>
      <c r="K66" s="6">
        <v>0</v>
      </c>
      <c r="L66" s="6">
        <v>10.77</v>
      </c>
      <c r="M66" s="6">
        <v>10.77</v>
      </c>
      <c r="N66" s="6">
        <v>10.77</v>
      </c>
      <c r="O66" s="6">
        <v>10.77</v>
      </c>
      <c r="P66" s="6">
        <v>144</v>
      </c>
      <c r="Q66" s="4" t="s">
        <v>26</v>
      </c>
      <c r="R66" s="4">
        <v>0</v>
      </c>
      <c r="S66" s="4">
        <v>0</v>
      </c>
      <c r="T66" s="4">
        <v>19</v>
      </c>
      <c r="U66" s="4">
        <v>57</v>
      </c>
      <c r="V66" s="6">
        <f>IF(ISERROR(VLOOKUP($S$66,'TAR FIN'!$A$1:$O$91,15,0)),0,VLOOKUP($S$66,'TAR FIN'!$A$1:$O$91,15,0))</f>
        <v>0</v>
      </c>
      <c r="W66" s="6">
        <f>IF(ISERROR(VLOOKUP($T$66,'TAR FIN'!$A$1:$O$91,15,0)),0,VLOOKUP($T$66,'TAR FIN'!$A$1:$O$91,15,0))</f>
        <v>172.93</v>
      </c>
      <c r="X66" s="6">
        <f>IF(ISERROR(VLOOKUP($U$66,'TAR FIN'!$A$1:$O$91,15,0)),0,VLOOKUP($U$66,'TAR FIN'!$A$1:$O$91,15,0))</f>
        <v>133.97</v>
      </c>
      <c r="Y66" s="6"/>
      <c r="Z66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6" s="6">
        <f>('TE BE'!$AB$16+'TE BF'!$AB$16+'TE CVA'!$AB$16)*(1-CUSTOS!$M$37)</f>
        <v>114.76529888966962</v>
      </c>
      <c r="AB66" s="6">
        <f t="shared" ref="AB66:AB97" si="8">(J66-K66)*V66</f>
        <v>0</v>
      </c>
      <c r="AC66" s="6">
        <f>(L66-M66)*(W66+X66)+($W$64+$X$64-$W$66-$X$66)*(L66)</f>
        <v>-3.0610181056545115E-13</v>
      </c>
      <c r="AD66" s="6">
        <f t="shared" ref="AD66:AD97" si="9">(J66-K66)*Y66</f>
        <v>0</v>
      </c>
      <c r="AE66" s="6">
        <f ca="1">(L66-M66)*(Z66+AA66)+($Z$64+$AA$64-$Z$66-$AA$66)*(L66)</f>
        <v>0</v>
      </c>
      <c r="AF66" s="4" t="s">
        <v>645</v>
      </c>
    </row>
    <row r="67" spans="1:32" ht="11.25" customHeight="1" x14ac:dyDescent="0.25">
      <c r="A67" s="4" t="s">
        <v>27</v>
      </c>
      <c r="B67" s="4" t="s">
        <v>22</v>
      </c>
      <c r="C67" s="4" t="s">
        <v>23</v>
      </c>
      <c r="D67" s="4" t="s">
        <v>24</v>
      </c>
      <c r="E67" s="4" t="s">
        <v>32</v>
      </c>
      <c r="F67" s="4" t="s">
        <v>25</v>
      </c>
      <c r="G67" s="4" t="s">
        <v>25</v>
      </c>
      <c r="H67" s="4" t="s">
        <v>25</v>
      </c>
      <c r="I67" s="5">
        <v>44501</v>
      </c>
      <c r="J67" s="6">
        <v>0</v>
      </c>
      <c r="K67" s="6">
        <v>0</v>
      </c>
      <c r="L67" s="6">
        <v>0.23300000000000001</v>
      </c>
      <c r="M67" s="6">
        <v>0.23300000000000001</v>
      </c>
      <c r="N67" s="6">
        <v>0.23300000000000001</v>
      </c>
      <c r="O67" s="6">
        <v>0.23300000000000001</v>
      </c>
      <c r="P67" s="6">
        <v>0</v>
      </c>
      <c r="Q67" s="4" t="s">
        <v>26</v>
      </c>
      <c r="R67" s="4">
        <v>0</v>
      </c>
      <c r="S67" s="4">
        <v>0</v>
      </c>
      <c r="T67" s="4">
        <v>19</v>
      </c>
      <c r="U67" s="4">
        <v>57</v>
      </c>
      <c r="V67" s="6">
        <f>IF(ISERROR(VLOOKUP($S$67,'TAR FIN'!$A$1:$O$91,15,0)),0,VLOOKUP($S$67,'TAR FIN'!$A$1:$O$91,15,0))</f>
        <v>0</v>
      </c>
      <c r="W67" s="6">
        <f>IF(ISERROR(VLOOKUP($T$67,'TAR FIN'!$A$1:$O$91,15,0)),0,VLOOKUP($T$67,'TAR FIN'!$A$1:$O$91,15,0))</f>
        <v>172.93</v>
      </c>
      <c r="X67" s="6">
        <f>IF(ISERROR(VLOOKUP($U$67,'TAR FIN'!$A$1:$O$91,15,0)),0,VLOOKUP($U$67,'TAR FIN'!$A$1:$O$91,15,0))</f>
        <v>133.97</v>
      </c>
      <c r="Y67" s="6"/>
      <c r="Z67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7" s="6">
        <f>('TE BE'!$AB$16+'TE BF'!$AB$16+'TE CVA'!$AB$16)*(1-CUSTOS!$M$37)</f>
        <v>114.76529888966962</v>
      </c>
      <c r="AB67" s="6">
        <f t="shared" si="8"/>
        <v>0</v>
      </c>
      <c r="AC67" s="6">
        <f>(L67-M67)*(W67+X67)+($W$64+$X$64-$W$67-$X$67)*(L67)</f>
        <v>-6.6222582972841341E-15</v>
      </c>
      <c r="AD67" s="6">
        <f t="shared" si="9"/>
        <v>0</v>
      </c>
      <c r="AE67" s="6">
        <f ca="1">(L67-M67)*(Z67+AA67)+($Z$64+$AA$64-$Z$67-$AA$67)*(L67)</f>
        <v>0</v>
      </c>
      <c r="AF67" s="4" t="s">
        <v>645</v>
      </c>
    </row>
    <row r="68" spans="1:32" ht="11.25" customHeight="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32</v>
      </c>
      <c r="F68" s="4" t="s">
        <v>25</v>
      </c>
      <c r="G68" s="4" t="s">
        <v>25</v>
      </c>
      <c r="H68" s="4" t="s">
        <v>25</v>
      </c>
      <c r="I68" s="5">
        <v>44531</v>
      </c>
      <c r="J68" s="6">
        <v>0</v>
      </c>
      <c r="K68" s="6">
        <v>0</v>
      </c>
      <c r="L68" s="6">
        <v>13.891</v>
      </c>
      <c r="M68" s="6">
        <v>13.891</v>
      </c>
      <c r="N68" s="6">
        <v>13.891</v>
      </c>
      <c r="O68" s="6">
        <v>13.891</v>
      </c>
      <c r="P68" s="6">
        <v>165</v>
      </c>
      <c r="Q68" s="4" t="s">
        <v>26</v>
      </c>
      <c r="R68" s="4">
        <v>0</v>
      </c>
      <c r="S68" s="4">
        <v>0</v>
      </c>
      <c r="T68" s="4">
        <v>19</v>
      </c>
      <c r="U68" s="4">
        <v>57</v>
      </c>
      <c r="V68" s="6">
        <f>IF(ISERROR(VLOOKUP($S$68,'TAR FIN'!$A$1:$O$91,15,0)),0,VLOOKUP($S$68,'TAR FIN'!$A$1:$O$91,15,0))</f>
        <v>0</v>
      </c>
      <c r="W68" s="6">
        <f>IF(ISERROR(VLOOKUP($T$68,'TAR FIN'!$A$1:$O$91,15,0)),0,VLOOKUP($T$68,'TAR FIN'!$A$1:$O$91,15,0))</f>
        <v>172.93</v>
      </c>
      <c r="X68" s="6">
        <f>IF(ISERROR(VLOOKUP($U$68,'TAR FIN'!$A$1:$O$91,15,0)),0,VLOOKUP($U$68,'TAR FIN'!$A$1:$O$91,15,0))</f>
        <v>133.97</v>
      </c>
      <c r="Y68" s="6"/>
      <c r="Z68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8" s="6">
        <f>('TE BE'!$AB$16+'TE BF'!$AB$16+'TE CVA'!$AB$16)*(1-CUSTOS!$M$37)</f>
        <v>114.76529888966962</v>
      </c>
      <c r="AB68" s="6">
        <f t="shared" si="8"/>
        <v>0</v>
      </c>
      <c r="AC68" s="6">
        <f>(L68-M68)*(W68+X68)+($W$64+$X$64-$W$68-$X$68)*(L68)</f>
        <v>-3.9480596569774207E-13</v>
      </c>
      <c r="AD68" s="6">
        <f t="shared" si="9"/>
        <v>0</v>
      </c>
      <c r="AE68" s="6">
        <f ca="1">(L68-M68)*(Z68+AA68)+($Z$64+$AA$64-$Z$68-$AA$68)*(L68)</f>
        <v>0</v>
      </c>
      <c r="AF68" s="4" t="s">
        <v>645</v>
      </c>
    </row>
    <row r="69" spans="1:32" ht="11.25" customHeight="1" x14ac:dyDescent="0.25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32</v>
      </c>
      <c r="F69" s="4" t="s">
        <v>25</v>
      </c>
      <c r="G69" s="4" t="s">
        <v>25</v>
      </c>
      <c r="H69" s="4" t="s">
        <v>25</v>
      </c>
      <c r="I69" s="5">
        <v>44562</v>
      </c>
      <c r="J69" s="6">
        <v>0</v>
      </c>
      <c r="K69" s="6">
        <v>0</v>
      </c>
      <c r="L69" s="6">
        <v>31.126999999999999</v>
      </c>
      <c r="M69" s="6">
        <v>31.126999999999999</v>
      </c>
      <c r="N69" s="6">
        <v>31.126999999999999</v>
      </c>
      <c r="O69" s="6">
        <v>31.126999999999999</v>
      </c>
      <c r="P69" s="6">
        <v>243</v>
      </c>
      <c r="Q69" s="4" t="s">
        <v>26</v>
      </c>
      <c r="R69" s="4">
        <v>0</v>
      </c>
      <c r="S69" s="4">
        <v>0</v>
      </c>
      <c r="T69" s="4">
        <v>19</v>
      </c>
      <c r="U69" s="4">
        <v>57</v>
      </c>
      <c r="V69" s="6">
        <f>IF(ISERROR(VLOOKUP($S$69,'TAR FIN'!$A$1:$O$91,15,0)),0,VLOOKUP($S$69,'TAR FIN'!$A$1:$O$91,15,0))</f>
        <v>0</v>
      </c>
      <c r="W69" s="6">
        <f>IF(ISERROR(VLOOKUP($T$69,'TAR FIN'!$A$1:$O$91,15,0)),0,VLOOKUP($T$69,'TAR FIN'!$A$1:$O$91,15,0))</f>
        <v>172.93</v>
      </c>
      <c r="X69" s="6">
        <f>IF(ISERROR(VLOOKUP($U$69,'TAR FIN'!$A$1:$O$91,15,0)),0,VLOOKUP($U$69,'TAR FIN'!$A$1:$O$91,15,0))</f>
        <v>133.97</v>
      </c>
      <c r="Y69" s="6"/>
      <c r="Z69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69" s="6">
        <f>('TE BE'!$AB$16+'TE BF'!$AB$16+'TE CVA'!$AB$16)*(1-CUSTOS!$M$37)</f>
        <v>114.76529888966962</v>
      </c>
      <c r="AB69" s="6">
        <f t="shared" si="8"/>
        <v>0</v>
      </c>
      <c r="AC69" s="6">
        <f>(L69-M69)*(W69+X69)+($W$64+$X$64-$W$69-$X$69)*(L69)</f>
        <v>-8.8468254944018551E-13</v>
      </c>
      <c r="AD69" s="6">
        <f t="shared" si="9"/>
        <v>0</v>
      </c>
      <c r="AE69" s="6">
        <f ca="1">(L69-M69)*(Z69+AA69)+($Z$64+$AA$64-$Z$69-$AA$69)*(L69)</f>
        <v>0</v>
      </c>
      <c r="AF69" s="4" t="s">
        <v>645</v>
      </c>
    </row>
    <row r="70" spans="1:32" ht="11.25" customHeight="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32</v>
      </c>
      <c r="F70" s="4" t="s">
        <v>25</v>
      </c>
      <c r="G70" s="4" t="s">
        <v>25</v>
      </c>
      <c r="H70" s="4" t="s">
        <v>25</v>
      </c>
      <c r="I70" s="5">
        <v>44593</v>
      </c>
      <c r="J70" s="6">
        <v>0</v>
      </c>
      <c r="K70" s="6">
        <v>0</v>
      </c>
      <c r="L70" s="6">
        <v>35.345999999999997</v>
      </c>
      <c r="M70" s="6">
        <v>35.345999999999997</v>
      </c>
      <c r="N70" s="6">
        <v>35.345999999999997</v>
      </c>
      <c r="O70" s="6">
        <v>35.345999999999997</v>
      </c>
      <c r="P70" s="6">
        <v>258</v>
      </c>
      <c r="Q70" s="4" t="s">
        <v>26</v>
      </c>
      <c r="R70" s="4">
        <v>0</v>
      </c>
      <c r="S70" s="4">
        <v>0</v>
      </c>
      <c r="T70" s="4">
        <v>19</v>
      </c>
      <c r="U70" s="4">
        <v>57</v>
      </c>
      <c r="V70" s="6">
        <f>IF(ISERROR(VLOOKUP($S$70,'TAR FIN'!$A$1:$O$91,15,0)),0,VLOOKUP($S$70,'TAR FIN'!$A$1:$O$91,15,0))</f>
        <v>0</v>
      </c>
      <c r="W70" s="6">
        <f>IF(ISERROR(VLOOKUP($T$70,'TAR FIN'!$A$1:$O$91,15,0)),0,VLOOKUP($T$70,'TAR FIN'!$A$1:$O$91,15,0))</f>
        <v>172.93</v>
      </c>
      <c r="X70" s="6">
        <f>IF(ISERROR(VLOOKUP($U$70,'TAR FIN'!$A$1:$O$91,15,0)),0,VLOOKUP($U$70,'TAR FIN'!$A$1:$O$91,15,0))</f>
        <v>133.97</v>
      </c>
      <c r="Y70" s="6"/>
      <c r="Z70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0" s="6">
        <f>('TE BE'!$AB$16+'TE BF'!$AB$16+'TE CVA'!$AB$16)*(1-CUSTOS!$M$37)</f>
        <v>114.76529888966962</v>
      </c>
      <c r="AB70" s="6">
        <f t="shared" si="8"/>
        <v>0</v>
      </c>
      <c r="AC70" s="6">
        <f>(L70-M70)*(W70+X70)+($W$64+$X$64-$W$70-$X$70)*(L70)</f>
        <v>-1.0045937415270599E-12</v>
      </c>
      <c r="AD70" s="6">
        <f t="shared" si="9"/>
        <v>0</v>
      </c>
      <c r="AE70" s="6">
        <f ca="1">(L70-M70)*(Z70+AA70)+($Z$64+$AA$64-$Z$70-$AA$70)*(L70)</f>
        <v>0</v>
      </c>
      <c r="AF70" s="4" t="s">
        <v>645</v>
      </c>
    </row>
    <row r="71" spans="1:32" ht="11.25" customHeight="1" x14ac:dyDescent="0.25">
      <c r="A71" s="4" t="s">
        <v>27</v>
      </c>
      <c r="B71" s="4" t="s">
        <v>22</v>
      </c>
      <c r="C71" s="4" t="s">
        <v>23</v>
      </c>
      <c r="D71" s="4" t="s">
        <v>24</v>
      </c>
      <c r="E71" s="4" t="s">
        <v>32</v>
      </c>
      <c r="F71" s="4" t="s">
        <v>25</v>
      </c>
      <c r="G71" s="4" t="s">
        <v>25</v>
      </c>
      <c r="H71" s="4" t="s">
        <v>25</v>
      </c>
      <c r="I71" s="5">
        <v>44593</v>
      </c>
      <c r="J71" s="6">
        <v>0</v>
      </c>
      <c r="K71" s="6">
        <v>0</v>
      </c>
      <c r="L71" s="6">
        <v>-0.26100000000000001</v>
      </c>
      <c r="M71" s="6">
        <v>-0.26100000000000001</v>
      </c>
      <c r="N71" s="6">
        <v>-0.26100000000000001</v>
      </c>
      <c r="O71" s="6">
        <v>-0.26100000000000001</v>
      </c>
      <c r="P71" s="6">
        <v>0</v>
      </c>
      <c r="Q71" s="4" t="s">
        <v>26</v>
      </c>
      <c r="R71" s="4">
        <v>0</v>
      </c>
      <c r="S71" s="4">
        <v>0</v>
      </c>
      <c r="T71" s="4">
        <v>19</v>
      </c>
      <c r="U71" s="4">
        <v>57</v>
      </c>
      <c r="V71" s="6">
        <f>IF(ISERROR(VLOOKUP($S$71,'TAR FIN'!$A$1:$O$91,15,0)),0,VLOOKUP($S$71,'TAR FIN'!$A$1:$O$91,15,0))</f>
        <v>0</v>
      </c>
      <c r="W71" s="6">
        <f>IF(ISERROR(VLOOKUP($T$71,'TAR FIN'!$A$1:$O$91,15,0)),0,VLOOKUP($T$71,'TAR FIN'!$A$1:$O$91,15,0))</f>
        <v>172.93</v>
      </c>
      <c r="X71" s="6">
        <f>IF(ISERROR(VLOOKUP($U$71,'TAR FIN'!$A$1:$O$91,15,0)),0,VLOOKUP($U$71,'TAR FIN'!$A$1:$O$91,15,0))</f>
        <v>133.97</v>
      </c>
      <c r="Y71" s="6"/>
      <c r="Z71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1" s="6">
        <f>('TE BE'!$AB$16+'TE BF'!$AB$16+'TE CVA'!$AB$16)*(1-CUSTOS!$M$37)</f>
        <v>114.76529888966962</v>
      </c>
      <c r="AB71" s="6">
        <f t="shared" si="8"/>
        <v>0</v>
      </c>
      <c r="AC71" s="6">
        <f>(L71-M71)*(W71+X71)+($W$64+$X$64-$W$71-$X$71)*(L71)</f>
        <v>7.4180661613354462E-15</v>
      </c>
      <c r="AD71" s="6">
        <f t="shared" si="9"/>
        <v>0</v>
      </c>
      <c r="AE71" s="6">
        <f ca="1">(L71-M71)*(Z71+AA71)+($Z$64+$AA$64-$Z$71-$AA$71)*(L71)</f>
        <v>0</v>
      </c>
      <c r="AF71" s="4" t="s">
        <v>645</v>
      </c>
    </row>
    <row r="72" spans="1:32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32</v>
      </c>
      <c r="F72" s="4" t="s">
        <v>25</v>
      </c>
      <c r="G72" s="4" t="s">
        <v>25</v>
      </c>
      <c r="H72" s="4" t="s">
        <v>25</v>
      </c>
      <c r="I72" s="5">
        <v>44621</v>
      </c>
      <c r="J72" s="6">
        <v>0</v>
      </c>
      <c r="K72" s="6">
        <v>0</v>
      </c>
      <c r="L72" s="6">
        <v>40.997999999999998</v>
      </c>
      <c r="M72" s="6">
        <v>40.997999999999998</v>
      </c>
      <c r="N72" s="6">
        <v>40.997999999999998</v>
      </c>
      <c r="O72" s="6">
        <v>40.997999999999998</v>
      </c>
      <c r="P72" s="6">
        <v>309</v>
      </c>
      <c r="Q72" s="4" t="s">
        <v>26</v>
      </c>
      <c r="R72" s="4">
        <v>0</v>
      </c>
      <c r="S72" s="4">
        <v>0</v>
      </c>
      <c r="T72" s="4">
        <v>19</v>
      </c>
      <c r="U72" s="4">
        <v>57</v>
      </c>
      <c r="V72" s="6">
        <f>IF(ISERROR(VLOOKUP($S$72,'TAR FIN'!$A$1:$O$91,15,0)),0,VLOOKUP($S$72,'TAR FIN'!$A$1:$O$91,15,0))</f>
        <v>0</v>
      </c>
      <c r="W72" s="6">
        <f>IF(ISERROR(VLOOKUP($T$72,'TAR FIN'!$A$1:$O$91,15,0)),0,VLOOKUP($T$72,'TAR FIN'!$A$1:$O$91,15,0))</f>
        <v>172.93</v>
      </c>
      <c r="X72" s="6">
        <f>IF(ISERROR(VLOOKUP($U$72,'TAR FIN'!$A$1:$O$91,15,0)),0,VLOOKUP($U$72,'TAR FIN'!$A$1:$O$91,15,0))</f>
        <v>133.97</v>
      </c>
      <c r="Y72" s="6"/>
      <c r="Z72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2" s="6">
        <f>('TE BE'!$AB$16+'TE BF'!$AB$16+'TE CVA'!$AB$16)*(1-CUSTOS!$M$37)</f>
        <v>114.76529888966962</v>
      </c>
      <c r="AB72" s="6">
        <f t="shared" si="8"/>
        <v>0</v>
      </c>
      <c r="AC72" s="6">
        <f>(L72-M72)*(W72+X72)+($W$64+$X$64-$W$72-$X$72)*(L72)</f>
        <v>-1.1652332432277034E-12</v>
      </c>
      <c r="AD72" s="6">
        <f t="shared" si="9"/>
        <v>0</v>
      </c>
      <c r="AE72" s="6">
        <f ca="1">(L72-M72)*(Z72+AA72)+($Z$64+$AA$64-$Z$72-$AA$72)*(L72)</f>
        <v>0</v>
      </c>
      <c r="AF72" s="4" t="s">
        <v>645</v>
      </c>
    </row>
    <row r="73" spans="1:32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32</v>
      </c>
      <c r="F73" s="4" t="s">
        <v>25</v>
      </c>
      <c r="G73" s="4" t="s">
        <v>25</v>
      </c>
      <c r="H73" s="4" t="s">
        <v>25</v>
      </c>
      <c r="I73" s="5">
        <v>44652</v>
      </c>
      <c r="J73" s="6">
        <v>0</v>
      </c>
      <c r="K73" s="6">
        <v>0</v>
      </c>
      <c r="L73" s="6">
        <v>28.201000000000001</v>
      </c>
      <c r="M73" s="6">
        <v>28.201000000000001</v>
      </c>
      <c r="N73" s="6">
        <v>28.201000000000001</v>
      </c>
      <c r="O73" s="6">
        <v>28.201000000000001</v>
      </c>
      <c r="P73" s="6">
        <v>284</v>
      </c>
      <c r="Q73" s="4" t="s">
        <v>26</v>
      </c>
      <c r="R73" s="4">
        <v>0</v>
      </c>
      <c r="S73" s="4">
        <v>0</v>
      </c>
      <c r="T73" s="4">
        <v>19</v>
      </c>
      <c r="U73" s="4">
        <v>57</v>
      </c>
      <c r="V73" s="6">
        <f>IF(ISERROR(VLOOKUP($S$73,'TAR FIN'!$A$1:$O$91,15,0)),0,VLOOKUP($S$73,'TAR FIN'!$A$1:$O$91,15,0))</f>
        <v>0</v>
      </c>
      <c r="W73" s="6">
        <f>IF(ISERROR(VLOOKUP($T$73,'TAR FIN'!$A$1:$O$91,15,0)),0,VLOOKUP($T$73,'TAR FIN'!$A$1:$O$91,15,0))</f>
        <v>172.93</v>
      </c>
      <c r="X73" s="6">
        <f>IF(ISERROR(VLOOKUP($U$73,'TAR FIN'!$A$1:$O$91,15,0)),0,VLOOKUP($U$73,'TAR FIN'!$A$1:$O$91,15,0))</f>
        <v>133.97</v>
      </c>
      <c r="Y73" s="6"/>
      <c r="Z73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3" s="6">
        <f>('TE BE'!$AB$16+'TE BF'!$AB$16+'TE CVA'!$AB$16)*(1-CUSTOS!$M$37)</f>
        <v>114.76529888966962</v>
      </c>
      <c r="AB73" s="6">
        <f t="shared" si="8"/>
        <v>0</v>
      </c>
      <c r="AC73" s="6">
        <f>(L73-M73)*(W73+X73)+($W$64+$X$64-$W$73-$X$73)*(L73)</f>
        <v>-8.0152062764682343E-13</v>
      </c>
      <c r="AD73" s="6">
        <f t="shared" si="9"/>
        <v>0</v>
      </c>
      <c r="AE73" s="6">
        <f ca="1">(L73-M73)*(Z73+AA73)+($Z$64+$AA$64-$Z$73-$AA$73)*(L73)</f>
        <v>0</v>
      </c>
      <c r="AF73" s="4" t="s">
        <v>645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32</v>
      </c>
      <c r="F74" s="4" t="s">
        <v>25</v>
      </c>
      <c r="G74" s="4" t="s">
        <v>25</v>
      </c>
      <c r="H74" s="4" t="s">
        <v>25</v>
      </c>
      <c r="I74" s="5">
        <v>44682</v>
      </c>
      <c r="J74" s="6">
        <v>0</v>
      </c>
      <c r="K74" s="6">
        <v>0</v>
      </c>
      <c r="L74" s="6">
        <v>19.608000000000001</v>
      </c>
      <c r="M74" s="6">
        <v>19.608000000000001</v>
      </c>
      <c r="N74" s="6">
        <v>19.608000000000001</v>
      </c>
      <c r="O74" s="6">
        <v>19.608000000000001</v>
      </c>
      <c r="P74" s="6">
        <v>219</v>
      </c>
      <c r="Q74" s="4" t="s">
        <v>26</v>
      </c>
      <c r="R74" s="4">
        <v>0</v>
      </c>
      <c r="S74" s="4">
        <v>0</v>
      </c>
      <c r="T74" s="4">
        <v>19</v>
      </c>
      <c r="U74" s="4">
        <v>57</v>
      </c>
      <c r="V74" s="6">
        <f>IF(ISERROR(VLOOKUP($S$74,'TAR FIN'!$A$1:$O$91,15,0)),0,VLOOKUP($S$74,'TAR FIN'!$A$1:$O$91,15,0))</f>
        <v>0</v>
      </c>
      <c r="W74" s="6">
        <f>IF(ISERROR(VLOOKUP($T$74,'TAR FIN'!$A$1:$O$91,15,0)),0,VLOOKUP($T$74,'TAR FIN'!$A$1:$O$91,15,0))</f>
        <v>172.93</v>
      </c>
      <c r="X74" s="6">
        <f>IF(ISERROR(VLOOKUP($U$74,'TAR FIN'!$A$1:$O$91,15,0)),0,VLOOKUP($U$74,'TAR FIN'!$A$1:$O$91,15,0))</f>
        <v>133.97</v>
      </c>
      <c r="Y74" s="6"/>
      <c r="Z74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4" s="6">
        <f>('TE BE'!$AB$16+'TE BF'!$AB$16+'TE CVA'!$AB$16)*(1-CUSTOS!$M$37)</f>
        <v>114.76529888966962</v>
      </c>
      <c r="AB74" s="6">
        <f t="shared" si="8"/>
        <v>0</v>
      </c>
      <c r="AC74" s="6">
        <f>(L74-M74)*(W74+X74)+($W$64+$X$64-$W$74-$X$74)*(L74)</f>
        <v>-5.5729287851136179E-13</v>
      </c>
      <c r="AD74" s="6">
        <f t="shared" si="9"/>
        <v>0</v>
      </c>
      <c r="AE74" s="6">
        <f ca="1">(L74-M74)*(Z74+AA74)+($Z$64+$AA$64-$Z$74-$AA$74)*(L74)</f>
        <v>0</v>
      </c>
      <c r="AF74" s="4" t="s">
        <v>645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32</v>
      </c>
      <c r="F75" s="4" t="s">
        <v>25</v>
      </c>
      <c r="G75" s="4" t="s">
        <v>25</v>
      </c>
      <c r="H75" s="4" t="s">
        <v>25</v>
      </c>
      <c r="I75" s="5">
        <v>44713</v>
      </c>
      <c r="J75" s="6">
        <v>0</v>
      </c>
      <c r="K75" s="6">
        <v>0</v>
      </c>
      <c r="L75" s="6">
        <v>25.545999999999999</v>
      </c>
      <c r="M75" s="6">
        <v>25.545999999999999</v>
      </c>
      <c r="N75" s="6">
        <v>25.545999999999999</v>
      </c>
      <c r="O75" s="6">
        <v>25.545999999999999</v>
      </c>
      <c r="P75" s="6">
        <v>243</v>
      </c>
      <c r="Q75" s="4" t="s">
        <v>26</v>
      </c>
      <c r="R75" s="4">
        <v>0</v>
      </c>
      <c r="S75" s="4">
        <v>0</v>
      </c>
      <c r="T75" s="4">
        <v>19</v>
      </c>
      <c r="U75" s="4">
        <v>57</v>
      </c>
      <c r="V75" s="6">
        <f>IF(ISERROR(VLOOKUP($S$75,'TAR FIN'!$A$1:$O$91,15,0)),0,VLOOKUP($S$75,'TAR FIN'!$A$1:$O$91,15,0))</f>
        <v>0</v>
      </c>
      <c r="W75" s="6">
        <f>IF(ISERROR(VLOOKUP($T$75,'TAR FIN'!$A$1:$O$91,15,0)),0,VLOOKUP($T$75,'TAR FIN'!$A$1:$O$91,15,0))</f>
        <v>172.93</v>
      </c>
      <c r="X75" s="6">
        <f>IF(ISERROR(VLOOKUP($U$75,'TAR FIN'!$A$1:$O$91,15,0)),0,VLOOKUP($U$75,'TAR FIN'!$A$1:$O$91,15,0))</f>
        <v>133.97</v>
      </c>
      <c r="Y75" s="6"/>
      <c r="Z75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5" s="6">
        <f>('TE BE'!$AB$16+'TE BF'!$AB$16+'TE CVA'!$AB$16)*(1-CUSTOS!$M$37)</f>
        <v>114.76529888966962</v>
      </c>
      <c r="AB75" s="6">
        <f t="shared" si="8"/>
        <v>0</v>
      </c>
      <c r="AC75" s="6">
        <f>(L75-M75)*(W75+X75)+($W$64+$X$64-$W$75-$X$75)*(L75)</f>
        <v>-7.2606098910910076E-13</v>
      </c>
      <c r="AD75" s="6">
        <f t="shared" si="9"/>
        <v>0</v>
      </c>
      <c r="AE75" s="6">
        <f ca="1">(L75-M75)*(Z75+AA75)+($Z$64+$AA$64-$Z$75-$AA$75)*(L75)</f>
        <v>0</v>
      </c>
      <c r="AF75" s="4" t="s">
        <v>645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32</v>
      </c>
      <c r="F76" s="4" t="s">
        <v>25</v>
      </c>
      <c r="G76" s="4" t="s">
        <v>25</v>
      </c>
      <c r="H76" s="4" t="s">
        <v>25</v>
      </c>
      <c r="I76" s="5">
        <v>44743</v>
      </c>
      <c r="J76" s="6">
        <v>0</v>
      </c>
      <c r="K76" s="6">
        <v>0</v>
      </c>
      <c r="L76" s="6">
        <v>24.925999999999998</v>
      </c>
      <c r="M76" s="6">
        <v>24.925999999999998</v>
      </c>
      <c r="N76" s="6">
        <v>24.925999999999998</v>
      </c>
      <c r="O76" s="6">
        <v>24.925999999999998</v>
      </c>
      <c r="P76" s="6">
        <v>241</v>
      </c>
      <c r="Q76" s="4" t="s">
        <v>26</v>
      </c>
      <c r="R76" s="4">
        <v>0</v>
      </c>
      <c r="S76" s="4">
        <v>0</v>
      </c>
      <c r="T76" s="4">
        <v>19</v>
      </c>
      <c r="U76" s="4">
        <v>57</v>
      </c>
      <c r="V76" s="6">
        <f>IF(ISERROR(VLOOKUP($S$76,'TAR FIN'!$A$1:$O$91,15,0)),0,VLOOKUP($S$76,'TAR FIN'!$A$1:$O$91,15,0))</f>
        <v>0</v>
      </c>
      <c r="W76" s="6">
        <f>IF(ISERROR(VLOOKUP($T$76,'TAR FIN'!$A$1:$O$91,15,0)),0,VLOOKUP($T$76,'TAR FIN'!$A$1:$O$91,15,0))</f>
        <v>172.93</v>
      </c>
      <c r="X76" s="6">
        <f>IF(ISERROR(VLOOKUP($U$76,'TAR FIN'!$A$1:$O$91,15,0)),0,VLOOKUP($U$76,'TAR FIN'!$A$1:$O$91,15,0))</f>
        <v>133.97</v>
      </c>
      <c r="Y76" s="6"/>
      <c r="Z76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6" s="6">
        <f>('TE BE'!$AB$16+'TE BF'!$AB$16+'TE CVA'!$AB$16)*(1-CUSTOS!$M$37)</f>
        <v>114.76529888966962</v>
      </c>
      <c r="AB76" s="6">
        <f t="shared" si="8"/>
        <v>0</v>
      </c>
      <c r="AC76" s="6">
        <f>(L76-M76)*(W76+X76)+($W$64+$X$64-$W$76-$X$76)*(L76)</f>
        <v>-7.0843952926225024E-13</v>
      </c>
      <c r="AD76" s="6">
        <f t="shared" si="9"/>
        <v>0</v>
      </c>
      <c r="AE76" s="6">
        <f ca="1">(L76-M76)*(Z76+AA76)+($Z$64+$AA$64-$Z$76-$AA$76)*(L76)</f>
        <v>0</v>
      </c>
      <c r="AF76" s="4" t="s">
        <v>645</v>
      </c>
    </row>
    <row r="77" spans="1:32" ht="11.25" customHeight="1" x14ac:dyDescent="0.25">
      <c r="A77" s="4" t="s">
        <v>57</v>
      </c>
      <c r="B77" s="4" t="s">
        <v>22</v>
      </c>
      <c r="C77" s="4" t="s">
        <v>23</v>
      </c>
      <c r="D77" s="4" t="s">
        <v>24</v>
      </c>
      <c r="E77" s="4" t="s">
        <v>32</v>
      </c>
      <c r="F77" s="4" t="s">
        <v>25</v>
      </c>
      <c r="G77" s="4" t="s">
        <v>25</v>
      </c>
      <c r="H77" s="4" t="s">
        <v>25</v>
      </c>
      <c r="I77" s="5">
        <v>44774</v>
      </c>
      <c r="J77" s="6">
        <v>0</v>
      </c>
      <c r="K77" s="6">
        <v>0</v>
      </c>
      <c r="L77" s="6">
        <v>24.925999999999998</v>
      </c>
      <c r="M77" s="6">
        <v>24.925999999999998</v>
      </c>
      <c r="N77" s="6">
        <v>24.925999999999998</v>
      </c>
      <c r="O77" s="6">
        <v>24.925999999999998</v>
      </c>
      <c r="P77" s="6">
        <v>241</v>
      </c>
      <c r="Q77" s="4" t="s">
        <v>26</v>
      </c>
      <c r="R77" s="4">
        <v>0</v>
      </c>
      <c r="S77" s="4">
        <v>0</v>
      </c>
      <c r="T77" s="4">
        <v>19</v>
      </c>
      <c r="U77" s="4">
        <v>57</v>
      </c>
      <c r="V77" s="6">
        <f>IF(ISERROR(VLOOKUP($S$77,'TAR FIN'!$A$1:$O$91,15,0)),0,VLOOKUP($S$77,'TAR FIN'!$A$1:$O$91,15,0))</f>
        <v>0</v>
      </c>
      <c r="W77" s="6">
        <f>IF(ISERROR(VLOOKUP($T$77,'TAR FIN'!$A$1:$O$91,15,0)),0,VLOOKUP($T$77,'TAR FIN'!$A$1:$O$91,15,0))</f>
        <v>172.93</v>
      </c>
      <c r="X77" s="6">
        <f>IF(ISERROR(VLOOKUP($U$77,'TAR FIN'!$A$1:$O$91,15,0)),0,VLOOKUP($U$77,'TAR FIN'!$A$1:$O$91,15,0))</f>
        <v>133.97</v>
      </c>
      <c r="Y77" s="6"/>
      <c r="Z77" s="6">
        <f ca="1">('TUSD BE'!$AM$28+'TUSD BF'!$AM$28+'TUSD CVA'!$AM$28-('TUSD BE'!$P$28+'TUSD BF'!$P$28+'TUSD CVA'!$P$28)-('TUSD BE'!$Q$28+'TUSD BF'!$Q$28+'TUSD CVA'!$Q$28)-('TUSD BE'!$R$28+'TUSD BF'!$R$28+'TUSD CVA'!$R$28))*(1-CUSTOS!$M$37)</f>
        <v>207.71518675201645</v>
      </c>
      <c r="AA77" s="6">
        <f>('TE BE'!$AB$16+'TE BF'!$AB$16+'TE CVA'!$AB$16)*(1-CUSTOS!$M$37)</f>
        <v>114.76529888966962</v>
      </c>
      <c r="AB77" s="6">
        <f t="shared" si="8"/>
        <v>0</v>
      </c>
      <c r="AC77" s="6">
        <f>(L77-M77)*(W77+X77)+($W$64+$X$64-$W$77-$X$77)*(L77)</f>
        <v>-7.0843952926225024E-13</v>
      </c>
      <c r="AD77" s="6">
        <f t="shared" si="9"/>
        <v>0</v>
      </c>
      <c r="AE77" s="6">
        <f ca="1">(L77-M77)*(Z77+AA77)+($Z$64+$AA$64-$Z$77-$AA$77)*(L77)</f>
        <v>0</v>
      </c>
      <c r="AF77" s="4" t="s">
        <v>645</v>
      </c>
    </row>
    <row r="78" spans="1:32" ht="11.25" customHeight="1" x14ac:dyDescent="0.25">
      <c r="A78" s="4" t="s">
        <v>21</v>
      </c>
      <c r="B78" s="4" t="s">
        <v>42</v>
      </c>
      <c r="C78" s="4" t="s">
        <v>23</v>
      </c>
      <c r="D78" s="4" t="s">
        <v>43</v>
      </c>
      <c r="E78" s="4" t="s">
        <v>51</v>
      </c>
      <c r="F78" s="4" t="s">
        <v>52</v>
      </c>
      <c r="G78" s="4" t="s">
        <v>25</v>
      </c>
      <c r="H78" s="4" t="s">
        <v>25</v>
      </c>
      <c r="I78" s="5">
        <v>44440</v>
      </c>
      <c r="J78" s="6">
        <v>0</v>
      </c>
      <c r="K78" s="6">
        <v>0</v>
      </c>
      <c r="L78" s="6">
        <v>218.55099999999999</v>
      </c>
      <c r="M78" s="6">
        <v>218.55099999999999</v>
      </c>
      <c r="N78" s="6">
        <v>218.55099999999999</v>
      </c>
      <c r="O78" s="6">
        <v>218.55099999999999</v>
      </c>
      <c r="P78" s="6">
        <v>0</v>
      </c>
      <c r="Q78" s="4" t="s">
        <v>26</v>
      </c>
      <c r="R78" s="4">
        <v>0</v>
      </c>
      <c r="S78" s="4">
        <v>0</v>
      </c>
      <c r="T78" s="4">
        <v>30</v>
      </c>
      <c r="U78" s="4">
        <v>74</v>
      </c>
      <c r="V78" s="6">
        <f>IF(ISERROR(VLOOKUP($S$78,'TAR FIN'!$A$1:$O$91,15,0)),0,VLOOKUP($S$78,'TAR FIN'!$A$1:$O$91,15,0))</f>
        <v>0</v>
      </c>
      <c r="W78" s="6">
        <f>IF(ISERROR(VLOOKUP($T$78,'TAR FIN'!$A$1:$O$91,15,0)),0,VLOOKUP($T$78,'TAR FIN'!$A$1:$O$91,15,0))</f>
        <v>236.77</v>
      </c>
      <c r="X78" s="6">
        <f>IF(ISERROR(VLOOKUP($U$78,'TAR FIN'!$A$1:$O$91,15,0)),0,VLOOKUP($U$78,'TAR FIN'!$A$1:$O$91,15,0))</f>
        <v>117.89</v>
      </c>
      <c r="Y78" s="6"/>
      <c r="Z78" s="6">
        <f ca="1">('TUSD BE'!$AM$37+'TUSD BF'!$AM$37+'TUSD CVA'!$AM$37)*(1-CUSTOS!$M$38)</f>
        <v>323.18581193481282</v>
      </c>
      <c r="AA78" s="6">
        <f>('TE BE'!$AB$25+'TE BF'!$AB$25+'TE CVA'!$AB$25)*(1-CUSTOS!$M$38)</f>
        <v>107.87938095628944</v>
      </c>
      <c r="AB78" s="6">
        <f t="shared" si="8"/>
        <v>0</v>
      </c>
      <c r="AC78" s="6">
        <f>(L78-M78)*(W78+X78)+($W$26+$X$26-$W$78-$X$78)*(L78)</f>
        <v>10571.31186999999</v>
      </c>
      <c r="AD78" s="6">
        <f t="shared" si="9"/>
        <v>0</v>
      </c>
      <c r="AE78" s="6">
        <f ca="1">(L78-M78)*(Z78+AA78)+($Z$26+$AA$26-$Z$78-$AA$78)*(L78)</f>
        <v>6013.3869556304317</v>
      </c>
      <c r="AF78" s="4" t="s">
        <v>646</v>
      </c>
    </row>
    <row r="79" spans="1:32" ht="11.25" customHeight="1" x14ac:dyDescent="0.25">
      <c r="A79" s="4" t="s">
        <v>21</v>
      </c>
      <c r="B79" s="4" t="s">
        <v>42</v>
      </c>
      <c r="C79" s="4" t="s">
        <v>23</v>
      </c>
      <c r="D79" s="4" t="s">
        <v>43</v>
      </c>
      <c r="E79" s="4" t="s">
        <v>51</v>
      </c>
      <c r="F79" s="4" t="s">
        <v>52</v>
      </c>
      <c r="G79" s="4" t="s">
        <v>25</v>
      </c>
      <c r="H79" s="4" t="s">
        <v>25</v>
      </c>
      <c r="I79" s="5">
        <v>44470</v>
      </c>
      <c r="J79" s="6">
        <v>0</v>
      </c>
      <c r="K79" s="6">
        <v>0</v>
      </c>
      <c r="L79" s="6">
        <v>139.84200000000001</v>
      </c>
      <c r="M79" s="6">
        <v>139.84200000000001</v>
      </c>
      <c r="N79" s="6">
        <v>139.84200000000001</v>
      </c>
      <c r="O79" s="6">
        <v>139.84200000000001</v>
      </c>
      <c r="P79" s="6">
        <v>0</v>
      </c>
      <c r="Q79" s="4" t="s">
        <v>26</v>
      </c>
      <c r="R79" s="4">
        <v>0</v>
      </c>
      <c r="S79" s="4">
        <v>0</v>
      </c>
      <c r="T79" s="4">
        <v>30</v>
      </c>
      <c r="U79" s="4">
        <v>74</v>
      </c>
      <c r="V79" s="6">
        <f>IF(ISERROR(VLOOKUP($S$79,'TAR FIN'!$A$1:$O$91,15,0)),0,VLOOKUP($S$79,'TAR FIN'!$A$1:$O$91,15,0))</f>
        <v>0</v>
      </c>
      <c r="W79" s="6">
        <f>IF(ISERROR(VLOOKUP($T$79,'TAR FIN'!$A$1:$O$91,15,0)),0,VLOOKUP($T$79,'TAR FIN'!$A$1:$O$91,15,0))</f>
        <v>236.77</v>
      </c>
      <c r="X79" s="6">
        <f>IF(ISERROR(VLOOKUP($U$79,'TAR FIN'!$A$1:$O$91,15,0)),0,VLOOKUP($U$79,'TAR FIN'!$A$1:$O$91,15,0))</f>
        <v>117.89</v>
      </c>
      <c r="Y79" s="6"/>
      <c r="Z79" s="6">
        <f ca="1">('TUSD BE'!$AM$37+'TUSD BF'!$AM$37+'TUSD CVA'!$AM$37)*(1-CUSTOS!$M$38)</f>
        <v>323.18581193481282</v>
      </c>
      <c r="AA79" s="6">
        <f>('TE BE'!$AB$25+'TE BF'!$AB$25+'TE CVA'!$AB$25)*(1-CUSTOS!$M$38)</f>
        <v>107.87938095628944</v>
      </c>
      <c r="AB79" s="6">
        <f t="shared" si="8"/>
        <v>0</v>
      </c>
      <c r="AC79" s="6">
        <f>(L79-M79)*(W79+X79)+($W$26+$X$26-$W$79-$X$79)*(L79)</f>
        <v>6764.1575399999956</v>
      </c>
      <c r="AD79" s="6">
        <f t="shared" si="9"/>
        <v>0</v>
      </c>
      <c r="AE79" s="6">
        <f ca="1">(L79-M79)*(Z79+AA79)+($Z$26+$AA$26-$Z$79-$AA$79)*(L79)</f>
        <v>3847.7245981453798</v>
      </c>
      <c r="AF79" s="4" t="s">
        <v>646</v>
      </c>
    </row>
    <row r="80" spans="1:32" ht="11.25" customHeight="1" x14ac:dyDescent="0.25">
      <c r="A80" s="4" t="s">
        <v>21</v>
      </c>
      <c r="B80" s="4" t="s">
        <v>42</v>
      </c>
      <c r="C80" s="4" t="s">
        <v>23</v>
      </c>
      <c r="D80" s="4" t="s">
        <v>43</v>
      </c>
      <c r="E80" s="4" t="s">
        <v>51</v>
      </c>
      <c r="F80" s="4" t="s">
        <v>52</v>
      </c>
      <c r="G80" s="4" t="s">
        <v>25</v>
      </c>
      <c r="H80" s="4" t="s">
        <v>25</v>
      </c>
      <c r="I80" s="5">
        <v>44501</v>
      </c>
      <c r="J80" s="6">
        <v>0</v>
      </c>
      <c r="K80" s="6">
        <v>0</v>
      </c>
      <c r="L80" s="6">
        <v>171.75</v>
      </c>
      <c r="M80" s="6">
        <v>171.75</v>
      </c>
      <c r="N80" s="6">
        <v>171.75</v>
      </c>
      <c r="O80" s="6">
        <v>171.75</v>
      </c>
      <c r="P80" s="6">
        <v>0</v>
      </c>
      <c r="Q80" s="4" t="s">
        <v>26</v>
      </c>
      <c r="R80" s="4">
        <v>0</v>
      </c>
      <c r="S80" s="4">
        <v>0</v>
      </c>
      <c r="T80" s="4">
        <v>30</v>
      </c>
      <c r="U80" s="4">
        <v>74</v>
      </c>
      <c r="V80" s="6">
        <f>IF(ISERROR(VLOOKUP($S$80,'TAR FIN'!$A$1:$O$91,15,0)),0,VLOOKUP($S$80,'TAR FIN'!$A$1:$O$91,15,0))</f>
        <v>0</v>
      </c>
      <c r="W80" s="6">
        <f>IF(ISERROR(VLOOKUP($T$80,'TAR FIN'!$A$1:$O$91,15,0)),0,VLOOKUP($T$80,'TAR FIN'!$A$1:$O$91,15,0))</f>
        <v>236.77</v>
      </c>
      <c r="X80" s="6">
        <f>IF(ISERROR(VLOOKUP($U$80,'TAR FIN'!$A$1:$O$91,15,0)),0,VLOOKUP($U$80,'TAR FIN'!$A$1:$O$91,15,0))</f>
        <v>117.89</v>
      </c>
      <c r="Y80" s="6"/>
      <c r="Z80" s="6">
        <f ca="1">('TUSD BE'!$AM$37+'TUSD BF'!$AM$37+'TUSD CVA'!$AM$37)*(1-CUSTOS!$M$38)</f>
        <v>323.18581193481282</v>
      </c>
      <c r="AA80" s="6">
        <f>('TE BE'!$AB$25+'TE BF'!$AB$25+'TE CVA'!$AB$25)*(1-CUSTOS!$M$38)</f>
        <v>107.87938095628944</v>
      </c>
      <c r="AB80" s="6">
        <f t="shared" si="8"/>
        <v>0</v>
      </c>
      <c r="AC80" s="6">
        <f>(L80-M80)*(W80+X80)+($W$26+$X$26-$W$80-$X$80)*(L80)</f>
        <v>8307.5474999999933</v>
      </c>
      <c r="AD80" s="6">
        <f t="shared" si="9"/>
        <v>0</v>
      </c>
      <c r="AE80" s="6">
        <f ca="1">(L80-M80)*(Z80+AA80)+($Z$26+$AA$26-$Z$80-$AA$80)*(L80)</f>
        <v>4725.6668220668244</v>
      </c>
      <c r="AF80" s="4" t="s">
        <v>646</v>
      </c>
    </row>
    <row r="81" spans="1:32" ht="11.25" customHeight="1" x14ac:dyDescent="0.25">
      <c r="A81" s="4" t="s">
        <v>21</v>
      </c>
      <c r="B81" s="4" t="s">
        <v>42</v>
      </c>
      <c r="C81" s="4" t="s">
        <v>23</v>
      </c>
      <c r="D81" s="4" t="s">
        <v>43</v>
      </c>
      <c r="E81" s="4" t="s">
        <v>51</v>
      </c>
      <c r="F81" s="4" t="s">
        <v>52</v>
      </c>
      <c r="G81" s="4" t="s">
        <v>25</v>
      </c>
      <c r="H81" s="4" t="s">
        <v>25</v>
      </c>
      <c r="I81" s="5">
        <v>44531</v>
      </c>
      <c r="J81" s="6">
        <v>0</v>
      </c>
      <c r="K81" s="6">
        <v>0</v>
      </c>
      <c r="L81" s="6">
        <v>163.185</v>
      </c>
      <c r="M81" s="6">
        <v>163.185</v>
      </c>
      <c r="N81" s="6">
        <v>163.185</v>
      </c>
      <c r="O81" s="6">
        <v>163.185</v>
      </c>
      <c r="P81" s="6">
        <v>0</v>
      </c>
      <c r="Q81" s="4" t="s">
        <v>26</v>
      </c>
      <c r="R81" s="4">
        <v>0</v>
      </c>
      <c r="S81" s="4">
        <v>0</v>
      </c>
      <c r="T81" s="4">
        <v>30</v>
      </c>
      <c r="U81" s="4">
        <v>74</v>
      </c>
      <c r="V81" s="6">
        <f>IF(ISERROR(VLOOKUP($S$81,'TAR FIN'!$A$1:$O$91,15,0)),0,VLOOKUP($S$81,'TAR FIN'!$A$1:$O$91,15,0))</f>
        <v>0</v>
      </c>
      <c r="W81" s="6">
        <f>IF(ISERROR(VLOOKUP($T$81,'TAR FIN'!$A$1:$O$91,15,0)),0,VLOOKUP($T$81,'TAR FIN'!$A$1:$O$91,15,0))</f>
        <v>236.77</v>
      </c>
      <c r="X81" s="6">
        <f>IF(ISERROR(VLOOKUP($U$81,'TAR FIN'!$A$1:$O$91,15,0)),0,VLOOKUP($U$81,'TAR FIN'!$A$1:$O$91,15,0))</f>
        <v>117.89</v>
      </c>
      <c r="Y81" s="6"/>
      <c r="Z81" s="6">
        <f ca="1">('TUSD BE'!$AM$37+'TUSD BF'!$AM$37+'TUSD CVA'!$AM$37)*(1-CUSTOS!$M$38)</f>
        <v>323.18581193481282</v>
      </c>
      <c r="AA81" s="6">
        <f>('TE BE'!$AB$25+'TE BF'!$AB$25+'TE CVA'!$AB$25)*(1-CUSTOS!$M$38)</f>
        <v>107.87938095628944</v>
      </c>
      <c r="AB81" s="6">
        <f t="shared" si="8"/>
        <v>0</v>
      </c>
      <c r="AC81" s="6">
        <f>(L81-M81)*(W81+X81)+($W$26+$X$26-$W$81-$X$81)*(L81)</f>
        <v>7893.2584499999939</v>
      </c>
      <c r="AD81" s="6">
        <f t="shared" si="9"/>
        <v>0</v>
      </c>
      <c r="AE81" s="6">
        <f ca="1">(L81-M81)*(Z81+AA81)+($Z$26+$AA$26-$Z$81-$AA$81)*(L81)</f>
        <v>4490.0025639532741</v>
      </c>
      <c r="AF81" s="4" t="s">
        <v>646</v>
      </c>
    </row>
    <row r="82" spans="1:32" ht="11.25" customHeight="1" x14ac:dyDescent="0.25">
      <c r="A82" s="4" t="s">
        <v>21</v>
      </c>
      <c r="B82" s="4" t="s">
        <v>42</v>
      </c>
      <c r="C82" s="4" t="s">
        <v>23</v>
      </c>
      <c r="D82" s="4" t="s">
        <v>43</v>
      </c>
      <c r="E82" s="4" t="s">
        <v>51</v>
      </c>
      <c r="F82" s="4" t="s">
        <v>52</v>
      </c>
      <c r="G82" s="4" t="s">
        <v>25</v>
      </c>
      <c r="H82" s="4" t="s">
        <v>25</v>
      </c>
      <c r="I82" s="5">
        <v>44562</v>
      </c>
      <c r="J82" s="6">
        <v>0</v>
      </c>
      <c r="K82" s="6">
        <v>0</v>
      </c>
      <c r="L82" s="6">
        <v>200.428</v>
      </c>
      <c r="M82" s="6">
        <v>200.428</v>
      </c>
      <c r="N82" s="6">
        <v>200.428</v>
      </c>
      <c r="O82" s="6">
        <v>200.428</v>
      </c>
      <c r="P82" s="6">
        <v>0</v>
      </c>
      <c r="Q82" s="4" t="s">
        <v>26</v>
      </c>
      <c r="R82" s="4">
        <v>0</v>
      </c>
      <c r="S82" s="4">
        <v>0</v>
      </c>
      <c r="T82" s="4">
        <v>30</v>
      </c>
      <c r="U82" s="4">
        <v>74</v>
      </c>
      <c r="V82" s="6">
        <f>IF(ISERROR(VLOOKUP($S$82,'TAR FIN'!$A$1:$O$91,15,0)),0,VLOOKUP($S$82,'TAR FIN'!$A$1:$O$91,15,0))</f>
        <v>0</v>
      </c>
      <c r="W82" s="6">
        <f>IF(ISERROR(VLOOKUP($T$82,'TAR FIN'!$A$1:$O$91,15,0)),0,VLOOKUP($T$82,'TAR FIN'!$A$1:$O$91,15,0))</f>
        <v>236.77</v>
      </c>
      <c r="X82" s="6">
        <f>IF(ISERROR(VLOOKUP($U$82,'TAR FIN'!$A$1:$O$91,15,0)),0,VLOOKUP($U$82,'TAR FIN'!$A$1:$O$91,15,0))</f>
        <v>117.89</v>
      </c>
      <c r="Y82" s="6"/>
      <c r="Z82" s="6">
        <f ca="1">('TUSD BE'!$AM$37+'TUSD BF'!$AM$37+'TUSD CVA'!$AM$37)*(1-CUSTOS!$M$38)</f>
        <v>323.18581193481282</v>
      </c>
      <c r="AA82" s="6">
        <f>('TE BE'!$AB$25+'TE BF'!$AB$25+'TE CVA'!$AB$25)*(1-CUSTOS!$M$38)</f>
        <v>107.87938095628944</v>
      </c>
      <c r="AB82" s="6">
        <f t="shared" si="8"/>
        <v>0</v>
      </c>
      <c r="AC82" s="6">
        <f>(L82-M82)*(W82+X82)+($W$26+$X$26-$W$82-$X$82)*(L82)</f>
        <v>9694.702359999992</v>
      </c>
      <c r="AD82" s="6">
        <f t="shared" si="9"/>
        <v>0</v>
      </c>
      <c r="AE82" s="6">
        <f ca="1">(L82-M82)*(Z82+AA82)+($Z$26+$AA$26-$Z$82-$AA$82)*(L82)</f>
        <v>5514.7362434539127</v>
      </c>
      <c r="AF82" s="4" t="s">
        <v>646</v>
      </c>
    </row>
    <row r="83" spans="1:32" ht="11.25" customHeight="1" x14ac:dyDescent="0.25">
      <c r="A83" s="4" t="s">
        <v>21</v>
      </c>
      <c r="B83" s="4" t="s">
        <v>42</v>
      </c>
      <c r="C83" s="4" t="s">
        <v>23</v>
      </c>
      <c r="D83" s="4" t="s">
        <v>43</v>
      </c>
      <c r="E83" s="4" t="s">
        <v>51</v>
      </c>
      <c r="F83" s="4" t="s">
        <v>52</v>
      </c>
      <c r="G83" s="4" t="s">
        <v>25</v>
      </c>
      <c r="H83" s="4" t="s">
        <v>25</v>
      </c>
      <c r="I83" s="5">
        <v>44593</v>
      </c>
      <c r="J83" s="6">
        <v>0</v>
      </c>
      <c r="K83" s="6">
        <v>0</v>
      </c>
      <c r="L83" s="6">
        <v>50.792999999999999</v>
      </c>
      <c r="M83" s="6">
        <v>50.792999999999999</v>
      </c>
      <c r="N83" s="6">
        <v>50.792999999999999</v>
      </c>
      <c r="O83" s="6">
        <v>50.792999999999999</v>
      </c>
      <c r="P83" s="6">
        <v>0</v>
      </c>
      <c r="Q83" s="4" t="s">
        <v>26</v>
      </c>
      <c r="R83" s="4">
        <v>0</v>
      </c>
      <c r="S83" s="4">
        <v>0</v>
      </c>
      <c r="T83" s="4">
        <v>30</v>
      </c>
      <c r="U83" s="4">
        <v>74</v>
      </c>
      <c r="V83" s="6">
        <f>IF(ISERROR(VLOOKUP($S$83,'TAR FIN'!$A$1:$O$91,15,0)),0,VLOOKUP($S$83,'TAR FIN'!$A$1:$O$91,15,0))</f>
        <v>0</v>
      </c>
      <c r="W83" s="6">
        <f>IF(ISERROR(VLOOKUP($T$83,'TAR FIN'!$A$1:$O$91,15,0)),0,VLOOKUP($T$83,'TAR FIN'!$A$1:$O$91,15,0))</f>
        <v>236.77</v>
      </c>
      <c r="X83" s="6">
        <f>IF(ISERROR(VLOOKUP($U$83,'TAR FIN'!$A$1:$O$91,15,0)),0,VLOOKUP($U$83,'TAR FIN'!$A$1:$O$91,15,0))</f>
        <v>117.89</v>
      </c>
      <c r="Y83" s="6"/>
      <c r="Z83" s="6">
        <f ca="1">('TUSD BE'!$AM$37+'TUSD BF'!$AM$37+'TUSD CVA'!$AM$37)*(1-CUSTOS!$M$38)</f>
        <v>323.18581193481282</v>
      </c>
      <c r="AA83" s="6">
        <f>('TE BE'!$AB$25+'TE BF'!$AB$25+'TE CVA'!$AB$25)*(1-CUSTOS!$M$38)</f>
        <v>107.87938095628944</v>
      </c>
      <c r="AB83" s="6">
        <f t="shared" si="8"/>
        <v>0</v>
      </c>
      <c r="AC83" s="6">
        <f>(L83-M83)*(W83+X83)+($W$26+$X$26-$W$83-$X$83)*(L83)</f>
        <v>2456.8574099999983</v>
      </c>
      <c r="AD83" s="6">
        <f t="shared" si="9"/>
        <v>0</v>
      </c>
      <c r="AE83" s="6">
        <f ca="1">(L83-M83)*(Z83+AA83)+($Z$26+$AA$26-$Z$83-$AA$83)*(L83)</f>
        <v>1397.5592133521993</v>
      </c>
      <c r="AF83" s="4" t="s">
        <v>646</v>
      </c>
    </row>
    <row r="84" spans="1:32" ht="11.25" customHeight="1" x14ac:dyDescent="0.25">
      <c r="A84" s="4" t="s">
        <v>28</v>
      </c>
      <c r="B84" s="4" t="s">
        <v>42</v>
      </c>
      <c r="C84" s="4" t="s">
        <v>23</v>
      </c>
      <c r="D84" s="4" t="s">
        <v>43</v>
      </c>
      <c r="E84" s="4" t="s">
        <v>51</v>
      </c>
      <c r="F84" s="4" t="s">
        <v>52</v>
      </c>
      <c r="G84" s="4" t="s">
        <v>25</v>
      </c>
      <c r="H84" s="4" t="s">
        <v>25</v>
      </c>
      <c r="I84" s="5">
        <v>44593</v>
      </c>
      <c r="J84" s="6">
        <v>0</v>
      </c>
      <c r="K84" s="6">
        <v>0</v>
      </c>
      <c r="L84" s="6">
        <v>0.1</v>
      </c>
      <c r="M84" s="6">
        <v>0.1</v>
      </c>
      <c r="N84" s="6">
        <v>0.1</v>
      </c>
      <c r="O84" s="6">
        <v>0.1</v>
      </c>
      <c r="P84" s="6">
        <v>0</v>
      </c>
      <c r="Q84" s="4" t="s">
        <v>26</v>
      </c>
      <c r="R84" s="4">
        <v>0</v>
      </c>
      <c r="S84" s="4">
        <v>0</v>
      </c>
      <c r="T84" s="4">
        <v>30</v>
      </c>
      <c r="U84" s="4">
        <v>74</v>
      </c>
      <c r="V84" s="6">
        <f>IF(ISERROR(VLOOKUP($S$84,'TAR FIN'!$A$1:$O$91,15,0)),0,VLOOKUP($S$84,'TAR FIN'!$A$1:$O$91,15,0))</f>
        <v>0</v>
      </c>
      <c r="W84" s="6">
        <f>IF(ISERROR(VLOOKUP($T$84,'TAR FIN'!$A$1:$O$91,15,0)),0,VLOOKUP($T$84,'TAR FIN'!$A$1:$O$91,15,0))</f>
        <v>236.77</v>
      </c>
      <c r="X84" s="6">
        <f>IF(ISERROR(VLOOKUP($U$84,'TAR FIN'!$A$1:$O$91,15,0)),0,VLOOKUP($U$84,'TAR FIN'!$A$1:$O$91,15,0))</f>
        <v>117.89</v>
      </c>
      <c r="Y84" s="6"/>
      <c r="Z84" s="6">
        <f ca="1">('TUSD BE'!$AM$37+'TUSD BF'!$AM$37+'TUSD CVA'!$AM$37)*(1-CUSTOS!$M$38)</f>
        <v>323.18581193481282</v>
      </c>
      <c r="AA84" s="6">
        <f>('TE BE'!$AB$25+'TE BF'!$AB$25+'TE CVA'!$AB$25)*(1-CUSTOS!$M$38)</f>
        <v>107.87938095628944</v>
      </c>
      <c r="AB84" s="6">
        <f t="shared" si="8"/>
        <v>0</v>
      </c>
      <c r="AC84" s="6">
        <f>(L84-M84)*(W84+X84)+($W$26+$X$26-$W$84-$X$84)*(L84)</f>
        <v>4.8369999999999962</v>
      </c>
      <c r="AD84" s="6">
        <f t="shared" si="9"/>
        <v>0</v>
      </c>
      <c r="AE84" s="6">
        <f ca="1">(L84-M84)*(Z84+AA84)+($Z$26+$AA$26-$Z$84-$AA$84)*(L84)</f>
        <v>2.7514799546240614</v>
      </c>
      <c r="AF84" s="4" t="s">
        <v>646</v>
      </c>
    </row>
    <row r="85" spans="1:32" ht="11.25" customHeight="1" x14ac:dyDescent="0.25">
      <c r="A85" s="4" t="s">
        <v>21</v>
      </c>
      <c r="B85" s="4" t="s">
        <v>42</v>
      </c>
      <c r="C85" s="4" t="s">
        <v>23</v>
      </c>
      <c r="D85" s="4" t="s">
        <v>43</v>
      </c>
      <c r="E85" s="4" t="s">
        <v>51</v>
      </c>
      <c r="F85" s="4" t="s">
        <v>52</v>
      </c>
      <c r="G85" s="4" t="s">
        <v>25</v>
      </c>
      <c r="H85" s="4" t="s">
        <v>25</v>
      </c>
      <c r="I85" s="5">
        <v>44621</v>
      </c>
      <c r="J85" s="6">
        <v>0</v>
      </c>
      <c r="K85" s="6">
        <v>0</v>
      </c>
      <c r="L85" s="6">
        <v>23.201000000000001</v>
      </c>
      <c r="M85" s="6">
        <v>23.201000000000001</v>
      </c>
      <c r="N85" s="6">
        <v>23.201000000000001</v>
      </c>
      <c r="O85" s="6">
        <v>23.201000000000001</v>
      </c>
      <c r="P85" s="6">
        <v>0</v>
      </c>
      <c r="Q85" s="4" t="s">
        <v>26</v>
      </c>
      <c r="R85" s="4">
        <v>0</v>
      </c>
      <c r="S85" s="4">
        <v>0</v>
      </c>
      <c r="T85" s="4">
        <v>30</v>
      </c>
      <c r="U85" s="4">
        <v>74</v>
      </c>
      <c r="V85" s="6">
        <f>IF(ISERROR(VLOOKUP($S$85,'TAR FIN'!$A$1:$O$91,15,0)),0,VLOOKUP($S$85,'TAR FIN'!$A$1:$O$91,15,0))</f>
        <v>0</v>
      </c>
      <c r="W85" s="6">
        <f>IF(ISERROR(VLOOKUP($T$85,'TAR FIN'!$A$1:$O$91,15,0)),0,VLOOKUP($T$85,'TAR FIN'!$A$1:$O$91,15,0))</f>
        <v>236.77</v>
      </c>
      <c r="X85" s="6">
        <f>IF(ISERROR(VLOOKUP($U$85,'TAR FIN'!$A$1:$O$91,15,0)),0,VLOOKUP($U$85,'TAR FIN'!$A$1:$O$91,15,0))</f>
        <v>117.89</v>
      </c>
      <c r="Y85" s="6"/>
      <c r="Z85" s="6">
        <f ca="1">('TUSD BE'!$AM$37+'TUSD BF'!$AM$37+'TUSD CVA'!$AM$37)*(1-CUSTOS!$M$38)</f>
        <v>323.18581193481282</v>
      </c>
      <c r="AA85" s="6">
        <f>('TE BE'!$AB$25+'TE BF'!$AB$25+'TE CVA'!$AB$25)*(1-CUSTOS!$M$38)</f>
        <v>107.87938095628944</v>
      </c>
      <c r="AB85" s="6">
        <f t="shared" si="8"/>
        <v>0</v>
      </c>
      <c r="AC85" s="6">
        <f>(L85-M85)*(W85+X85)+($W$26+$X$26-$W$85-$X$85)*(L85)</f>
        <v>1122.232369999999</v>
      </c>
      <c r="AD85" s="6">
        <f t="shared" si="9"/>
        <v>0</v>
      </c>
      <c r="AE85" s="6">
        <f ca="1">(L85-M85)*(Z85+AA85)+($Z$26+$AA$26-$Z$85-$AA$85)*(L85)</f>
        <v>638.37086427232839</v>
      </c>
      <c r="AF85" s="4" t="s">
        <v>646</v>
      </c>
    </row>
    <row r="86" spans="1:32" ht="11.25" customHeight="1" x14ac:dyDescent="0.25">
      <c r="A86" s="4" t="s">
        <v>28</v>
      </c>
      <c r="B86" s="4" t="s">
        <v>42</v>
      </c>
      <c r="C86" s="4" t="s">
        <v>23</v>
      </c>
      <c r="D86" s="4" t="s">
        <v>43</v>
      </c>
      <c r="E86" s="4" t="s">
        <v>51</v>
      </c>
      <c r="F86" s="4" t="s">
        <v>52</v>
      </c>
      <c r="G86" s="4" t="s">
        <v>25</v>
      </c>
      <c r="H86" s="4" t="s">
        <v>25</v>
      </c>
      <c r="I86" s="5">
        <v>44621</v>
      </c>
      <c r="J86" s="6">
        <v>0</v>
      </c>
      <c r="K86" s="6">
        <v>0</v>
      </c>
      <c r="L86" s="6">
        <v>0.1</v>
      </c>
      <c r="M86" s="6">
        <v>0.1</v>
      </c>
      <c r="N86" s="6">
        <v>0.1</v>
      </c>
      <c r="O86" s="6">
        <v>0.1</v>
      </c>
      <c r="P86" s="6">
        <v>0</v>
      </c>
      <c r="Q86" s="4" t="s">
        <v>26</v>
      </c>
      <c r="R86" s="4">
        <v>0</v>
      </c>
      <c r="S86" s="4">
        <v>0</v>
      </c>
      <c r="T86" s="4">
        <v>30</v>
      </c>
      <c r="U86" s="4">
        <v>74</v>
      </c>
      <c r="V86" s="6">
        <f>IF(ISERROR(VLOOKUP($S$86,'TAR FIN'!$A$1:$O$91,15,0)),0,VLOOKUP($S$86,'TAR FIN'!$A$1:$O$91,15,0))</f>
        <v>0</v>
      </c>
      <c r="W86" s="6">
        <f>IF(ISERROR(VLOOKUP($T$86,'TAR FIN'!$A$1:$O$91,15,0)),0,VLOOKUP($T$86,'TAR FIN'!$A$1:$O$91,15,0))</f>
        <v>236.77</v>
      </c>
      <c r="X86" s="6">
        <f>IF(ISERROR(VLOOKUP($U$86,'TAR FIN'!$A$1:$O$91,15,0)),0,VLOOKUP($U$86,'TAR FIN'!$A$1:$O$91,15,0))</f>
        <v>117.89</v>
      </c>
      <c r="Y86" s="6"/>
      <c r="Z86" s="6">
        <f ca="1">('TUSD BE'!$AM$37+'TUSD BF'!$AM$37+'TUSD CVA'!$AM$37)*(1-CUSTOS!$M$38)</f>
        <v>323.18581193481282</v>
      </c>
      <c r="AA86" s="6">
        <f>('TE BE'!$AB$25+'TE BF'!$AB$25+'TE CVA'!$AB$25)*(1-CUSTOS!$M$38)</f>
        <v>107.87938095628944</v>
      </c>
      <c r="AB86" s="6">
        <f t="shared" si="8"/>
        <v>0</v>
      </c>
      <c r="AC86" s="6">
        <f>(L86-M86)*(W86+X86)+($W$26+$X$26-$W$86-$X$86)*(L86)</f>
        <v>4.8369999999999962</v>
      </c>
      <c r="AD86" s="6">
        <f t="shared" si="9"/>
        <v>0</v>
      </c>
      <c r="AE86" s="6">
        <f ca="1">(L86-M86)*(Z86+AA86)+($Z$26+$AA$26-$Z$86-$AA$86)*(L86)</f>
        <v>2.7514799546240614</v>
      </c>
      <c r="AF86" s="4" t="s">
        <v>646</v>
      </c>
    </row>
    <row r="87" spans="1:32" ht="11.25" customHeight="1" x14ac:dyDescent="0.25">
      <c r="A87" s="4" t="s">
        <v>21</v>
      </c>
      <c r="B87" s="4" t="s">
        <v>42</v>
      </c>
      <c r="C87" s="4" t="s">
        <v>23</v>
      </c>
      <c r="D87" s="4" t="s">
        <v>43</v>
      </c>
      <c r="E87" s="4" t="s">
        <v>51</v>
      </c>
      <c r="F87" s="4" t="s">
        <v>52</v>
      </c>
      <c r="G87" s="4" t="s">
        <v>25</v>
      </c>
      <c r="H87" s="4" t="s">
        <v>25</v>
      </c>
      <c r="I87" s="5">
        <v>44652</v>
      </c>
      <c r="J87" s="6">
        <v>0</v>
      </c>
      <c r="K87" s="6">
        <v>0</v>
      </c>
      <c r="L87" s="6">
        <v>20.023</v>
      </c>
      <c r="M87" s="6">
        <v>20.023</v>
      </c>
      <c r="N87" s="6">
        <v>20.023</v>
      </c>
      <c r="O87" s="6">
        <v>20.023</v>
      </c>
      <c r="P87" s="6">
        <v>0</v>
      </c>
      <c r="Q87" s="4" t="s">
        <v>26</v>
      </c>
      <c r="R87" s="4">
        <v>0</v>
      </c>
      <c r="S87" s="4">
        <v>0</v>
      </c>
      <c r="T87" s="4">
        <v>30</v>
      </c>
      <c r="U87" s="4">
        <v>74</v>
      </c>
      <c r="V87" s="6">
        <f>IF(ISERROR(VLOOKUP($S$87,'TAR FIN'!$A$1:$O$91,15,0)),0,VLOOKUP($S$87,'TAR FIN'!$A$1:$O$91,15,0))</f>
        <v>0</v>
      </c>
      <c r="W87" s="6">
        <f>IF(ISERROR(VLOOKUP($T$87,'TAR FIN'!$A$1:$O$91,15,0)),0,VLOOKUP($T$87,'TAR FIN'!$A$1:$O$91,15,0))</f>
        <v>236.77</v>
      </c>
      <c r="X87" s="6">
        <f>IF(ISERROR(VLOOKUP($U$87,'TAR FIN'!$A$1:$O$91,15,0)),0,VLOOKUP($U$87,'TAR FIN'!$A$1:$O$91,15,0))</f>
        <v>117.89</v>
      </c>
      <c r="Y87" s="6"/>
      <c r="Z87" s="6">
        <f ca="1">('TUSD BE'!$AM$37+'TUSD BF'!$AM$37+'TUSD CVA'!$AM$37)*(1-CUSTOS!$M$38)</f>
        <v>323.18581193481282</v>
      </c>
      <c r="AA87" s="6">
        <f>('TE BE'!$AB$25+'TE BF'!$AB$25+'TE CVA'!$AB$25)*(1-CUSTOS!$M$38)</f>
        <v>107.87938095628944</v>
      </c>
      <c r="AB87" s="6">
        <f t="shared" si="8"/>
        <v>0</v>
      </c>
      <c r="AC87" s="6">
        <f>(L87-M87)*(W87+X87)+($W$26+$X$26-$W$87-$X$87)*(L87)</f>
        <v>968.51250999999922</v>
      </c>
      <c r="AD87" s="6">
        <f t="shared" si="9"/>
        <v>0</v>
      </c>
      <c r="AE87" s="6">
        <f ca="1">(L87-M87)*(Z87+AA87)+($Z$26+$AA$26-$Z$87-$AA$87)*(L87)</f>
        <v>550.92883131437577</v>
      </c>
      <c r="AF87" s="4" t="s">
        <v>646</v>
      </c>
    </row>
    <row r="88" spans="1:32" ht="11.25" customHeight="1" x14ac:dyDescent="0.25">
      <c r="A88" s="4" t="s">
        <v>21</v>
      </c>
      <c r="B88" s="4" t="s">
        <v>42</v>
      </c>
      <c r="C88" s="4" t="s">
        <v>23</v>
      </c>
      <c r="D88" s="4" t="s">
        <v>43</v>
      </c>
      <c r="E88" s="4" t="s">
        <v>51</v>
      </c>
      <c r="F88" s="4" t="s">
        <v>52</v>
      </c>
      <c r="G88" s="4" t="s">
        <v>25</v>
      </c>
      <c r="H88" s="4" t="s">
        <v>25</v>
      </c>
      <c r="I88" s="5">
        <v>44682</v>
      </c>
      <c r="J88" s="6">
        <v>0</v>
      </c>
      <c r="K88" s="6">
        <v>0</v>
      </c>
      <c r="L88" s="6">
        <v>10.407999999999999</v>
      </c>
      <c r="M88" s="6">
        <v>10.407999999999999</v>
      </c>
      <c r="N88" s="6">
        <v>10.407999999999999</v>
      </c>
      <c r="O88" s="6">
        <v>10.407999999999999</v>
      </c>
      <c r="P88" s="6">
        <v>0</v>
      </c>
      <c r="Q88" s="4" t="s">
        <v>26</v>
      </c>
      <c r="R88" s="4">
        <v>0</v>
      </c>
      <c r="S88" s="4">
        <v>0</v>
      </c>
      <c r="T88" s="4">
        <v>30</v>
      </c>
      <c r="U88" s="4">
        <v>74</v>
      </c>
      <c r="V88" s="6">
        <f>IF(ISERROR(VLOOKUP($S$88,'TAR FIN'!$A$1:$O$91,15,0)),0,VLOOKUP($S$88,'TAR FIN'!$A$1:$O$91,15,0))</f>
        <v>0</v>
      </c>
      <c r="W88" s="6">
        <f>IF(ISERROR(VLOOKUP($T$88,'TAR FIN'!$A$1:$O$91,15,0)),0,VLOOKUP($T$88,'TAR FIN'!$A$1:$O$91,15,0))</f>
        <v>236.77</v>
      </c>
      <c r="X88" s="6">
        <f>IF(ISERROR(VLOOKUP($U$88,'TAR FIN'!$A$1:$O$91,15,0)),0,VLOOKUP($U$88,'TAR FIN'!$A$1:$O$91,15,0))</f>
        <v>117.89</v>
      </c>
      <c r="Y88" s="6"/>
      <c r="Z88" s="6">
        <f ca="1">('TUSD BE'!$AM$37+'TUSD BF'!$AM$37+'TUSD CVA'!$AM$37)*(1-CUSTOS!$M$38)</f>
        <v>323.18581193481282</v>
      </c>
      <c r="AA88" s="6">
        <f>('TE BE'!$AB$25+'TE BF'!$AB$25+'TE CVA'!$AB$25)*(1-CUSTOS!$M$38)</f>
        <v>107.87938095628944</v>
      </c>
      <c r="AB88" s="6">
        <f t="shared" si="8"/>
        <v>0</v>
      </c>
      <c r="AC88" s="6">
        <f>(L88-M88)*(W88+X88)+($W$26+$X$26-$W$88-$X$88)*(L88)</f>
        <v>503.43495999999959</v>
      </c>
      <c r="AD88" s="6">
        <f t="shared" si="9"/>
        <v>0</v>
      </c>
      <c r="AE88" s="6">
        <f ca="1">(L88-M88)*(Z88+AA88)+($Z$26+$AA$26-$Z$88-$AA$88)*(L88)</f>
        <v>286.37403367727228</v>
      </c>
      <c r="AF88" s="4" t="s">
        <v>646</v>
      </c>
    </row>
    <row r="89" spans="1:32" ht="11.25" customHeight="1" x14ac:dyDescent="0.25">
      <c r="A89" s="4" t="s">
        <v>27</v>
      </c>
      <c r="B89" s="4" t="s">
        <v>42</v>
      </c>
      <c r="C89" s="4" t="s">
        <v>23</v>
      </c>
      <c r="D89" s="4" t="s">
        <v>43</v>
      </c>
      <c r="E89" s="4" t="s">
        <v>51</v>
      </c>
      <c r="F89" s="4" t="s">
        <v>52</v>
      </c>
      <c r="G89" s="4" t="s">
        <v>25</v>
      </c>
      <c r="H89" s="4" t="s">
        <v>25</v>
      </c>
      <c r="I89" s="5">
        <v>44682</v>
      </c>
      <c r="J89" s="6">
        <v>0</v>
      </c>
      <c r="K89" s="6">
        <v>0</v>
      </c>
      <c r="L89" s="6">
        <v>-9.6920000000000002</v>
      </c>
      <c r="M89" s="6">
        <v>-9.6920000000000002</v>
      </c>
      <c r="N89" s="6">
        <v>-9.6920000000000002</v>
      </c>
      <c r="O89" s="6">
        <v>-9.6920000000000002</v>
      </c>
      <c r="P89" s="6">
        <v>0</v>
      </c>
      <c r="Q89" s="4" t="s">
        <v>26</v>
      </c>
      <c r="R89" s="4">
        <v>0</v>
      </c>
      <c r="S89" s="4">
        <v>0</v>
      </c>
      <c r="T89" s="4">
        <v>30</v>
      </c>
      <c r="U89" s="4">
        <v>74</v>
      </c>
      <c r="V89" s="6">
        <f>IF(ISERROR(VLOOKUP($S$89,'TAR FIN'!$A$1:$O$91,15,0)),0,VLOOKUP($S$89,'TAR FIN'!$A$1:$O$91,15,0))</f>
        <v>0</v>
      </c>
      <c r="W89" s="6">
        <f>IF(ISERROR(VLOOKUP($T$89,'TAR FIN'!$A$1:$O$91,15,0)),0,VLOOKUP($T$89,'TAR FIN'!$A$1:$O$91,15,0))</f>
        <v>236.77</v>
      </c>
      <c r="X89" s="6">
        <f>IF(ISERROR(VLOOKUP($U$89,'TAR FIN'!$A$1:$O$91,15,0)),0,VLOOKUP($U$89,'TAR FIN'!$A$1:$O$91,15,0))</f>
        <v>117.89</v>
      </c>
      <c r="Y89" s="6"/>
      <c r="Z89" s="6">
        <f ca="1">('TUSD BE'!$AM$37+'TUSD BF'!$AM$37+'TUSD CVA'!$AM$37)*(1-CUSTOS!$M$38)</f>
        <v>323.18581193481282</v>
      </c>
      <c r="AA89" s="6">
        <f>('TE BE'!$AB$25+'TE BF'!$AB$25+'TE CVA'!$AB$25)*(1-CUSTOS!$M$38)</f>
        <v>107.87938095628944</v>
      </c>
      <c r="AB89" s="6">
        <f t="shared" si="8"/>
        <v>0</v>
      </c>
      <c r="AC89" s="6">
        <f>(L89-M89)*(W89+X89)+($W$26+$X$26-$W$89-$X$89)*(L89)</f>
        <v>-468.80203999999964</v>
      </c>
      <c r="AD89" s="6">
        <f t="shared" si="9"/>
        <v>0</v>
      </c>
      <c r="AE89" s="6">
        <f ca="1">(L89-M89)*(Z89+AA89)+($Z$26+$AA$26-$Z$89-$AA$89)*(L89)</f>
        <v>-266.673437202164</v>
      </c>
      <c r="AF89" s="4" t="s">
        <v>646</v>
      </c>
    </row>
    <row r="90" spans="1:32" ht="11.25" customHeight="1" x14ac:dyDescent="0.25">
      <c r="A90" s="4" t="s">
        <v>21</v>
      </c>
      <c r="B90" s="4" t="s">
        <v>42</v>
      </c>
      <c r="C90" s="4" t="s">
        <v>23</v>
      </c>
      <c r="D90" s="4" t="s">
        <v>43</v>
      </c>
      <c r="E90" s="4" t="s">
        <v>51</v>
      </c>
      <c r="F90" s="4" t="s">
        <v>52</v>
      </c>
      <c r="G90" s="4" t="s">
        <v>25</v>
      </c>
      <c r="H90" s="4" t="s">
        <v>25</v>
      </c>
      <c r="I90" s="5">
        <v>44713</v>
      </c>
      <c r="J90" s="6">
        <v>0</v>
      </c>
      <c r="K90" s="6">
        <v>0</v>
      </c>
      <c r="L90" s="6">
        <v>9.1449999999999996</v>
      </c>
      <c r="M90" s="6">
        <v>9.1449999999999996</v>
      </c>
      <c r="N90" s="6">
        <v>9.1449999999999996</v>
      </c>
      <c r="O90" s="6">
        <v>9.1449999999999996</v>
      </c>
      <c r="P90" s="6">
        <v>0</v>
      </c>
      <c r="Q90" s="4" t="s">
        <v>26</v>
      </c>
      <c r="R90" s="4">
        <v>0</v>
      </c>
      <c r="S90" s="4">
        <v>0</v>
      </c>
      <c r="T90" s="4">
        <v>30</v>
      </c>
      <c r="U90" s="4">
        <v>74</v>
      </c>
      <c r="V90" s="6">
        <f>IF(ISERROR(VLOOKUP($S$90,'TAR FIN'!$A$1:$O$91,15,0)),0,VLOOKUP($S$90,'TAR FIN'!$A$1:$O$91,15,0))</f>
        <v>0</v>
      </c>
      <c r="W90" s="6">
        <f>IF(ISERROR(VLOOKUP($T$90,'TAR FIN'!$A$1:$O$91,15,0)),0,VLOOKUP($T$90,'TAR FIN'!$A$1:$O$91,15,0))</f>
        <v>236.77</v>
      </c>
      <c r="X90" s="6">
        <f>IF(ISERROR(VLOOKUP($U$90,'TAR FIN'!$A$1:$O$91,15,0)),0,VLOOKUP($U$90,'TAR FIN'!$A$1:$O$91,15,0))</f>
        <v>117.89</v>
      </c>
      <c r="Y90" s="6"/>
      <c r="Z90" s="6">
        <f ca="1">('TUSD BE'!$AM$37+'TUSD BF'!$AM$37+'TUSD CVA'!$AM$37)*(1-CUSTOS!$M$38)</f>
        <v>323.18581193481282</v>
      </c>
      <c r="AA90" s="6">
        <f>('TE BE'!$AB$25+'TE BF'!$AB$25+'TE CVA'!$AB$25)*(1-CUSTOS!$M$38)</f>
        <v>107.87938095628944</v>
      </c>
      <c r="AB90" s="6">
        <f t="shared" si="8"/>
        <v>0</v>
      </c>
      <c r="AC90" s="6">
        <f>(L90-M90)*(W90+X90)+($W$26+$X$26-$W$90-$X$90)*(L90)</f>
        <v>442.34364999999963</v>
      </c>
      <c r="AD90" s="6">
        <f t="shared" si="9"/>
        <v>0</v>
      </c>
      <c r="AE90" s="6">
        <f ca="1">(L90-M90)*(Z90+AA90)+($Z$26+$AA$26-$Z$90-$AA$90)*(L90)</f>
        <v>251.62284185037038</v>
      </c>
      <c r="AF90" s="4" t="s">
        <v>646</v>
      </c>
    </row>
    <row r="91" spans="1:32" ht="11.25" customHeight="1" x14ac:dyDescent="0.25">
      <c r="A91" s="4" t="s">
        <v>21</v>
      </c>
      <c r="B91" s="4" t="s">
        <v>42</v>
      </c>
      <c r="C91" s="4" t="s">
        <v>23</v>
      </c>
      <c r="D91" s="4" t="s">
        <v>43</v>
      </c>
      <c r="E91" s="4" t="s">
        <v>51</v>
      </c>
      <c r="F91" s="4" t="s">
        <v>52</v>
      </c>
      <c r="G91" s="4" t="s">
        <v>25</v>
      </c>
      <c r="H91" s="4" t="s">
        <v>25</v>
      </c>
      <c r="I91" s="5">
        <v>44743</v>
      </c>
      <c r="J91" s="6">
        <v>0</v>
      </c>
      <c r="K91" s="6">
        <v>0</v>
      </c>
      <c r="L91" s="6">
        <v>13.619</v>
      </c>
      <c r="M91" s="6">
        <v>13.619</v>
      </c>
      <c r="N91" s="6">
        <v>13.619</v>
      </c>
      <c r="O91" s="6">
        <v>13.619</v>
      </c>
      <c r="P91" s="6">
        <v>0</v>
      </c>
      <c r="Q91" s="4" t="s">
        <v>26</v>
      </c>
      <c r="R91" s="4">
        <v>0</v>
      </c>
      <c r="S91" s="4">
        <v>0</v>
      </c>
      <c r="T91" s="4">
        <v>30</v>
      </c>
      <c r="U91" s="4">
        <v>74</v>
      </c>
      <c r="V91" s="6">
        <f>IF(ISERROR(VLOOKUP($S$91,'TAR FIN'!$A$1:$O$91,15,0)),0,VLOOKUP($S$91,'TAR FIN'!$A$1:$O$91,15,0))</f>
        <v>0</v>
      </c>
      <c r="W91" s="6">
        <f>IF(ISERROR(VLOOKUP($T$91,'TAR FIN'!$A$1:$O$91,15,0)),0,VLOOKUP($T$91,'TAR FIN'!$A$1:$O$91,15,0))</f>
        <v>236.77</v>
      </c>
      <c r="X91" s="6">
        <f>IF(ISERROR(VLOOKUP($U$91,'TAR FIN'!$A$1:$O$91,15,0)),0,VLOOKUP($U$91,'TAR FIN'!$A$1:$O$91,15,0))</f>
        <v>117.89</v>
      </c>
      <c r="Y91" s="6"/>
      <c r="Z91" s="6">
        <f ca="1">('TUSD BE'!$AM$37+'TUSD BF'!$AM$37+'TUSD CVA'!$AM$37)*(1-CUSTOS!$M$38)</f>
        <v>323.18581193481282</v>
      </c>
      <c r="AA91" s="6">
        <f>('TE BE'!$AB$25+'TE BF'!$AB$25+'TE CVA'!$AB$25)*(1-CUSTOS!$M$38)</f>
        <v>107.87938095628944</v>
      </c>
      <c r="AB91" s="6">
        <f t="shared" si="8"/>
        <v>0</v>
      </c>
      <c r="AC91" s="6">
        <f>(L91-M91)*(W91+X91)+($W$26+$X$26-$W$91-$X$91)*(L91)</f>
        <v>658.75102999999945</v>
      </c>
      <c r="AD91" s="6">
        <f t="shared" si="9"/>
        <v>0</v>
      </c>
      <c r="AE91" s="6">
        <f ca="1">(L91-M91)*(Z91+AA91)+($Z$26+$AA$26-$Z$91-$AA$91)*(L91)</f>
        <v>374.72405502025089</v>
      </c>
      <c r="AF91" s="4" t="s">
        <v>646</v>
      </c>
    </row>
    <row r="92" spans="1:32" ht="11.25" customHeight="1" x14ac:dyDescent="0.25">
      <c r="A92" s="4" t="s">
        <v>57</v>
      </c>
      <c r="B92" s="4" t="s">
        <v>42</v>
      </c>
      <c r="C92" s="4" t="s">
        <v>23</v>
      </c>
      <c r="D92" s="4" t="s">
        <v>43</v>
      </c>
      <c r="E92" s="4" t="s">
        <v>51</v>
      </c>
      <c r="F92" s="4" t="s">
        <v>52</v>
      </c>
      <c r="G92" s="4" t="s">
        <v>25</v>
      </c>
      <c r="H92" s="4" t="s">
        <v>25</v>
      </c>
      <c r="I92" s="5">
        <v>44774</v>
      </c>
      <c r="J92" s="6">
        <v>0</v>
      </c>
      <c r="K92" s="6">
        <v>0</v>
      </c>
      <c r="L92" s="6">
        <v>13.619</v>
      </c>
      <c r="M92" s="6">
        <v>13.619</v>
      </c>
      <c r="N92" s="6">
        <v>13.619</v>
      </c>
      <c r="O92" s="6">
        <v>13.619</v>
      </c>
      <c r="P92" s="6">
        <v>0</v>
      </c>
      <c r="Q92" s="4" t="s">
        <v>26</v>
      </c>
      <c r="R92" s="4">
        <v>0</v>
      </c>
      <c r="S92" s="4">
        <v>0</v>
      </c>
      <c r="T92" s="4">
        <v>30</v>
      </c>
      <c r="U92" s="4">
        <v>74</v>
      </c>
      <c r="V92" s="6">
        <f>IF(ISERROR(VLOOKUP($S$92,'TAR FIN'!$A$1:$O$91,15,0)),0,VLOOKUP($S$92,'TAR FIN'!$A$1:$O$91,15,0))</f>
        <v>0</v>
      </c>
      <c r="W92" s="6">
        <f>IF(ISERROR(VLOOKUP($T$92,'TAR FIN'!$A$1:$O$91,15,0)),0,VLOOKUP($T$92,'TAR FIN'!$A$1:$O$91,15,0))</f>
        <v>236.77</v>
      </c>
      <c r="X92" s="6">
        <f>IF(ISERROR(VLOOKUP($U$92,'TAR FIN'!$A$1:$O$91,15,0)),0,VLOOKUP($U$92,'TAR FIN'!$A$1:$O$91,15,0))</f>
        <v>117.89</v>
      </c>
      <c r="Y92" s="6"/>
      <c r="Z92" s="6">
        <f ca="1">('TUSD BE'!$AM$37+'TUSD BF'!$AM$37+'TUSD CVA'!$AM$37)*(1-CUSTOS!$M$38)</f>
        <v>323.18581193481282</v>
      </c>
      <c r="AA92" s="6">
        <f>('TE BE'!$AB$25+'TE BF'!$AB$25+'TE CVA'!$AB$25)*(1-CUSTOS!$M$38)</f>
        <v>107.87938095628944</v>
      </c>
      <c r="AB92" s="6">
        <f t="shared" si="8"/>
        <v>0</v>
      </c>
      <c r="AC92" s="6">
        <f>(L92-M92)*(W92+X92)+($W$26+$X$26-$W$92-$X$92)*(L92)</f>
        <v>658.75102999999945</v>
      </c>
      <c r="AD92" s="6">
        <f t="shared" si="9"/>
        <v>0</v>
      </c>
      <c r="AE92" s="6">
        <f ca="1">(L92-M92)*(Z92+AA92)+($Z$26+$AA$26-$Z$92-$AA$92)*(L92)</f>
        <v>374.72405502025089</v>
      </c>
      <c r="AF92" s="4" t="s">
        <v>646</v>
      </c>
    </row>
    <row r="93" spans="1:32" ht="11.25" customHeight="1" x14ac:dyDescent="0.25">
      <c r="A93" s="4" t="s">
        <v>21</v>
      </c>
      <c r="B93" s="4" t="s">
        <v>42</v>
      </c>
      <c r="C93" s="4" t="s">
        <v>23</v>
      </c>
      <c r="D93" s="4" t="s">
        <v>43</v>
      </c>
      <c r="E93" s="4" t="s">
        <v>51</v>
      </c>
      <c r="F93" s="4" t="s">
        <v>53</v>
      </c>
      <c r="G93" s="4" t="s">
        <v>25</v>
      </c>
      <c r="H93" s="4" t="s">
        <v>25</v>
      </c>
      <c r="I93" s="5">
        <v>44440</v>
      </c>
      <c r="J93" s="6">
        <v>0</v>
      </c>
      <c r="K93" s="6">
        <v>0</v>
      </c>
      <c r="L93" s="6">
        <v>103.145</v>
      </c>
      <c r="M93" s="6">
        <v>41.258000000000003</v>
      </c>
      <c r="N93" s="6">
        <v>103.145</v>
      </c>
      <c r="O93" s="6">
        <v>41.258000000000003</v>
      </c>
      <c r="P93" s="6">
        <v>0</v>
      </c>
      <c r="Q93" s="4" t="s">
        <v>26</v>
      </c>
      <c r="R93" s="4">
        <v>0</v>
      </c>
      <c r="S93" s="4">
        <v>0</v>
      </c>
      <c r="T93" s="4">
        <v>30</v>
      </c>
      <c r="U93" s="4">
        <v>74</v>
      </c>
      <c r="V93" s="6">
        <f>IF(ISERROR(VLOOKUP($S$93,'TAR FIN'!$A$1:$O$91,15,0)),0,VLOOKUP($S$93,'TAR FIN'!$A$1:$O$91,15,0))</f>
        <v>0</v>
      </c>
      <c r="W93" s="6">
        <f>IF(ISERROR(VLOOKUP($T$93,'TAR FIN'!$A$1:$O$91,15,0)),0,VLOOKUP($T$93,'TAR FIN'!$A$1:$O$91,15,0))</f>
        <v>236.77</v>
      </c>
      <c r="X93" s="6">
        <f>IF(ISERROR(VLOOKUP($U$93,'TAR FIN'!$A$1:$O$91,15,0)),0,VLOOKUP($U$93,'TAR FIN'!$A$1:$O$91,15,0))</f>
        <v>117.89</v>
      </c>
      <c r="Y93" s="6"/>
      <c r="Z93" s="6">
        <f ca="1">('TUSD BE'!$AM$37+'TUSD BF'!$AM$37+'TUSD CVA'!$AM$37)*(1-CUSTOS!$M$38)</f>
        <v>323.18581193481282</v>
      </c>
      <c r="AA93" s="6">
        <f>('TE BE'!$AB$25+'TE BF'!$AB$25+'TE CVA'!$AB$25)*(1-CUSTOS!$M$38)</f>
        <v>107.87938095628944</v>
      </c>
      <c r="AB93" s="6">
        <f t="shared" si="8"/>
        <v>0</v>
      </c>
      <c r="AC93" s="6">
        <f>(L93-M93)*(W93+X93)+($W$26+$X$26-$W$93-$X$93)*(L93)</f>
        <v>26937.967069999992</v>
      </c>
      <c r="AD93" s="6">
        <f t="shared" si="9"/>
        <v>0</v>
      </c>
      <c r="AE93" s="6">
        <f ca="1">(L93-M93)*(Z93+AA93)+($Z$26+$AA$26-$Z$93-$AA$93)*(L93)</f>
        <v>29515.345591648631</v>
      </c>
      <c r="AF93" s="4" t="s">
        <v>647</v>
      </c>
    </row>
    <row r="94" spans="1:32" ht="11.25" customHeight="1" x14ac:dyDescent="0.25">
      <c r="A94" s="4" t="s">
        <v>21</v>
      </c>
      <c r="B94" s="4" t="s">
        <v>42</v>
      </c>
      <c r="C94" s="4" t="s">
        <v>23</v>
      </c>
      <c r="D94" s="4" t="s">
        <v>43</v>
      </c>
      <c r="E94" s="4" t="s">
        <v>51</v>
      </c>
      <c r="F94" s="4" t="s">
        <v>53</v>
      </c>
      <c r="G94" s="4" t="s">
        <v>25</v>
      </c>
      <c r="H94" s="4" t="s">
        <v>25</v>
      </c>
      <c r="I94" s="5">
        <v>44470</v>
      </c>
      <c r="J94" s="6">
        <v>0</v>
      </c>
      <c r="K94" s="6">
        <v>0</v>
      </c>
      <c r="L94" s="6">
        <v>79.552000000000007</v>
      </c>
      <c r="M94" s="6">
        <v>31.820799999999998</v>
      </c>
      <c r="N94" s="6">
        <v>79.552000000000007</v>
      </c>
      <c r="O94" s="6">
        <v>31.820799999999998</v>
      </c>
      <c r="P94" s="6">
        <v>0</v>
      </c>
      <c r="Q94" s="4" t="s">
        <v>26</v>
      </c>
      <c r="R94" s="4">
        <v>0</v>
      </c>
      <c r="S94" s="4">
        <v>0</v>
      </c>
      <c r="T94" s="4">
        <v>30</v>
      </c>
      <c r="U94" s="4">
        <v>74</v>
      </c>
      <c r="V94" s="6">
        <f>IF(ISERROR(VLOOKUP($S$94,'TAR FIN'!$A$1:$O$91,15,0)),0,VLOOKUP($S$94,'TAR FIN'!$A$1:$O$91,15,0))</f>
        <v>0</v>
      </c>
      <c r="W94" s="6">
        <f>IF(ISERROR(VLOOKUP($T$94,'TAR FIN'!$A$1:$O$91,15,0)),0,VLOOKUP($T$94,'TAR FIN'!$A$1:$O$91,15,0))</f>
        <v>236.77</v>
      </c>
      <c r="X94" s="6">
        <f>IF(ISERROR(VLOOKUP($U$94,'TAR FIN'!$A$1:$O$91,15,0)),0,VLOOKUP($U$94,'TAR FIN'!$A$1:$O$91,15,0))</f>
        <v>117.89</v>
      </c>
      <c r="Y94" s="6"/>
      <c r="Z94" s="6">
        <f ca="1">('TUSD BE'!$AM$37+'TUSD BF'!$AM$37+'TUSD CVA'!$AM$37)*(1-CUSTOS!$M$38)</f>
        <v>323.18581193481282</v>
      </c>
      <c r="AA94" s="6">
        <f>('TE BE'!$AB$25+'TE BF'!$AB$25+'TE CVA'!$AB$25)*(1-CUSTOS!$M$38)</f>
        <v>107.87938095628944</v>
      </c>
      <c r="AB94" s="6">
        <f t="shared" si="8"/>
        <v>0</v>
      </c>
      <c r="AC94" s="6">
        <f>(L94-M94)*(W94+X94)+($W$26+$X$26-$W$94-$X$94)*(L94)</f>
        <v>20776.277632000001</v>
      </c>
      <c r="AD94" s="6">
        <f t="shared" si="9"/>
        <v>0</v>
      </c>
      <c r="AE94" s="6">
        <f ca="1">(L94-M94)*(Z94+AA94)+($Z$26+$AA$26-$Z$94-$AA$94)*(L94)</f>
        <v>22764.116268426314</v>
      </c>
      <c r="AF94" s="4" t="s">
        <v>647</v>
      </c>
    </row>
    <row r="95" spans="1:32" ht="11.25" customHeight="1" x14ac:dyDescent="0.25">
      <c r="A95" s="4" t="s">
        <v>21</v>
      </c>
      <c r="B95" s="4" t="s">
        <v>42</v>
      </c>
      <c r="C95" s="4" t="s">
        <v>23</v>
      </c>
      <c r="D95" s="4" t="s">
        <v>43</v>
      </c>
      <c r="E95" s="4" t="s">
        <v>51</v>
      </c>
      <c r="F95" s="4" t="s">
        <v>53</v>
      </c>
      <c r="G95" s="4" t="s">
        <v>25</v>
      </c>
      <c r="H95" s="4" t="s">
        <v>25</v>
      </c>
      <c r="I95" s="5">
        <v>44501</v>
      </c>
      <c r="J95" s="6">
        <v>0</v>
      </c>
      <c r="K95" s="6">
        <v>0</v>
      </c>
      <c r="L95" s="6">
        <v>108.729</v>
      </c>
      <c r="M95" s="6">
        <v>43.491599999999998</v>
      </c>
      <c r="N95" s="6">
        <v>108.729</v>
      </c>
      <c r="O95" s="6">
        <v>43.491599999999998</v>
      </c>
      <c r="P95" s="6">
        <v>0</v>
      </c>
      <c r="Q95" s="4" t="s">
        <v>26</v>
      </c>
      <c r="R95" s="4">
        <v>0</v>
      </c>
      <c r="S95" s="4">
        <v>0</v>
      </c>
      <c r="T95" s="4">
        <v>30</v>
      </c>
      <c r="U95" s="4">
        <v>74</v>
      </c>
      <c r="V95" s="6">
        <f>IF(ISERROR(VLOOKUP($S$95,'TAR FIN'!$A$1:$O$91,15,0)),0,VLOOKUP($S$95,'TAR FIN'!$A$1:$O$91,15,0))</f>
        <v>0</v>
      </c>
      <c r="W95" s="6">
        <f>IF(ISERROR(VLOOKUP($T$95,'TAR FIN'!$A$1:$O$91,15,0)),0,VLOOKUP($T$95,'TAR FIN'!$A$1:$O$91,15,0))</f>
        <v>236.77</v>
      </c>
      <c r="X95" s="6">
        <f>IF(ISERROR(VLOOKUP($U$95,'TAR FIN'!$A$1:$O$91,15,0)),0,VLOOKUP($U$95,'TAR FIN'!$A$1:$O$91,15,0))</f>
        <v>117.89</v>
      </c>
      <c r="Y95" s="6"/>
      <c r="Z95" s="6">
        <f ca="1">('TUSD BE'!$AM$37+'TUSD BF'!$AM$37+'TUSD CVA'!$AM$37)*(1-CUSTOS!$M$38)</f>
        <v>323.18581193481282</v>
      </c>
      <c r="AA95" s="6">
        <f>('TE BE'!$AB$25+'TE BF'!$AB$25+'TE CVA'!$AB$25)*(1-CUSTOS!$M$38)</f>
        <v>107.87938095628944</v>
      </c>
      <c r="AB95" s="6">
        <f t="shared" si="8"/>
        <v>0</v>
      </c>
      <c r="AC95" s="6">
        <f>(L95-M95)*(W95+X95)+($W$26+$X$26-$W$95-$X$95)*(L95)</f>
        <v>28396.318013999997</v>
      </c>
      <c r="AD95" s="6">
        <f t="shared" si="9"/>
        <v>0</v>
      </c>
      <c r="AE95" s="6">
        <f ca="1">(L95-M95)*(Z95+AA95)+($Z$26+$AA$26-$Z$95-$AA$95)*(L95)</f>
        <v>31113.22905457719</v>
      </c>
      <c r="AF95" s="4" t="s">
        <v>647</v>
      </c>
    </row>
    <row r="96" spans="1:32" ht="11.25" customHeight="1" x14ac:dyDescent="0.25">
      <c r="A96" s="4" t="s">
        <v>21</v>
      </c>
      <c r="B96" s="4" t="s">
        <v>42</v>
      </c>
      <c r="C96" s="4" t="s">
        <v>23</v>
      </c>
      <c r="D96" s="4" t="s">
        <v>43</v>
      </c>
      <c r="E96" s="4" t="s">
        <v>51</v>
      </c>
      <c r="F96" s="4" t="s">
        <v>53</v>
      </c>
      <c r="G96" s="4" t="s">
        <v>25</v>
      </c>
      <c r="H96" s="4" t="s">
        <v>25</v>
      </c>
      <c r="I96" s="5">
        <v>44531</v>
      </c>
      <c r="J96" s="6">
        <v>0</v>
      </c>
      <c r="K96" s="6">
        <v>0</v>
      </c>
      <c r="L96" s="6">
        <v>128.13900000000001</v>
      </c>
      <c r="M96" s="6">
        <v>51.255600000000001</v>
      </c>
      <c r="N96" s="6">
        <v>128.13900000000001</v>
      </c>
      <c r="O96" s="6">
        <v>51.255600000000001</v>
      </c>
      <c r="P96" s="6">
        <v>0</v>
      </c>
      <c r="Q96" s="4" t="s">
        <v>26</v>
      </c>
      <c r="R96" s="4">
        <v>0</v>
      </c>
      <c r="S96" s="4">
        <v>0</v>
      </c>
      <c r="T96" s="4">
        <v>30</v>
      </c>
      <c r="U96" s="4">
        <v>74</v>
      </c>
      <c r="V96" s="6">
        <f>IF(ISERROR(VLOOKUP($S$96,'TAR FIN'!$A$1:$O$91,15,0)),0,VLOOKUP($S$96,'TAR FIN'!$A$1:$O$91,15,0))</f>
        <v>0</v>
      </c>
      <c r="W96" s="6">
        <f>IF(ISERROR(VLOOKUP($T$96,'TAR FIN'!$A$1:$O$91,15,0)),0,VLOOKUP($T$96,'TAR FIN'!$A$1:$O$91,15,0))</f>
        <v>236.77</v>
      </c>
      <c r="X96" s="6">
        <f>IF(ISERROR(VLOOKUP($U$96,'TAR FIN'!$A$1:$O$91,15,0)),0,VLOOKUP($U$96,'TAR FIN'!$A$1:$O$91,15,0))</f>
        <v>117.89</v>
      </c>
      <c r="Y96" s="6"/>
      <c r="Z96" s="6">
        <f ca="1">('TUSD BE'!$AM$37+'TUSD BF'!$AM$37+'TUSD CVA'!$AM$37)*(1-CUSTOS!$M$38)</f>
        <v>323.18581193481282</v>
      </c>
      <c r="AA96" s="6">
        <f>('TE BE'!$AB$25+'TE BF'!$AB$25+'TE CVA'!$AB$25)*(1-CUSTOS!$M$38)</f>
        <v>107.87938095628944</v>
      </c>
      <c r="AB96" s="6">
        <f t="shared" si="8"/>
        <v>0</v>
      </c>
      <c r="AC96" s="6">
        <f>(L96-M96)*(W96+X96)+($W$26+$X$26-$W$96-$X$96)*(L96)</f>
        <v>33465.550073999999</v>
      </c>
      <c r="AD96" s="6">
        <f t="shared" si="9"/>
        <v>0</v>
      </c>
      <c r="AE96" s="6">
        <f ca="1">(L96-M96)*(Z96+AA96)+($Z$26+$AA$26-$Z$96-$AA$96)*(L96)</f>
        <v>36667.476550179497</v>
      </c>
      <c r="AF96" s="4" t="s">
        <v>647</v>
      </c>
    </row>
    <row r="97" spans="1:32" ht="11.25" customHeight="1" x14ac:dyDescent="0.25">
      <c r="A97" s="4" t="s">
        <v>21</v>
      </c>
      <c r="B97" s="4" t="s">
        <v>42</v>
      </c>
      <c r="C97" s="4" t="s">
        <v>23</v>
      </c>
      <c r="D97" s="4" t="s">
        <v>43</v>
      </c>
      <c r="E97" s="4" t="s">
        <v>51</v>
      </c>
      <c r="F97" s="4" t="s">
        <v>53</v>
      </c>
      <c r="G97" s="4" t="s">
        <v>25</v>
      </c>
      <c r="H97" s="4" t="s">
        <v>25</v>
      </c>
      <c r="I97" s="5">
        <v>44562</v>
      </c>
      <c r="J97" s="6">
        <v>0</v>
      </c>
      <c r="K97" s="6">
        <v>0</v>
      </c>
      <c r="L97" s="6">
        <v>145.27600000000001</v>
      </c>
      <c r="M97" s="6">
        <v>58.110399999999998</v>
      </c>
      <c r="N97" s="6">
        <v>145.27600000000001</v>
      </c>
      <c r="O97" s="6">
        <v>58.110399999999998</v>
      </c>
      <c r="P97" s="6">
        <v>0</v>
      </c>
      <c r="Q97" s="4" t="s">
        <v>26</v>
      </c>
      <c r="R97" s="4">
        <v>0</v>
      </c>
      <c r="S97" s="4">
        <v>0</v>
      </c>
      <c r="T97" s="4">
        <v>30</v>
      </c>
      <c r="U97" s="4">
        <v>74</v>
      </c>
      <c r="V97" s="6">
        <f>IF(ISERROR(VLOOKUP($S$97,'TAR FIN'!$A$1:$O$91,15,0)),0,VLOOKUP($S$97,'TAR FIN'!$A$1:$O$91,15,0))</f>
        <v>0</v>
      </c>
      <c r="W97" s="6">
        <f>IF(ISERROR(VLOOKUP($T$97,'TAR FIN'!$A$1:$O$91,15,0)),0,VLOOKUP($T$97,'TAR FIN'!$A$1:$O$91,15,0))</f>
        <v>236.77</v>
      </c>
      <c r="X97" s="6">
        <f>IF(ISERROR(VLOOKUP($U$97,'TAR FIN'!$A$1:$O$91,15,0)),0,VLOOKUP($U$97,'TAR FIN'!$A$1:$O$91,15,0))</f>
        <v>117.89</v>
      </c>
      <c r="Y97" s="6"/>
      <c r="Z97" s="6">
        <f ca="1">('TUSD BE'!$AM$37+'TUSD BF'!$AM$37+'TUSD CVA'!$AM$37)*(1-CUSTOS!$M$38)</f>
        <v>323.18581193481282</v>
      </c>
      <c r="AA97" s="6">
        <f>('TE BE'!$AB$25+'TE BF'!$AB$25+'TE CVA'!$AB$25)*(1-CUSTOS!$M$38)</f>
        <v>107.87938095628944</v>
      </c>
      <c r="AB97" s="6">
        <f t="shared" si="8"/>
        <v>0</v>
      </c>
      <c r="AC97" s="6">
        <f>(L97-M97)*(W97+X97)+($W$26+$X$26-$W$97-$X$97)*(L97)</f>
        <v>37941.151816000005</v>
      </c>
      <c r="AD97" s="6">
        <f t="shared" si="9"/>
        <v>0</v>
      </c>
      <c r="AE97" s="6">
        <f ca="1">(L97-M97)*(Z97+AA97)+($Z$26+$AA$26-$Z$97-$AA$97)*(L97)</f>
        <v>41571.296196348318</v>
      </c>
      <c r="AF97" s="4" t="s">
        <v>647</v>
      </c>
    </row>
    <row r="98" spans="1:32" ht="11.25" customHeight="1" x14ac:dyDescent="0.25">
      <c r="A98" s="4" t="s">
        <v>21</v>
      </c>
      <c r="B98" s="4" t="s">
        <v>42</v>
      </c>
      <c r="C98" s="4" t="s">
        <v>23</v>
      </c>
      <c r="D98" s="4" t="s">
        <v>43</v>
      </c>
      <c r="E98" s="4" t="s">
        <v>51</v>
      </c>
      <c r="F98" s="4" t="s">
        <v>53</v>
      </c>
      <c r="G98" s="4" t="s">
        <v>25</v>
      </c>
      <c r="H98" s="4" t="s">
        <v>25</v>
      </c>
      <c r="I98" s="5">
        <v>44593</v>
      </c>
      <c r="J98" s="6">
        <v>0</v>
      </c>
      <c r="K98" s="6">
        <v>0</v>
      </c>
      <c r="L98" s="6">
        <v>41.22</v>
      </c>
      <c r="M98" s="6">
        <v>16.488</v>
      </c>
      <c r="N98" s="6">
        <v>41.22</v>
      </c>
      <c r="O98" s="6">
        <v>16.488</v>
      </c>
      <c r="P98" s="6">
        <v>0</v>
      </c>
      <c r="Q98" s="4" t="s">
        <v>26</v>
      </c>
      <c r="R98" s="4">
        <v>0</v>
      </c>
      <c r="S98" s="4">
        <v>0</v>
      </c>
      <c r="T98" s="4">
        <v>30</v>
      </c>
      <c r="U98" s="4">
        <v>74</v>
      </c>
      <c r="V98" s="6">
        <f>IF(ISERROR(VLOOKUP($S$98,'TAR FIN'!$A$1:$O$91,15,0)),0,VLOOKUP($S$98,'TAR FIN'!$A$1:$O$91,15,0))</f>
        <v>0</v>
      </c>
      <c r="W98" s="6">
        <f>IF(ISERROR(VLOOKUP($T$98,'TAR FIN'!$A$1:$O$91,15,0)),0,VLOOKUP($T$98,'TAR FIN'!$A$1:$O$91,15,0))</f>
        <v>236.77</v>
      </c>
      <c r="X98" s="6">
        <f>IF(ISERROR(VLOOKUP($U$98,'TAR FIN'!$A$1:$O$91,15,0)),0,VLOOKUP($U$98,'TAR FIN'!$A$1:$O$91,15,0))</f>
        <v>117.89</v>
      </c>
      <c r="Y98" s="6"/>
      <c r="Z98" s="6">
        <f ca="1">('TUSD BE'!$AM$37+'TUSD BF'!$AM$37+'TUSD CVA'!$AM$37)*(1-CUSTOS!$M$38)</f>
        <v>323.18581193481282</v>
      </c>
      <c r="AA98" s="6">
        <f>('TE BE'!$AB$25+'TE BF'!$AB$25+'TE CVA'!$AB$25)*(1-CUSTOS!$M$38)</f>
        <v>107.87938095628944</v>
      </c>
      <c r="AB98" s="6">
        <f t="shared" ref="AB98:AB129" si="10">(J98-K98)*V98</f>
        <v>0</v>
      </c>
      <c r="AC98" s="6">
        <f>(L98-M98)*(W98+X98)+($W$26+$X$26-$W$98-$X$98)*(L98)</f>
        <v>10765.262519999998</v>
      </c>
      <c r="AD98" s="6">
        <f t="shared" ref="AD98:AD129" si="11">(J98-K98)*Y98</f>
        <v>0</v>
      </c>
      <c r="AE98" s="6">
        <f ca="1">(L98-M98)*(Z98+AA98)+($Z$26+$AA$26-$Z$98-$AA$98)*(L98)</f>
        <v>11795.264387878779</v>
      </c>
      <c r="AF98" s="4" t="s">
        <v>647</v>
      </c>
    </row>
    <row r="99" spans="1:32" ht="11.25" customHeight="1" x14ac:dyDescent="0.25">
      <c r="A99" s="4" t="s">
        <v>21</v>
      </c>
      <c r="B99" s="4" t="s">
        <v>42</v>
      </c>
      <c r="C99" s="4" t="s">
        <v>23</v>
      </c>
      <c r="D99" s="4" t="s">
        <v>43</v>
      </c>
      <c r="E99" s="4" t="s">
        <v>51</v>
      </c>
      <c r="F99" s="4" t="s">
        <v>53</v>
      </c>
      <c r="G99" s="4" t="s">
        <v>25</v>
      </c>
      <c r="H99" s="4" t="s">
        <v>25</v>
      </c>
      <c r="I99" s="5">
        <v>44621</v>
      </c>
      <c r="J99" s="6">
        <v>0</v>
      </c>
      <c r="K99" s="6">
        <v>0</v>
      </c>
      <c r="L99" s="6">
        <v>14.337</v>
      </c>
      <c r="M99" s="6">
        <v>5.7347999999999999</v>
      </c>
      <c r="N99" s="6">
        <v>14.337</v>
      </c>
      <c r="O99" s="6">
        <v>5.7347999999999999</v>
      </c>
      <c r="P99" s="6">
        <v>0</v>
      </c>
      <c r="Q99" s="4" t="s">
        <v>26</v>
      </c>
      <c r="R99" s="4">
        <v>0</v>
      </c>
      <c r="S99" s="4">
        <v>0</v>
      </c>
      <c r="T99" s="4">
        <v>30</v>
      </c>
      <c r="U99" s="4">
        <v>74</v>
      </c>
      <c r="V99" s="6">
        <f>IF(ISERROR(VLOOKUP($S$99,'TAR FIN'!$A$1:$O$91,15,0)),0,VLOOKUP($S$99,'TAR FIN'!$A$1:$O$91,15,0))</f>
        <v>0</v>
      </c>
      <c r="W99" s="6">
        <f>IF(ISERROR(VLOOKUP($T$99,'TAR FIN'!$A$1:$O$91,15,0)),0,VLOOKUP($T$99,'TAR FIN'!$A$1:$O$91,15,0))</f>
        <v>236.77</v>
      </c>
      <c r="X99" s="6">
        <f>IF(ISERROR(VLOOKUP($U$99,'TAR FIN'!$A$1:$O$91,15,0)),0,VLOOKUP($U$99,'TAR FIN'!$A$1:$O$91,15,0))</f>
        <v>117.89</v>
      </c>
      <c r="Y99" s="6"/>
      <c r="Z99" s="6">
        <f ca="1">('TUSD BE'!$AM$37+'TUSD BF'!$AM$37+'TUSD CVA'!$AM$37)*(1-CUSTOS!$M$38)</f>
        <v>323.18581193481282</v>
      </c>
      <c r="AA99" s="6">
        <f>('TE BE'!$AB$25+'TE BF'!$AB$25+'TE CVA'!$AB$25)*(1-CUSTOS!$M$38)</f>
        <v>107.87938095628944</v>
      </c>
      <c r="AB99" s="6">
        <f t="shared" si="10"/>
        <v>0</v>
      </c>
      <c r="AC99" s="6">
        <f>(L99-M99)*(W99+X99)+($W$26+$X$26-$W$99-$X$99)*(L99)</f>
        <v>3744.3369419999995</v>
      </c>
      <c r="AD99" s="6">
        <f t="shared" si="11"/>
        <v>0</v>
      </c>
      <c r="AE99" s="6">
        <f ca="1">(L99-M99)*(Z99+AA99)+($Z$26+$AA$26-$Z$99-$AA$99)*(L99)</f>
        <v>4102.5886833822915</v>
      </c>
      <c r="AF99" s="4" t="s">
        <v>647</v>
      </c>
    </row>
    <row r="100" spans="1:32" ht="11.25" customHeight="1" x14ac:dyDescent="0.25">
      <c r="A100" s="4" t="s">
        <v>21</v>
      </c>
      <c r="B100" s="4" t="s">
        <v>42</v>
      </c>
      <c r="C100" s="4" t="s">
        <v>23</v>
      </c>
      <c r="D100" s="4" t="s">
        <v>43</v>
      </c>
      <c r="E100" s="4" t="s">
        <v>51</v>
      </c>
      <c r="F100" s="4" t="s">
        <v>53</v>
      </c>
      <c r="G100" s="4" t="s">
        <v>25</v>
      </c>
      <c r="H100" s="4" t="s">
        <v>25</v>
      </c>
      <c r="I100" s="5">
        <v>44652</v>
      </c>
      <c r="J100" s="6">
        <v>0</v>
      </c>
      <c r="K100" s="6">
        <v>0</v>
      </c>
      <c r="L100" s="6">
        <v>1.601</v>
      </c>
      <c r="M100" s="6">
        <v>0.64039999999999997</v>
      </c>
      <c r="N100" s="6">
        <v>1.601</v>
      </c>
      <c r="O100" s="6">
        <v>0.64039999999999997</v>
      </c>
      <c r="P100" s="6">
        <v>0</v>
      </c>
      <c r="Q100" s="4" t="s">
        <v>26</v>
      </c>
      <c r="R100" s="4">
        <v>0</v>
      </c>
      <c r="S100" s="4">
        <v>0</v>
      </c>
      <c r="T100" s="4">
        <v>30</v>
      </c>
      <c r="U100" s="4">
        <v>74</v>
      </c>
      <c r="V100" s="6">
        <f>IF(ISERROR(VLOOKUP($S$100,'TAR FIN'!$A$1:$O$91,15,0)),0,VLOOKUP($S$100,'TAR FIN'!$A$1:$O$91,15,0))</f>
        <v>0</v>
      </c>
      <c r="W100" s="6">
        <f>IF(ISERROR(VLOOKUP($T$100,'TAR FIN'!$A$1:$O$91,15,0)),0,VLOOKUP($T$100,'TAR FIN'!$A$1:$O$91,15,0))</f>
        <v>236.77</v>
      </c>
      <c r="X100" s="6">
        <f>IF(ISERROR(VLOOKUP($U$100,'TAR FIN'!$A$1:$O$91,15,0)),0,VLOOKUP($U$100,'TAR FIN'!$A$1:$O$91,15,0))</f>
        <v>117.89</v>
      </c>
      <c r="Y100" s="6"/>
      <c r="Z100" s="6">
        <f ca="1">('TUSD BE'!$AM$37+'TUSD BF'!$AM$37+'TUSD CVA'!$AM$37)*(1-CUSTOS!$M$38)</f>
        <v>323.18581193481282</v>
      </c>
      <c r="AA100" s="6">
        <f>('TE BE'!$AB$25+'TE BF'!$AB$25+'TE CVA'!$AB$25)*(1-CUSTOS!$M$38)</f>
        <v>107.87938095628944</v>
      </c>
      <c r="AB100" s="6">
        <f t="shared" si="10"/>
        <v>0</v>
      </c>
      <c r="AC100" s="6">
        <f>(L100-M100)*(W100+X100)+($W$26+$X$26-$W$100-$X$100)*(L100)</f>
        <v>418.12676599999998</v>
      </c>
      <c r="AD100" s="6">
        <f t="shared" si="11"/>
        <v>0</v>
      </c>
      <c r="AE100" s="6">
        <f ca="1">(L100-M100)*(Z100+AA100)+($Z$26+$AA$26-$Z$100-$AA$100)*(L100)</f>
        <v>458.13241836472406</v>
      </c>
      <c r="AF100" s="4" t="s">
        <v>647</v>
      </c>
    </row>
    <row r="101" spans="1:32" ht="11.25" customHeight="1" x14ac:dyDescent="0.25">
      <c r="A101" s="4" t="s">
        <v>21</v>
      </c>
      <c r="B101" s="4" t="s">
        <v>42</v>
      </c>
      <c r="C101" s="4" t="s">
        <v>23</v>
      </c>
      <c r="D101" s="4" t="s">
        <v>43</v>
      </c>
      <c r="E101" s="4" t="s">
        <v>51</v>
      </c>
      <c r="F101" s="4" t="s">
        <v>53</v>
      </c>
      <c r="G101" s="4" t="s">
        <v>25</v>
      </c>
      <c r="H101" s="4" t="s">
        <v>25</v>
      </c>
      <c r="I101" s="5">
        <v>44682</v>
      </c>
      <c r="J101" s="6">
        <v>0</v>
      </c>
      <c r="K101" s="6">
        <v>0</v>
      </c>
      <c r="L101" s="6">
        <v>1.242</v>
      </c>
      <c r="M101" s="6">
        <v>0.49680000000000002</v>
      </c>
      <c r="N101" s="6">
        <v>1.242</v>
      </c>
      <c r="O101" s="6">
        <v>0.49680000000000002</v>
      </c>
      <c r="P101" s="6">
        <v>0</v>
      </c>
      <c r="Q101" s="4" t="s">
        <v>26</v>
      </c>
      <c r="R101" s="4">
        <v>0</v>
      </c>
      <c r="S101" s="4">
        <v>0</v>
      </c>
      <c r="T101" s="4">
        <v>30</v>
      </c>
      <c r="U101" s="4">
        <v>74</v>
      </c>
      <c r="V101" s="6">
        <f>IF(ISERROR(VLOOKUP($S$101,'TAR FIN'!$A$1:$O$91,15,0)),0,VLOOKUP($S$101,'TAR FIN'!$A$1:$O$91,15,0))</f>
        <v>0</v>
      </c>
      <c r="W101" s="6">
        <f>IF(ISERROR(VLOOKUP($T$101,'TAR FIN'!$A$1:$O$91,15,0)),0,VLOOKUP($T$101,'TAR FIN'!$A$1:$O$91,15,0))</f>
        <v>236.77</v>
      </c>
      <c r="X101" s="6">
        <f>IF(ISERROR(VLOOKUP($U$101,'TAR FIN'!$A$1:$O$91,15,0)),0,VLOOKUP($U$101,'TAR FIN'!$A$1:$O$91,15,0))</f>
        <v>117.89</v>
      </c>
      <c r="Y101" s="6"/>
      <c r="Z101" s="6">
        <f ca="1">('TUSD BE'!$AM$37+'TUSD BF'!$AM$37+'TUSD CVA'!$AM$37)*(1-CUSTOS!$M$38)</f>
        <v>323.18581193481282</v>
      </c>
      <c r="AA101" s="6">
        <f>('TE BE'!$AB$25+'TE BF'!$AB$25+'TE CVA'!$AB$25)*(1-CUSTOS!$M$38)</f>
        <v>107.87938095628944</v>
      </c>
      <c r="AB101" s="6">
        <f t="shared" si="10"/>
        <v>0</v>
      </c>
      <c r="AC101" s="6">
        <f>(L101-M101)*(W101+X101)+($W$26+$X$26-$W$101-$X$101)*(L101)</f>
        <v>324.36817199999996</v>
      </c>
      <c r="AD101" s="6">
        <f t="shared" si="11"/>
        <v>0</v>
      </c>
      <c r="AE101" s="6">
        <f ca="1">(L101-M101)*(Z101+AA101)+($Z$26+$AA$26-$Z$101-$AA$101)*(L101)</f>
        <v>355.40316277888024</v>
      </c>
      <c r="AF101" s="4" t="s">
        <v>647</v>
      </c>
    </row>
    <row r="102" spans="1:32" ht="11.25" customHeight="1" x14ac:dyDescent="0.25">
      <c r="A102" s="4" t="s">
        <v>21</v>
      </c>
      <c r="B102" s="4" t="s">
        <v>42</v>
      </c>
      <c r="C102" s="4" t="s">
        <v>23</v>
      </c>
      <c r="D102" s="4" t="s">
        <v>43</v>
      </c>
      <c r="E102" s="4" t="s">
        <v>51</v>
      </c>
      <c r="F102" s="4" t="s">
        <v>53</v>
      </c>
      <c r="G102" s="4" t="s">
        <v>25</v>
      </c>
      <c r="H102" s="4" t="s">
        <v>25</v>
      </c>
      <c r="I102" s="5">
        <v>44713</v>
      </c>
      <c r="J102" s="6">
        <v>0</v>
      </c>
      <c r="K102" s="6">
        <v>0</v>
      </c>
      <c r="L102" s="6">
        <v>0.64200000000000002</v>
      </c>
      <c r="M102" s="6">
        <v>0.25679999999999997</v>
      </c>
      <c r="N102" s="6">
        <v>0.64200000000000002</v>
      </c>
      <c r="O102" s="6">
        <v>0.25679999999999997</v>
      </c>
      <c r="P102" s="6">
        <v>0</v>
      </c>
      <c r="Q102" s="4" t="s">
        <v>26</v>
      </c>
      <c r="R102" s="4">
        <v>0</v>
      </c>
      <c r="S102" s="4">
        <v>0</v>
      </c>
      <c r="T102" s="4">
        <v>30</v>
      </c>
      <c r="U102" s="4">
        <v>74</v>
      </c>
      <c r="V102" s="6">
        <f>IF(ISERROR(VLOOKUP($S$102,'TAR FIN'!$A$1:$O$91,15,0)),0,VLOOKUP($S$102,'TAR FIN'!$A$1:$O$91,15,0))</f>
        <v>0</v>
      </c>
      <c r="W102" s="6">
        <f>IF(ISERROR(VLOOKUP($T$102,'TAR FIN'!$A$1:$O$91,15,0)),0,VLOOKUP($T$102,'TAR FIN'!$A$1:$O$91,15,0))</f>
        <v>236.77</v>
      </c>
      <c r="X102" s="6">
        <f>IF(ISERROR(VLOOKUP($U$102,'TAR FIN'!$A$1:$O$91,15,0)),0,VLOOKUP($U$102,'TAR FIN'!$A$1:$O$91,15,0))</f>
        <v>117.89</v>
      </c>
      <c r="Y102" s="6"/>
      <c r="Z102" s="6">
        <f ca="1">('TUSD BE'!$AM$37+'TUSD BF'!$AM$37+'TUSD CVA'!$AM$37)*(1-CUSTOS!$M$38)</f>
        <v>323.18581193481282</v>
      </c>
      <c r="AA102" s="6">
        <f>('TE BE'!$AB$25+'TE BF'!$AB$25+'TE CVA'!$AB$25)*(1-CUSTOS!$M$38)</f>
        <v>107.87938095628944</v>
      </c>
      <c r="AB102" s="6">
        <f t="shared" si="10"/>
        <v>0</v>
      </c>
      <c r="AC102" s="6">
        <f>(L102-M102)*(W102+X102)+($W$26+$X$26-$W$102-$X$102)*(L102)</f>
        <v>167.66857199999998</v>
      </c>
      <c r="AD102" s="6">
        <f t="shared" si="11"/>
        <v>0</v>
      </c>
      <c r="AE102" s="6">
        <f ca="1">(L102-M102)*(Z102+AA102)+($Z$26+$AA$26-$Z$102-$AA$102)*(L102)</f>
        <v>183.71081361033907</v>
      </c>
      <c r="AF102" s="4" t="s">
        <v>647</v>
      </c>
    </row>
    <row r="103" spans="1:32" ht="11.25" customHeight="1" x14ac:dyDescent="0.25">
      <c r="A103" s="4" t="s">
        <v>21</v>
      </c>
      <c r="B103" s="4" t="s">
        <v>42</v>
      </c>
      <c r="C103" s="4" t="s">
        <v>23</v>
      </c>
      <c r="D103" s="4" t="s">
        <v>43</v>
      </c>
      <c r="E103" s="4" t="s">
        <v>51</v>
      </c>
      <c r="F103" s="4" t="s">
        <v>53</v>
      </c>
      <c r="G103" s="4" t="s">
        <v>25</v>
      </c>
      <c r="H103" s="4" t="s">
        <v>25</v>
      </c>
      <c r="I103" s="5">
        <v>44743</v>
      </c>
      <c r="J103" s="6">
        <v>0</v>
      </c>
      <c r="K103" s="6">
        <v>0</v>
      </c>
      <c r="L103" s="6">
        <v>3.4420000000000002</v>
      </c>
      <c r="M103" s="6">
        <v>1.3768</v>
      </c>
      <c r="N103" s="6">
        <v>3.4420000000000002</v>
      </c>
      <c r="O103" s="6">
        <v>1.3768</v>
      </c>
      <c r="P103" s="6">
        <v>0</v>
      </c>
      <c r="Q103" s="4" t="s">
        <v>26</v>
      </c>
      <c r="R103" s="4">
        <v>0</v>
      </c>
      <c r="S103" s="4">
        <v>0</v>
      </c>
      <c r="T103" s="4">
        <v>30</v>
      </c>
      <c r="U103" s="4">
        <v>74</v>
      </c>
      <c r="V103" s="6">
        <f>IF(ISERROR(VLOOKUP($S$103,'TAR FIN'!$A$1:$O$91,15,0)),0,VLOOKUP($S$103,'TAR FIN'!$A$1:$O$91,15,0))</f>
        <v>0</v>
      </c>
      <c r="W103" s="6">
        <f>IF(ISERROR(VLOOKUP($T$103,'TAR FIN'!$A$1:$O$91,15,0)),0,VLOOKUP($T$103,'TAR FIN'!$A$1:$O$91,15,0))</f>
        <v>236.77</v>
      </c>
      <c r="X103" s="6">
        <f>IF(ISERROR(VLOOKUP($U$103,'TAR FIN'!$A$1:$O$91,15,0)),0,VLOOKUP($U$103,'TAR FIN'!$A$1:$O$91,15,0))</f>
        <v>117.89</v>
      </c>
      <c r="Y103" s="6"/>
      <c r="Z103" s="6">
        <f ca="1">('TUSD BE'!$AM$37+'TUSD BF'!$AM$37+'TUSD CVA'!$AM$37)*(1-CUSTOS!$M$38)</f>
        <v>323.18581193481282</v>
      </c>
      <c r="AA103" s="6">
        <f>('TE BE'!$AB$25+'TE BF'!$AB$25+'TE CVA'!$AB$25)*(1-CUSTOS!$M$38)</f>
        <v>107.87938095628944</v>
      </c>
      <c r="AB103" s="6">
        <f t="shared" si="10"/>
        <v>0</v>
      </c>
      <c r="AC103" s="6">
        <f>(L103-M103)*(W103+X103)+($W$26+$X$26-$W$103-$X$103)*(L103)</f>
        <v>898.93337199999996</v>
      </c>
      <c r="AD103" s="6">
        <f t="shared" si="11"/>
        <v>0</v>
      </c>
      <c r="AE103" s="6">
        <f ca="1">(L103-M103)*(Z103+AA103)+($Z$26+$AA$26-$Z$103-$AA$103)*(L103)</f>
        <v>984.9417763968645</v>
      </c>
      <c r="AF103" s="4" t="s">
        <v>647</v>
      </c>
    </row>
    <row r="104" spans="1:32" ht="11.25" customHeight="1" x14ac:dyDescent="0.25">
      <c r="A104" s="4" t="s">
        <v>57</v>
      </c>
      <c r="B104" s="4" t="s">
        <v>42</v>
      </c>
      <c r="C104" s="4" t="s">
        <v>23</v>
      </c>
      <c r="D104" s="4" t="s">
        <v>43</v>
      </c>
      <c r="E104" s="4" t="s">
        <v>51</v>
      </c>
      <c r="F104" s="4" t="s">
        <v>53</v>
      </c>
      <c r="G104" s="4" t="s">
        <v>25</v>
      </c>
      <c r="H104" s="4" t="s">
        <v>25</v>
      </c>
      <c r="I104" s="5">
        <v>44774</v>
      </c>
      <c r="J104" s="6">
        <v>0</v>
      </c>
      <c r="K104" s="6">
        <v>0</v>
      </c>
      <c r="L104" s="6">
        <v>3.4420000000000002</v>
      </c>
      <c r="M104" s="6">
        <v>1.3768</v>
      </c>
      <c r="N104" s="6">
        <v>3.4420000000000002</v>
      </c>
      <c r="O104" s="6">
        <v>1.3768</v>
      </c>
      <c r="P104" s="6">
        <v>0</v>
      </c>
      <c r="Q104" s="4" t="s">
        <v>26</v>
      </c>
      <c r="R104" s="4">
        <v>0</v>
      </c>
      <c r="S104" s="4">
        <v>0</v>
      </c>
      <c r="T104" s="4">
        <v>30</v>
      </c>
      <c r="U104" s="4">
        <v>74</v>
      </c>
      <c r="V104" s="6">
        <f>IF(ISERROR(VLOOKUP($S$104,'TAR FIN'!$A$1:$O$91,15,0)),0,VLOOKUP($S$104,'TAR FIN'!$A$1:$O$91,15,0))</f>
        <v>0</v>
      </c>
      <c r="W104" s="6">
        <f>IF(ISERROR(VLOOKUP($T$104,'TAR FIN'!$A$1:$O$91,15,0)),0,VLOOKUP($T$104,'TAR FIN'!$A$1:$O$91,15,0))</f>
        <v>236.77</v>
      </c>
      <c r="X104" s="6">
        <f>IF(ISERROR(VLOOKUP($U$104,'TAR FIN'!$A$1:$O$91,15,0)),0,VLOOKUP($U$104,'TAR FIN'!$A$1:$O$91,15,0))</f>
        <v>117.89</v>
      </c>
      <c r="Y104" s="6"/>
      <c r="Z104" s="6">
        <f ca="1">('TUSD BE'!$AM$37+'TUSD BF'!$AM$37+'TUSD CVA'!$AM$37)*(1-CUSTOS!$M$38)</f>
        <v>323.18581193481282</v>
      </c>
      <c r="AA104" s="6">
        <f>('TE BE'!$AB$25+'TE BF'!$AB$25+'TE CVA'!$AB$25)*(1-CUSTOS!$M$38)</f>
        <v>107.87938095628944</v>
      </c>
      <c r="AB104" s="6">
        <f t="shared" si="10"/>
        <v>0</v>
      </c>
      <c r="AC104" s="6">
        <f>(L104-M104)*(W104+X104)+($W$26+$X$26-$W$104-$X$104)*(L104)</f>
        <v>898.93337199999996</v>
      </c>
      <c r="AD104" s="6">
        <f t="shared" si="11"/>
        <v>0</v>
      </c>
      <c r="AE104" s="6">
        <f ca="1">(L104-M104)*(Z104+AA104)+($Z$26+$AA$26-$Z$104-$AA$104)*(L104)</f>
        <v>984.9417763968645</v>
      </c>
      <c r="AF104" s="4" t="s">
        <v>647</v>
      </c>
    </row>
    <row r="105" spans="1:32" ht="11.25" customHeight="1" x14ac:dyDescent="0.25">
      <c r="A105" s="4" t="s">
        <v>21</v>
      </c>
      <c r="B105" s="4" t="s">
        <v>42</v>
      </c>
      <c r="C105" s="4" t="s">
        <v>23</v>
      </c>
      <c r="D105" s="4" t="s">
        <v>43</v>
      </c>
      <c r="E105" s="4" t="s">
        <v>54</v>
      </c>
      <c r="F105" s="4" t="s">
        <v>52</v>
      </c>
      <c r="G105" s="4" t="s">
        <v>25</v>
      </c>
      <c r="H105" s="4" t="s">
        <v>25</v>
      </c>
      <c r="I105" s="5">
        <v>44440</v>
      </c>
      <c r="J105" s="6">
        <v>0</v>
      </c>
      <c r="K105" s="6">
        <v>0</v>
      </c>
      <c r="L105" s="6">
        <v>6.7000000000000004E-2</v>
      </c>
      <c r="M105" s="6">
        <v>6.7000000000000004E-2</v>
      </c>
      <c r="N105" s="6">
        <v>6.7000000000000004E-2</v>
      </c>
      <c r="O105" s="6">
        <v>6.7000000000000004E-2</v>
      </c>
      <c r="P105" s="6">
        <v>0</v>
      </c>
      <c r="Q105" s="4" t="s">
        <v>26</v>
      </c>
      <c r="R105" s="4">
        <v>0</v>
      </c>
      <c r="S105" s="4">
        <v>0</v>
      </c>
      <c r="T105" s="4">
        <v>30</v>
      </c>
      <c r="U105" s="4">
        <v>74</v>
      </c>
      <c r="V105" s="6">
        <f>IF(ISERROR(VLOOKUP($S$105,'TAR FIN'!$A$1:$O$91,15,0)),0,VLOOKUP($S$105,'TAR FIN'!$A$1:$O$91,15,0))</f>
        <v>0</v>
      </c>
      <c r="W105" s="6">
        <f>IF(ISERROR(VLOOKUP($T$105,'TAR FIN'!$A$1:$O$91,15,0)),0,VLOOKUP($T$105,'TAR FIN'!$A$1:$O$91,15,0))</f>
        <v>236.77</v>
      </c>
      <c r="X105" s="6">
        <f>IF(ISERROR(VLOOKUP($U$105,'TAR FIN'!$A$1:$O$91,15,0)),0,VLOOKUP($U$105,'TAR FIN'!$A$1:$O$91,15,0))</f>
        <v>117.89</v>
      </c>
      <c r="Y105" s="6"/>
      <c r="Z105" s="6">
        <f ca="1">('TUSD BE'!$AM$37+'TUSD BF'!$AM$37+'TUSD CVA'!$AM$37)*(1-CUSTOS!$M$38)</f>
        <v>323.18581193481282</v>
      </c>
      <c r="AA105" s="6">
        <f>('TE BE'!$AB$25+'TE BF'!$AB$25+'TE CVA'!$AB$25)*(1-CUSTOS!$M$38)</f>
        <v>107.87938095628944</v>
      </c>
      <c r="AB105" s="6">
        <f t="shared" si="10"/>
        <v>0</v>
      </c>
      <c r="AC105" s="6">
        <f>(L105-M105)*(W105+X105)+($W$26+$X$26-$W$105-$X$105)*(L105)</f>
        <v>3.2407899999999978</v>
      </c>
      <c r="AD105" s="6">
        <f t="shared" si="11"/>
        <v>0</v>
      </c>
      <c r="AE105" s="6">
        <f ca="1">(L105-M105)*(Z105+AA105)+($Z$26+$AA$26-$Z$105-$AA$105)*(L105)</f>
        <v>1.8434915695981209</v>
      </c>
      <c r="AF105" s="4" t="s">
        <v>646</v>
      </c>
    </row>
    <row r="106" spans="1:32" ht="11.25" customHeight="1" x14ac:dyDescent="0.25">
      <c r="A106" s="4" t="s">
        <v>21</v>
      </c>
      <c r="B106" s="4" t="s">
        <v>42</v>
      </c>
      <c r="C106" s="4" t="s">
        <v>23</v>
      </c>
      <c r="D106" s="4" t="s">
        <v>43</v>
      </c>
      <c r="E106" s="4" t="s">
        <v>54</v>
      </c>
      <c r="F106" s="4" t="s">
        <v>52</v>
      </c>
      <c r="G106" s="4" t="s">
        <v>25</v>
      </c>
      <c r="H106" s="4" t="s">
        <v>25</v>
      </c>
      <c r="I106" s="5">
        <v>44470</v>
      </c>
      <c r="J106" s="6">
        <v>0</v>
      </c>
      <c r="K106" s="6">
        <v>0</v>
      </c>
      <c r="L106" s="6">
        <v>6.7000000000000004E-2</v>
      </c>
      <c r="M106" s="6">
        <v>6.7000000000000004E-2</v>
      </c>
      <c r="N106" s="6">
        <v>6.7000000000000004E-2</v>
      </c>
      <c r="O106" s="6">
        <v>6.7000000000000004E-2</v>
      </c>
      <c r="P106" s="6">
        <v>0</v>
      </c>
      <c r="Q106" s="4" t="s">
        <v>26</v>
      </c>
      <c r="R106" s="4">
        <v>0</v>
      </c>
      <c r="S106" s="4">
        <v>0</v>
      </c>
      <c r="T106" s="4">
        <v>30</v>
      </c>
      <c r="U106" s="4">
        <v>74</v>
      </c>
      <c r="V106" s="6">
        <f>IF(ISERROR(VLOOKUP($S$106,'TAR FIN'!$A$1:$O$91,15,0)),0,VLOOKUP($S$106,'TAR FIN'!$A$1:$O$91,15,0))</f>
        <v>0</v>
      </c>
      <c r="W106" s="6">
        <f>IF(ISERROR(VLOOKUP($T$106,'TAR FIN'!$A$1:$O$91,15,0)),0,VLOOKUP($T$106,'TAR FIN'!$A$1:$O$91,15,0))</f>
        <v>236.77</v>
      </c>
      <c r="X106" s="6">
        <f>IF(ISERROR(VLOOKUP($U$106,'TAR FIN'!$A$1:$O$91,15,0)),0,VLOOKUP($U$106,'TAR FIN'!$A$1:$O$91,15,0))</f>
        <v>117.89</v>
      </c>
      <c r="Y106" s="6"/>
      <c r="Z106" s="6">
        <f ca="1">('TUSD BE'!$AM$37+'TUSD BF'!$AM$37+'TUSD CVA'!$AM$37)*(1-CUSTOS!$M$38)</f>
        <v>323.18581193481282</v>
      </c>
      <c r="AA106" s="6">
        <f>('TE BE'!$AB$25+'TE BF'!$AB$25+'TE CVA'!$AB$25)*(1-CUSTOS!$M$38)</f>
        <v>107.87938095628944</v>
      </c>
      <c r="AB106" s="6">
        <f t="shared" si="10"/>
        <v>0</v>
      </c>
      <c r="AC106" s="6">
        <f>(L106-M106)*(W106+X106)+($W$26+$X$26-$W$106-$X$106)*(L106)</f>
        <v>3.2407899999999978</v>
      </c>
      <c r="AD106" s="6">
        <f t="shared" si="11"/>
        <v>0</v>
      </c>
      <c r="AE106" s="6">
        <f ca="1">(L106-M106)*(Z106+AA106)+($Z$26+$AA$26-$Z$106-$AA$106)*(L106)</f>
        <v>1.8434915695981209</v>
      </c>
      <c r="AF106" s="4" t="s">
        <v>646</v>
      </c>
    </row>
    <row r="107" spans="1:32" ht="11.25" customHeight="1" x14ac:dyDescent="0.25">
      <c r="A107" s="4" t="s">
        <v>21</v>
      </c>
      <c r="B107" s="4" t="s">
        <v>42</v>
      </c>
      <c r="C107" s="4" t="s">
        <v>23</v>
      </c>
      <c r="D107" s="4" t="s">
        <v>43</v>
      </c>
      <c r="E107" s="4" t="s">
        <v>54</v>
      </c>
      <c r="F107" s="4" t="s">
        <v>52</v>
      </c>
      <c r="G107" s="4" t="s">
        <v>25</v>
      </c>
      <c r="H107" s="4" t="s">
        <v>25</v>
      </c>
      <c r="I107" s="5">
        <v>44501</v>
      </c>
      <c r="J107" s="6">
        <v>0</v>
      </c>
      <c r="K107" s="6">
        <v>0</v>
      </c>
      <c r="L107" s="6">
        <v>7.3999999999999996E-2</v>
      </c>
      <c r="M107" s="6">
        <v>7.3999999999999996E-2</v>
      </c>
      <c r="N107" s="6">
        <v>7.3999999999999996E-2</v>
      </c>
      <c r="O107" s="6">
        <v>7.3999999999999996E-2</v>
      </c>
      <c r="P107" s="6">
        <v>0</v>
      </c>
      <c r="Q107" s="4" t="s">
        <v>26</v>
      </c>
      <c r="R107" s="4">
        <v>0</v>
      </c>
      <c r="S107" s="4">
        <v>0</v>
      </c>
      <c r="T107" s="4">
        <v>30</v>
      </c>
      <c r="U107" s="4">
        <v>74</v>
      </c>
      <c r="V107" s="6">
        <f>IF(ISERROR(VLOOKUP($S$107,'TAR FIN'!$A$1:$O$91,15,0)),0,VLOOKUP($S$107,'TAR FIN'!$A$1:$O$91,15,0))</f>
        <v>0</v>
      </c>
      <c r="W107" s="6">
        <f>IF(ISERROR(VLOOKUP($T$107,'TAR FIN'!$A$1:$O$91,15,0)),0,VLOOKUP($T$107,'TAR FIN'!$A$1:$O$91,15,0))</f>
        <v>236.77</v>
      </c>
      <c r="X107" s="6">
        <f>IF(ISERROR(VLOOKUP($U$107,'TAR FIN'!$A$1:$O$91,15,0)),0,VLOOKUP($U$107,'TAR FIN'!$A$1:$O$91,15,0))</f>
        <v>117.89</v>
      </c>
      <c r="Y107" s="6"/>
      <c r="Z107" s="6">
        <f ca="1">('TUSD BE'!$AM$37+'TUSD BF'!$AM$37+'TUSD CVA'!$AM$37)*(1-CUSTOS!$M$38)</f>
        <v>323.18581193481282</v>
      </c>
      <c r="AA107" s="6">
        <f>('TE BE'!$AB$25+'TE BF'!$AB$25+'TE CVA'!$AB$25)*(1-CUSTOS!$M$38)</f>
        <v>107.87938095628944</v>
      </c>
      <c r="AB107" s="6">
        <f t="shared" si="10"/>
        <v>0</v>
      </c>
      <c r="AC107" s="6">
        <f>(L107-M107)*(W107+X107)+($W$26+$X$26-$W$107-$X$107)*(L107)</f>
        <v>3.5793799999999969</v>
      </c>
      <c r="AD107" s="6">
        <f t="shared" si="11"/>
        <v>0</v>
      </c>
      <c r="AE107" s="6">
        <f ca="1">(L107-M107)*(Z107+AA107)+($Z$26+$AA$26-$Z$107-$AA$107)*(L107)</f>
        <v>2.0360951664218052</v>
      </c>
      <c r="AF107" s="4" t="s">
        <v>646</v>
      </c>
    </row>
    <row r="108" spans="1:32" ht="11.25" customHeight="1" x14ac:dyDescent="0.25">
      <c r="A108" s="4" t="s">
        <v>21</v>
      </c>
      <c r="B108" s="4" t="s">
        <v>42</v>
      </c>
      <c r="C108" s="4" t="s">
        <v>23</v>
      </c>
      <c r="D108" s="4" t="s">
        <v>43</v>
      </c>
      <c r="E108" s="4" t="s">
        <v>54</v>
      </c>
      <c r="F108" s="4" t="s">
        <v>52</v>
      </c>
      <c r="G108" s="4" t="s">
        <v>25</v>
      </c>
      <c r="H108" s="4" t="s">
        <v>25</v>
      </c>
      <c r="I108" s="5">
        <v>44531</v>
      </c>
      <c r="J108" s="6">
        <v>0</v>
      </c>
      <c r="K108" s="6">
        <v>0</v>
      </c>
      <c r="L108" s="6">
        <v>0.27600000000000002</v>
      </c>
      <c r="M108" s="6">
        <v>0.27600000000000002</v>
      </c>
      <c r="N108" s="6">
        <v>0.27600000000000002</v>
      </c>
      <c r="O108" s="6">
        <v>0.27600000000000002</v>
      </c>
      <c r="P108" s="6">
        <v>0</v>
      </c>
      <c r="Q108" s="4" t="s">
        <v>26</v>
      </c>
      <c r="R108" s="4">
        <v>0</v>
      </c>
      <c r="S108" s="4">
        <v>0</v>
      </c>
      <c r="T108" s="4">
        <v>30</v>
      </c>
      <c r="U108" s="4">
        <v>74</v>
      </c>
      <c r="V108" s="6">
        <f>IF(ISERROR(VLOOKUP($S$108,'TAR FIN'!$A$1:$O$91,15,0)),0,VLOOKUP($S$108,'TAR FIN'!$A$1:$O$91,15,0))</f>
        <v>0</v>
      </c>
      <c r="W108" s="6">
        <f>IF(ISERROR(VLOOKUP($T$108,'TAR FIN'!$A$1:$O$91,15,0)),0,VLOOKUP($T$108,'TAR FIN'!$A$1:$O$91,15,0))</f>
        <v>236.77</v>
      </c>
      <c r="X108" s="6">
        <f>IF(ISERROR(VLOOKUP($U$108,'TAR FIN'!$A$1:$O$91,15,0)),0,VLOOKUP($U$108,'TAR FIN'!$A$1:$O$91,15,0))</f>
        <v>117.89</v>
      </c>
      <c r="Y108" s="6"/>
      <c r="Z108" s="6">
        <f ca="1">('TUSD BE'!$AM$37+'TUSD BF'!$AM$37+'TUSD CVA'!$AM$37)*(1-CUSTOS!$M$38)</f>
        <v>323.18581193481282</v>
      </c>
      <c r="AA108" s="6">
        <f>('TE BE'!$AB$25+'TE BF'!$AB$25+'TE CVA'!$AB$25)*(1-CUSTOS!$M$38)</f>
        <v>107.87938095628944</v>
      </c>
      <c r="AB108" s="6">
        <f t="shared" si="10"/>
        <v>0</v>
      </c>
      <c r="AC108" s="6">
        <f>(L108-M108)*(W108+X108)+($W$26+$X$26-$W$108-$X$108)*(L108)</f>
        <v>13.35011999999999</v>
      </c>
      <c r="AD108" s="6">
        <f t="shared" si="11"/>
        <v>0</v>
      </c>
      <c r="AE108" s="6">
        <f ca="1">(L108-M108)*(Z108+AA108)+($Z$26+$AA$26-$Z$108-$AA$108)*(L108)</f>
        <v>7.5940846747624091</v>
      </c>
      <c r="AF108" s="4" t="s">
        <v>646</v>
      </c>
    </row>
    <row r="109" spans="1:32" ht="11.25" customHeight="1" x14ac:dyDescent="0.25">
      <c r="A109" s="4" t="s">
        <v>21</v>
      </c>
      <c r="B109" s="4" t="s">
        <v>42</v>
      </c>
      <c r="C109" s="4" t="s">
        <v>23</v>
      </c>
      <c r="D109" s="4" t="s">
        <v>43</v>
      </c>
      <c r="E109" s="4" t="s">
        <v>54</v>
      </c>
      <c r="F109" s="4" t="s">
        <v>52</v>
      </c>
      <c r="G109" s="4" t="s">
        <v>25</v>
      </c>
      <c r="H109" s="4" t="s">
        <v>25</v>
      </c>
      <c r="I109" s="5">
        <v>44562</v>
      </c>
      <c r="J109" s="6">
        <v>0</v>
      </c>
      <c r="K109" s="6">
        <v>0</v>
      </c>
      <c r="L109" s="6">
        <v>0.96899999999999997</v>
      </c>
      <c r="M109" s="6">
        <v>0.96899999999999997</v>
      </c>
      <c r="N109" s="6">
        <v>0.96899999999999997</v>
      </c>
      <c r="O109" s="6">
        <v>0.96899999999999997</v>
      </c>
      <c r="P109" s="6">
        <v>0</v>
      </c>
      <c r="Q109" s="4" t="s">
        <v>26</v>
      </c>
      <c r="R109" s="4">
        <v>0</v>
      </c>
      <c r="S109" s="4">
        <v>0</v>
      </c>
      <c r="T109" s="4">
        <v>30</v>
      </c>
      <c r="U109" s="4">
        <v>74</v>
      </c>
      <c r="V109" s="6">
        <f>IF(ISERROR(VLOOKUP($S$109,'TAR FIN'!$A$1:$O$91,15,0)),0,VLOOKUP($S$109,'TAR FIN'!$A$1:$O$91,15,0))</f>
        <v>0</v>
      </c>
      <c r="W109" s="6">
        <f>IF(ISERROR(VLOOKUP($T$109,'TAR FIN'!$A$1:$O$91,15,0)),0,VLOOKUP($T$109,'TAR FIN'!$A$1:$O$91,15,0))</f>
        <v>236.77</v>
      </c>
      <c r="X109" s="6">
        <f>IF(ISERROR(VLOOKUP($U$109,'TAR FIN'!$A$1:$O$91,15,0)),0,VLOOKUP($U$109,'TAR FIN'!$A$1:$O$91,15,0))</f>
        <v>117.89</v>
      </c>
      <c r="Y109" s="6"/>
      <c r="Z109" s="6">
        <f ca="1">('TUSD BE'!$AM$37+'TUSD BF'!$AM$37+'TUSD CVA'!$AM$37)*(1-CUSTOS!$M$38)</f>
        <v>323.18581193481282</v>
      </c>
      <c r="AA109" s="6">
        <f>('TE BE'!$AB$25+'TE BF'!$AB$25+'TE CVA'!$AB$25)*(1-CUSTOS!$M$38)</f>
        <v>107.87938095628944</v>
      </c>
      <c r="AB109" s="6">
        <f t="shared" si="10"/>
        <v>0</v>
      </c>
      <c r="AC109" s="6">
        <f>(L109-M109)*(W109+X109)+($W$26+$X$26-$W$109-$X$109)*(L109)</f>
        <v>46.87052999999996</v>
      </c>
      <c r="AD109" s="6">
        <f t="shared" si="11"/>
        <v>0</v>
      </c>
      <c r="AE109" s="6">
        <f ca="1">(L109-M109)*(Z109+AA109)+($Z$26+$AA$26-$Z$109-$AA$109)*(L109)</f>
        <v>26.66184076030715</v>
      </c>
      <c r="AF109" s="4" t="s">
        <v>646</v>
      </c>
    </row>
    <row r="110" spans="1:32" ht="11.25" customHeight="1" x14ac:dyDescent="0.25">
      <c r="A110" s="4" t="s">
        <v>21</v>
      </c>
      <c r="B110" s="4" t="s">
        <v>42</v>
      </c>
      <c r="C110" s="4" t="s">
        <v>23</v>
      </c>
      <c r="D110" s="4" t="s">
        <v>43</v>
      </c>
      <c r="E110" s="4" t="s">
        <v>54</v>
      </c>
      <c r="F110" s="4" t="s">
        <v>52</v>
      </c>
      <c r="G110" s="4" t="s">
        <v>25</v>
      </c>
      <c r="H110" s="4" t="s">
        <v>25</v>
      </c>
      <c r="I110" s="5">
        <v>44593</v>
      </c>
      <c r="J110" s="6">
        <v>0</v>
      </c>
      <c r="K110" s="6">
        <v>0</v>
      </c>
      <c r="L110" s="6">
        <v>1.0489999999999999</v>
      </c>
      <c r="M110" s="6">
        <v>1.0489999999999999</v>
      </c>
      <c r="N110" s="6">
        <v>1.0489999999999999</v>
      </c>
      <c r="O110" s="6">
        <v>1.0489999999999999</v>
      </c>
      <c r="P110" s="6">
        <v>0</v>
      </c>
      <c r="Q110" s="4" t="s">
        <v>26</v>
      </c>
      <c r="R110" s="4">
        <v>0</v>
      </c>
      <c r="S110" s="4">
        <v>0</v>
      </c>
      <c r="T110" s="4">
        <v>30</v>
      </c>
      <c r="U110" s="4">
        <v>74</v>
      </c>
      <c r="V110" s="6">
        <f>IF(ISERROR(VLOOKUP($S$110,'TAR FIN'!$A$1:$O$91,15,0)),0,VLOOKUP($S$110,'TAR FIN'!$A$1:$O$91,15,0))</f>
        <v>0</v>
      </c>
      <c r="W110" s="6">
        <f>IF(ISERROR(VLOOKUP($T$110,'TAR FIN'!$A$1:$O$91,15,0)),0,VLOOKUP($T$110,'TAR FIN'!$A$1:$O$91,15,0))</f>
        <v>236.77</v>
      </c>
      <c r="X110" s="6">
        <f>IF(ISERROR(VLOOKUP($U$110,'TAR FIN'!$A$1:$O$91,15,0)),0,VLOOKUP($U$110,'TAR FIN'!$A$1:$O$91,15,0))</f>
        <v>117.89</v>
      </c>
      <c r="Y110" s="6"/>
      <c r="Z110" s="6">
        <f ca="1">('TUSD BE'!$AM$37+'TUSD BF'!$AM$37+'TUSD CVA'!$AM$37)*(1-CUSTOS!$M$38)</f>
        <v>323.18581193481282</v>
      </c>
      <c r="AA110" s="6">
        <f>('TE BE'!$AB$25+'TE BF'!$AB$25+'TE CVA'!$AB$25)*(1-CUSTOS!$M$38)</f>
        <v>107.87938095628944</v>
      </c>
      <c r="AB110" s="6">
        <f t="shared" si="10"/>
        <v>0</v>
      </c>
      <c r="AC110" s="6">
        <f>(L110-M110)*(W110+X110)+($W$26+$X$26-$W$110-$X$110)*(L110)</f>
        <v>50.740129999999958</v>
      </c>
      <c r="AD110" s="6">
        <f t="shared" si="11"/>
        <v>0</v>
      </c>
      <c r="AE110" s="6">
        <f ca="1">(L110-M110)*(Z110+AA110)+($Z$26+$AA$26-$Z$110-$AA$110)*(L110)</f>
        <v>28.863024724006397</v>
      </c>
      <c r="AF110" s="4" t="s">
        <v>646</v>
      </c>
    </row>
    <row r="111" spans="1:32" ht="11.25" customHeight="1" x14ac:dyDescent="0.25">
      <c r="A111" s="4" t="s">
        <v>21</v>
      </c>
      <c r="B111" s="4" t="s">
        <v>42</v>
      </c>
      <c r="C111" s="4" t="s">
        <v>23</v>
      </c>
      <c r="D111" s="4" t="s">
        <v>43</v>
      </c>
      <c r="E111" s="4" t="s">
        <v>54</v>
      </c>
      <c r="F111" s="4" t="s">
        <v>52</v>
      </c>
      <c r="G111" s="4" t="s">
        <v>25</v>
      </c>
      <c r="H111" s="4" t="s">
        <v>25</v>
      </c>
      <c r="I111" s="5">
        <v>44621</v>
      </c>
      <c r="J111" s="6">
        <v>0</v>
      </c>
      <c r="K111" s="6">
        <v>0</v>
      </c>
      <c r="L111" s="6">
        <v>1.677</v>
      </c>
      <c r="M111" s="6">
        <v>1.677</v>
      </c>
      <c r="N111" s="6">
        <v>1.677</v>
      </c>
      <c r="O111" s="6">
        <v>1.677</v>
      </c>
      <c r="P111" s="6">
        <v>0</v>
      </c>
      <c r="Q111" s="4" t="s">
        <v>26</v>
      </c>
      <c r="R111" s="4">
        <v>0</v>
      </c>
      <c r="S111" s="4">
        <v>0</v>
      </c>
      <c r="T111" s="4">
        <v>30</v>
      </c>
      <c r="U111" s="4">
        <v>74</v>
      </c>
      <c r="V111" s="6">
        <f>IF(ISERROR(VLOOKUP($S$111,'TAR FIN'!$A$1:$O$91,15,0)),0,VLOOKUP($S$111,'TAR FIN'!$A$1:$O$91,15,0))</f>
        <v>0</v>
      </c>
      <c r="W111" s="6">
        <f>IF(ISERROR(VLOOKUP($T$111,'TAR FIN'!$A$1:$O$91,15,0)),0,VLOOKUP($T$111,'TAR FIN'!$A$1:$O$91,15,0))</f>
        <v>236.77</v>
      </c>
      <c r="X111" s="6">
        <f>IF(ISERROR(VLOOKUP($U$111,'TAR FIN'!$A$1:$O$91,15,0)),0,VLOOKUP($U$111,'TAR FIN'!$A$1:$O$91,15,0))</f>
        <v>117.89</v>
      </c>
      <c r="Y111" s="6"/>
      <c r="Z111" s="6">
        <f ca="1">('TUSD BE'!$AM$37+'TUSD BF'!$AM$37+'TUSD CVA'!$AM$37)*(1-CUSTOS!$M$38)</f>
        <v>323.18581193481282</v>
      </c>
      <c r="AA111" s="6">
        <f>('TE BE'!$AB$25+'TE BF'!$AB$25+'TE CVA'!$AB$25)*(1-CUSTOS!$M$38)</f>
        <v>107.87938095628944</v>
      </c>
      <c r="AB111" s="6">
        <f t="shared" si="10"/>
        <v>0</v>
      </c>
      <c r="AC111" s="6">
        <f>(L111-M111)*(W111+X111)+($W$26+$X$26-$W$111-$X$111)*(L111)</f>
        <v>81.116489999999942</v>
      </c>
      <c r="AD111" s="6">
        <f t="shared" si="11"/>
        <v>0</v>
      </c>
      <c r="AE111" s="6">
        <f ca="1">(L111-M111)*(Z111+AA111)+($Z$26+$AA$26-$Z$111-$AA$111)*(L111)</f>
        <v>46.142318839045501</v>
      </c>
      <c r="AF111" s="4" t="s">
        <v>646</v>
      </c>
    </row>
    <row r="112" spans="1:32" ht="11.25" customHeight="1" x14ac:dyDescent="0.25">
      <c r="A112" s="4" t="s">
        <v>21</v>
      </c>
      <c r="B112" s="4" t="s">
        <v>42</v>
      </c>
      <c r="C112" s="4" t="s">
        <v>23</v>
      </c>
      <c r="D112" s="4" t="s">
        <v>43</v>
      </c>
      <c r="E112" s="4" t="s">
        <v>54</v>
      </c>
      <c r="F112" s="4" t="s">
        <v>52</v>
      </c>
      <c r="G112" s="4" t="s">
        <v>25</v>
      </c>
      <c r="H112" s="4" t="s">
        <v>25</v>
      </c>
      <c r="I112" s="5">
        <v>44652</v>
      </c>
      <c r="J112" s="6">
        <v>0</v>
      </c>
      <c r="K112" s="6">
        <v>0</v>
      </c>
      <c r="L112" s="6">
        <v>1.605</v>
      </c>
      <c r="M112" s="6">
        <v>1.605</v>
      </c>
      <c r="N112" s="6">
        <v>1.605</v>
      </c>
      <c r="O112" s="6">
        <v>1.605</v>
      </c>
      <c r="P112" s="6">
        <v>0</v>
      </c>
      <c r="Q112" s="4" t="s">
        <v>26</v>
      </c>
      <c r="R112" s="4">
        <v>0</v>
      </c>
      <c r="S112" s="4">
        <v>0</v>
      </c>
      <c r="T112" s="4">
        <v>30</v>
      </c>
      <c r="U112" s="4">
        <v>74</v>
      </c>
      <c r="V112" s="6">
        <f>IF(ISERROR(VLOOKUP($S$112,'TAR FIN'!$A$1:$O$91,15,0)),0,VLOOKUP($S$112,'TAR FIN'!$A$1:$O$91,15,0))</f>
        <v>0</v>
      </c>
      <c r="W112" s="6">
        <f>IF(ISERROR(VLOOKUP($T$112,'TAR FIN'!$A$1:$O$91,15,0)),0,VLOOKUP($T$112,'TAR FIN'!$A$1:$O$91,15,0))</f>
        <v>236.77</v>
      </c>
      <c r="X112" s="6">
        <f>IF(ISERROR(VLOOKUP($U$112,'TAR FIN'!$A$1:$O$91,15,0)),0,VLOOKUP($U$112,'TAR FIN'!$A$1:$O$91,15,0))</f>
        <v>117.89</v>
      </c>
      <c r="Y112" s="6"/>
      <c r="Z112" s="6">
        <f ca="1">('TUSD BE'!$AM$37+'TUSD BF'!$AM$37+'TUSD CVA'!$AM$37)*(1-CUSTOS!$M$38)</f>
        <v>323.18581193481282</v>
      </c>
      <c r="AA112" s="6">
        <f>('TE BE'!$AB$25+'TE BF'!$AB$25+'TE CVA'!$AB$25)*(1-CUSTOS!$M$38)</f>
        <v>107.87938095628944</v>
      </c>
      <c r="AB112" s="6">
        <f t="shared" si="10"/>
        <v>0</v>
      </c>
      <c r="AC112" s="6">
        <f>(L112-M112)*(W112+X112)+($W$26+$X$26-$W$112-$X$112)*(L112)</f>
        <v>77.633849999999939</v>
      </c>
      <c r="AD112" s="6">
        <f t="shared" si="11"/>
        <v>0</v>
      </c>
      <c r="AE112" s="6">
        <f ca="1">(L112-M112)*(Z112+AA112)+($Z$26+$AA$26-$Z$112-$AA$112)*(L112)</f>
        <v>44.161253271716177</v>
      </c>
      <c r="AF112" s="4" t="s">
        <v>646</v>
      </c>
    </row>
    <row r="113" spans="1:32" ht="11.25" customHeight="1" x14ac:dyDescent="0.25">
      <c r="A113" s="4" t="s">
        <v>21</v>
      </c>
      <c r="B113" s="4" t="s">
        <v>42</v>
      </c>
      <c r="C113" s="4" t="s">
        <v>23</v>
      </c>
      <c r="D113" s="4" t="s">
        <v>43</v>
      </c>
      <c r="E113" s="4" t="s">
        <v>54</v>
      </c>
      <c r="F113" s="4" t="s">
        <v>52</v>
      </c>
      <c r="G113" s="4" t="s">
        <v>25</v>
      </c>
      <c r="H113" s="4" t="s">
        <v>25</v>
      </c>
      <c r="I113" s="5">
        <v>44682</v>
      </c>
      <c r="J113" s="6">
        <v>0</v>
      </c>
      <c r="K113" s="6">
        <v>0</v>
      </c>
      <c r="L113" s="6">
        <v>1.103</v>
      </c>
      <c r="M113" s="6">
        <v>1.103</v>
      </c>
      <c r="N113" s="6">
        <v>1.103</v>
      </c>
      <c r="O113" s="6">
        <v>1.103</v>
      </c>
      <c r="P113" s="6">
        <v>0</v>
      </c>
      <c r="Q113" s="4" t="s">
        <v>26</v>
      </c>
      <c r="R113" s="4">
        <v>0</v>
      </c>
      <c r="S113" s="4">
        <v>0</v>
      </c>
      <c r="T113" s="4">
        <v>30</v>
      </c>
      <c r="U113" s="4">
        <v>74</v>
      </c>
      <c r="V113" s="6">
        <f>IF(ISERROR(VLOOKUP($S$113,'TAR FIN'!$A$1:$O$91,15,0)),0,VLOOKUP($S$113,'TAR FIN'!$A$1:$O$91,15,0))</f>
        <v>0</v>
      </c>
      <c r="W113" s="6">
        <f>IF(ISERROR(VLOOKUP($T$113,'TAR FIN'!$A$1:$O$91,15,0)),0,VLOOKUP($T$113,'TAR FIN'!$A$1:$O$91,15,0))</f>
        <v>236.77</v>
      </c>
      <c r="X113" s="6">
        <f>IF(ISERROR(VLOOKUP($U$113,'TAR FIN'!$A$1:$O$91,15,0)),0,VLOOKUP($U$113,'TAR FIN'!$A$1:$O$91,15,0))</f>
        <v>117.89</v>
      </c>
      <c r="Y113" s="6"/>
      <c r="Z113" s="6">
        <f ca="1">('TUSD BE'!$AM$37+'TUSD BF'!$AM$37+'TUSD CVA'!$AM$37)*(1-CUSTOS!$M$38)</f>
        <v>323.18581193481282</v>
      </c>
      <c r="AA113" s="6">
        <f>('TE BE'!$AB$25+'TE BF'!$AB$25+'TE CVA'!$AB$25)*(1-CUSTOS!$M$38)</f>
        <v>107.87938095628944</v>
      </c>
      <c r="AB113" s="6">
        <f t="shared" si="10"/>
        <v>0</v>
      </c>
      <c r="AC113" s="6">
        <f>(L113-M113)*(W113+X113)+($W$26+$X$26-$W$113-$X$113)*(L113)</f>
        <v>53.352109999999954</v>
      </c>
      <c r="AD113" s="6">
        <f t="shared" si="11"/>
        <v>0</v>
      </c>
      <c r="AE113" s="6">
        <f ca="1">(L113-M113)*(Z113+AA113)+($Z$26+$AA$26-$Z$113-$AA$113)*(L113)</f>
        <v>30.348823899503394</v>
      </c>
      <c r="AF113" s="4" t="s">
        <v>646</v>
      </c>
    </row>
    <row r="114" spans="1:32" ht="11.25" customHeight="1" x14ac:dyDescent="0.25">
      <c r="A114" s="4" t="s">
        <v>21</v>
      </c>
      <c r="B114" s="4" t="s">
        <v>42</v>
      </c>
      <c r="C114" s="4" t="s">
        <v>23</v>
      </c>
      <c r="D114" s="4" t="s">
        <v>43</v>
      </c>
      <c r="E114" s="4" t="s">
        <v>54</v>
      </c>
      <c r="F114" s="4" t="s">
        <v>52</v>
      </c>
      <c r="G114" s="4" t="s">
        <v>25</v>
      </c>
      <c r="H114" s="4" t="s">
        <v>25</v>
      </c>
      <c r="I114" s="5">
        <v>44713</v>
      </c>
      <c r="J114" s="6">
        <v>0</v>
      </c>
      <c r="K114" s="6">
        <v>0</v>
      </c>
      <c r="L114" s="6">
        <v>0.81</v>
      </c>
      <c r="M114" s="6">
        <v>0.81</v>
      </c>
      <c r="N114" s="6">
        <v>0.81</v>
      </c>
      <c r="O114" s="6">
        <v>0.81</v>
      </c>
      <c r="P114" s="6">
        <v>0</v>
      </c>
      <c r="Q114" s="4" t="s">
        <v>26</v>
      </c>
      <c r="R114" s="4">
        <v>0</v>
      </c>
      <c r="S114" s="4">
        <v>0</v>
      </c>
      <c r="T114" s="4">
        <v>30</v>
      </c>
      <c r="U114" s="4">
        <v>74</v>
      </c>
      <c r="V114" s="6">
        <f>IF(ISERROR(VLOOKUP($S$114,'TAR FIN'!$A$1:$O$91,15,0)),0,VLOOKUP($S$114,'TAR FIN'!$A$1:$O$91,15,0))</f>
        <v>0</v>
      </c>
      <c r="W114" s="6">
        <f>IF(ISERROR(VLOOKUP($T$114,'TAR FIN'!$A$1:$O$91,15,0)),0,VLOOKUP($T$114,'TAR FIN'!$A$1:$O$91,15,0))</f>
        <v>236.77</v>
      </c>
      <c r="X114" s="6">
        <f>IF(ISERROR(VLOOKUP($U$114,'TAR FIN'!$A$1:$O$91,15,0)),0,VLOOKUP($U$114,'TAR FIN'!$A$1:$O$91,15,0))</f>
        <v>117.89</v>
      </c>
      <c r="Y114" s="6"/>
      <c r="Z114" s="6">
        <f ca="1">('TUSD BE'!$AM$37+'TUSD BF'!$AM$37+'TUSD CVA'!$AM$37)*(1-CUSTOS!$M$38)</f>
        <v>323.18581193481282</v>
      </c>
      <c r="AA114" s="6">
        <f>('TE BE'!$AB$25+'TE BF'!$AB$25+'TE CVA'!$AB$25)*(1-CUSTOS!$M$38)</f>
        <v>107.87938095628944</v>
      </c>
      <c r="AB114" s="6">
        <f t="shared" si="10"/>
        <v>0</v>
      </c>
      <c r="AC114" s="6">
        <f>(L114-M114)*(W114+X114)+($W$26+$X$26-$W$114-$X$114)*(L114)</f>
        <v>39.179699999999968</v>
      </c>
      <c r="AD114" s="6">
        <f t="shared" si="11"/>
        <v>0</v>
      </c>
      <c r="AE114" s="6">
        <f ca="1">(L114-M114)*(Z114+AA114)+($Z$26+$AA$26-$Z$114-$AA$114)*(L114)</f>
        <v>22.286987632454895</v>
      </c>
      <c r="AF114" s="4" t="s">
        <v>646</v>
      </c>
    </row>
    <row r="115" spans="1:32" ht="11.25" customHeight="1" x14ac:dyDescent="0.25">
      <c r="A115" s="4" t="s">
        <v>21</v>
      </c>
      <c r="B115" s="4" t="s">
        <v>42</v>
      </c>
      <c r="C115" s="4" t="s">
        <v>23</v>
      </c>
      <c r="D115" s="4" t="s">
        <v>43</v>
      </c>
      <c r="E115" s="4" t="s">
        <v>54</v>
      </c>
      <c r="F115" s="4" t="s">
        <v>52</v>
      </c>
      <c r="G115" s="4" t="s">
        <v>25</v>
      </c>
      <c r="H115" s="4" t="s">
        <v>25</v>
      </c>
      <c r="I115" s="5">
        <v>44743</v>
      </c>
      <c r="J115" s="6">
        <v>0</v>
      </c>
      <c r="K115" s="6">
        <v>0</v>
      </c>
      <c r="L115" s="6">
        <v>0.104</v>
      </c>
      <c r="M115" s="6">
        <v>0.104</v>
      </c>
      <c r="N115" s="6">
        <v>0.104</v>
      </c>
      <c r="O115" s="6">
        <v>0.104</v>
      </c>
      <c r="P115" s="6">
        <v>0</v>
      </c>
      <c r="Q115" s="4" t="s">
        <v>26</v>
      </c>
      <c r="R115" s="4">
        <v>0</v>
      </c>
      <c r="S115" s="4">
        <v>0</v>
      </c>
      <c r="T115" s="4">
        <v>30</v>
      </c>
      <c r="U115" s="4">
        <v>74</v>
      </c>
      <c r="V115" s="6">
        <f>IF(ISERROR(VLOOKUP($S$115,'TAR FIN'!$A$1:$O$91,15,0)),0,VLOOKUP($S$115,'TAR FIN'!$A$1:$O$91,15,0))</f>
        <v>0</v>
      </c>
      <c r="W115" s="6">
        <f>IF(ISERROR(VLOOKUP($T$115,'TAR FIN'!$A$1:$O$91,15,0)),0,VLOOKUP($T$115,'TAR FIN'!$A$1:$O$91,15,0))</f>
        <v>236.77</v>
      </c>
      <c r="X115" s="6">
        <f>IF(ISERROR(VLOOKUP($U$115,'TAR FIN'!$A$1:$O$91,15,0)),0,VLOOKUP($U$115,'TAR FIN'!$A$1:$O$91,15,0))</f>
        <v>117.89</v>
      </c>
      <c r="Y115" s="6"/>
      <c r="Z115" s="6">
        <f ca="1">('TUSD BE'!$AM$37+'TUSD BF'!$AM$37+'TUSD CVA'!$AM$37)*(1-CUSTOS!$M$38)</f>
        <v>323.18581193481282</v>
      </c>
      <c r="AA115" s="6">
        <f>('TE BE'!$AB$25+'TE BF'!$AB$25+'TE CVA'!$AB$25)*(1-CUSTOS!$M$38)</f>
        <v>107.87938095628944</v>
      </c>
      <c r="AB115" s="6">
        <f t="shared" si="10"/>
        <v>0</v>
      </c>
      <c r="AC115" s="6">
        <f>(L115-M115)*(W115+X115)+($W$26+$X$26-$W$115-$X$115)*(L115)</f>
        <v>5.0304799999999954</v>
      </c>
      <c r="AD115" s="6">
        <f t="shared" si="11"/>
        <v>0</v>
      </c>
      <c r="AE115" s="6">
        <f ca="1">(L115-M115)*(Z115+AA115)+($Z$26+$AA$26-$Z$115-$AA$115)*(L115)</f>
        <v>2.8615391528090233</v>
      </c>
      <c r="AF115" s="4" t="s">
        <v>646</v>
      </c>
    </row>
    <row r="116" spans="1:32" ht="11.25" customHeight="1" x14ac:dyDescent="0.25">
      <c r="A116" s="4" t="s">
        <v>57</v>
      </c>
      <c r="B116" s="4" t="s">
        <v>42</v>
      </c>
      <c r="C116" s="4" t="s">
        <v>23</v>
      </c>
      <c r="D116" s="4" t="s">
        <v>43</v>
      </c>
      <c r="E116" s="4" t="s">
        <v>54</v>
      </c>
      <c r="F116" s="4" t="s">
        <v>52</v>
      </c>
      <c r="G116" s="4" t="s">
        <v>25</v>
      </c>
      <c r="H116" s="4" t="s">
        <v>25</v>
      </c>
      <c r="I116" s="5">
        <v>44774</v>
      </c>
      <c r="J116" s="6">
        <v>0</v>
      </c>
      <c r="K116" s="6">
        <v>0</v>
      </c>
      <c r="L116" s="6">
        <v>0.104</v>
      </c>
      <c r="M116" s="6">
        <v>0.104</v>
      </c>
      <c r="N116" s="6">
        <v>0.104</v>
      </c>
      <c r="O116" s="6">
        <v>0.104</v>
      </c>
      <c r="P116" s="6">
        <v>0</v>
      </c>
      <c r="Q116" s="4" t="s">
        <v>26</v>
      </c>
      <c r="R116" s="4">
        <v>0</v>
      </c>
      <c r="S116" s="4">
        <v>0</v>
      </c>
      <c r="T116" s="4">
        <v>30</v>
      </c>
      <c r="U116" s="4">
        <v>74</v>
      </c>
      <c r="V116" s="6">
        <f>IF(ISERROR(VLOOKUP($S$116,'TAR FIN'!$A$1:$O$91,15,0)),0,VLOOKUP($S$116,'TAR FIN'!$A$1:$O$91,15,0))</f>
        <v>0</v>
      </c>
      <c r="W116" s="6">
        <f>IF(ISERROR(VLOOKUP($T$116,'TAR FIN'!$A$1:$O$91,15,0)),0,VLOOKUP($T$116,'TAR FIN'!$A$1:$O$91,15,0))</f>
        <v>236.77</v>
      </c>
      <c r="X116" s="6">
        <f>IF(ISERROR(VLOOKUP($U$116,'TAR FIN'!$A$1:$O$91,15,0)),0,VLOOKUP($U$116,'TAR FIN'!$A$1:$O$91,15,0))</f>
        <v>117.89</v>
      </c>
      <c r="Y116" s="6"/>
      <c r="Z116" s="6">
        <f ca="1">('TUSD BE'!$AM$37+'TUSD BF'!$AM$37+'TUSD CVA'!$AM$37)*(1-CUSTOS!$M$38)</f>
        <v>323.18581193481282</v>
      </c>
      <c r="AA116" s="6">
        <f>('TE BE'!$AB$25+'TE BF'!$AB$25+'TE CVA'!$AB$25)*(1-CUSTOS!$M$38)</f>
        <v>107.87938095628944</v>
      </c>
      <c r="AB116" s="6">
        <f t="shared" si="10"/>
        <v>0</v>
      </c>
      <c r="AC116" s="6">
        <f>(L116-M116)*(W116+X116)+($W$26+$X$26-$W$116-$X$116)*(L116)</f>
        <v>5.0304799999999954</v>
      </c>
      <c r="AD116" s="6">
        <f t="shared" si="11"/>
        <v>0</v>
      </c>
      <c r="AE116" s="6">
        <f ca="1">(L116-M116)*(Z116+AA116)+($Z$26+$AA$26-$Z$116-$AA$116)*(L116)</f>
        <v>2.8615391528090233</v>
      </c>
      <c r="AF116" s="4" t="s">
        <v>646</v>
      </c>
    </row>
    <row r="117" spans="1:32" ht="11.25" customHeight="1" x14ac:dyDescent="0.25">
      <c r="A117" s="4" t="s">
        <v>21</v>
      </c>
      <c r="B117" s="4" t="s">
        <v>42</v>
      </c>
      <c r="C117" s="4" t="s">
        <v>23</v>
      </c>
      <c r="D117" s="4" t="s">
        <v>43</v>
      </c>
      <c r="E117" s="4" t="s">
        <v>54</v>
      </c>
      <c r="F117" s="4" t="s">
        <v>53</v>
      </c>
      <c r="G117" s="4" t="s">
        <v>25</v>
      </c>
      <c r="H117" s="4" t="s">
        <v>25</v>
      </c>
      <c r="I117" s="5">
        <v>44440</v>
      </c>
      <c r="J117" s="6">
        <v>0</v>
      </c>
      <c r="K117" s="6">
        <v>0</v>
      </c>
      <c r="L117" s="6">
        <v>4.2000000000000003E-2</v>
      </c>
      <c r="M117" s="6">
        <v>1.6799999999999999E-2</v>
      </c>
      <c r="N117" s="6">
        <v>4.2000000000000003E-2</v>
      </c>
      <c r="O117" s="6">
        <v>1.6799999999999999E-2</v>
      </c>
      <c r="P117" s="6">
        <v>0</v>
      </c>
      <c r="Q117" s="4" t="s">
        <v>26</v>
      </c>
      <c r="R117" s="4">
        <v>0</v>
      </c>
      <c r="S117" s="4">
        <v>0</v>
      </c>
      <c r="T117" s="4">
        <v>30</v>
      </c>
      <c r="U117" s="4">
        <v>74</v>
      </c>
      <c r="V117" s="6">
        <f>IF(ISERROR(VLOOKUP($S$117,'TAR FIN'!$A$1:$O$91,15,0)),0,VLOOKUP($S$117,'TAR FIN'!$A$1:$O$91,15,0))</f>
        <v>0</v>
      </c>
      <c r="W117" s="6">
        <f>IF(ISERROR(VLOOKUP($T$117,'TAR FIN'!$A$1:$O$91,15,0)),0,VLOOKUP($T$117,'TAR FIN'!$A$1:$O$91,15,0))</f>
        <v>236.77</v>
      </c>
      <c r="X117" s="6">
        <f>IF(ISERROR(VLOOKUP($U$117,'TAR FIN'!$A$1:$O$91,15,0)),0,VLOOKUP($U$117,'TAR FIN'!$A$1:$O$91,15,0))</f>
        <v>117.89</v>
      </c>
      <c r="Y117" s="6"/>
      <c r="Z117" s="6">
        <f ca="1">('TUSD BE'!$AM$37+'TUSD BF'!$AM$37+'TUSD CVA'!$AM$37)*(1-CUSTOS!$M$38)</f>
        <v>323.18581193481282</v>
      </c>
      <c r="AA117" s="6">
        <f>('TE BE'!$AB$25+'TE BF'!$AB$25+'TE CVA'!$AB$25)*(1-CUSTOS!$M$38)</f>
        <v>107.87938095628944</v>
      </c>
      <c r="AB117" s="6">
        <f t="shared" si="10"/>
        <v>0</v>
      </c>
      <c r="AC117" s="6">
        <f>(L117-M117)*(W117+X117)+($W$26+$X$26-$W$117-$X$117)*(L117)</f>
        <v>10.968971999999999</v>
      </c>
      <c r="AD117" s="6">
        <f t="shared" si="11"/>
        <v>0</v>
      </c>
      <c r="AE117" s="6">
        <f ca="1">(L117-M117)*(Z117+AA117)+($Z$26+$AA$26-$Z$117-$AA$117)*(L117)</f>
        <v>12.018464441797883</v>
      </c>
      <c r="AF117" s="4" t="s">
        <v>647</v>
      </c>
    </row>
    <row r="118" spans="1:32" ht="11.25" customHeight="1" x14ac:dyDescent="0.25">
      <c r="A118" s="4" t="s">
        <v>21</v>
      </c>
      <c r="B118" s="4" t="s">
        <v>42</v>
      </c>
      <c r="C118" s="4" t="s">
        <v>23</v>
      </c>
      <c r="D118" s="4" t="s">
        <v>43</v>
      </c>
      <c r="E118" s="4" t="s">
        <v>54</v>
      </c>
      <c r="F118" s="4" t="s">
        <v>53</v>
      </c>
      <c r="G118" s="4" t="s">
        <v>25</v>
      </c>
      <c r="H118" s="4" t="s">
        <v>25</v>
      </c>
      <c r="I118" s="5">
        <v>44470</v>
      </c>
      <c r="J118" s="6">
        <v>0</v>
      </c>
      <c r="K118" s="6">
        <v>0</v>
      </c>
      <c r="L118" s="6">
        <v>3.3000000000000002E-2</v>
      </c>
      <c r="M118" s="6">
        <v>1.32E-2</v>
      </c>
      <c r="N118" s="6">
        <v>3.3000000000000002E-2</v>
      </c>
      <c r="O118" s="6">
        <v>1.32E-2</v>
      </c>
      <c r="P118" s="6">
        <v>0</v>
      </c>
      <c r="Q118" s="4" t="s">
        <v>26</v>
      </c>
      <c r="R118" s="4">
        <v>0</v>
      </c>
      <c r="S118" s="4">
        <v>0</v>
      </c>
      <c r="T118" s="4">
        <v>30</v>
      </c>
      <c r="U118" s="4">
        <v>74</v>
      </c>
      <c r="V118" s="6">
        <f>IF(ISERROR(VLOOKUP($S$118,'TAR FIN'!$A$1:$O$91,15,0)),0,VLOOKUP($S$118,'TAR FIN'!$A$1:$O$91,15,0))</f>
        <v>0</v>
      </c>
      <c r="W118" s="6">
        <f>IF(ISERROR(VLOOKUP($T$118,'TAR FIN'!$A$1:$O$91,15,0)),0,VLOOKUP($T$118,'TAR FIN'!$A$1:$O$91,15,0))</f>
        <v>236.77</v>
      </c>
      <c r="X118" s="6">
        <f>IF(ISERROR(VLOOKUP($U$118,'TAR FIN'!$A$1:$O$91,15,0)),0,VLOOKUP($U$118,'TAR FIN'!$A$1:$O$91,15,0))</f>
        <v>117.89</v>
      </c>
      <c r="Y118" s="6"/>
      <c r="Z118" s="6">
        <f ca="1">('TUSD BE'!$AM$37+'TUSD BF'!$AM$37+'TUSD CVA'!$AM$37)*(1-CUSTOS!$M$38)</f>
        <v>323.18581193481282</v>
      </c>
      <c r="AA118" s="6">
        <f>('TE BE'!$AB$25+'TE BF'!$AB$25+'TE CVA'!$AB$25)*(1-CUSTOS!$M$38)</f>
        <v>107.87938095628944</v>
      </c>
      <c r="AB118" s="6">
        <f t="shared" si="10"/>
        <v>0</v>
      </c>
      <c r="AC118" s="6">
        <f>(L118-M118)*(W118+X118)+($W$26+$X$26-$W$118-$X$118)*(L118)</f>
        <v>8.6184779999999996</v>
      </c>
      <c r="AD118" s="6">
        <f t="shared" si="11"/>
        <v>0</v>
      </c>
      <c r="AE118" s="6">
        <f ca="1">(L118-M118)*(Z118+AA118)+($Z$26+$AA$26-$Z$118-$AA$118)*(L118)</f>
        <v>9.4430792042697647</v>
      </c>
      <c r="AF118" s="4" t="s">
        <v>647</v>
      </c>
    </row>
    <row r="119" spans="1:32" ht="11.25" customHeight="1" x14ac:dyDescent="0.25">
      <c r="A119" s="4" t="s">
        <v>21</v>
      </c>
      <c r="B119" s="4" t="s">
        <v>42</v>
      </c>
      <c r="C119" s="4" t="s">
        <v>23</v>
      </c>
      <c r="D119" s="4" t="s">
        <v>43</v>
      </c>
      <c r="E119" s="4" t="s">
        <v>54</v>
      </c>
      <c r="F119" s="4" t="s">
        <v>53</v>
      </c>
      <c r="G119" s="4" t="s">
        <v>25</v>
      </c>
      <c r="H119" s="4" t="s">
        <v>25</v>
      </c>
      <c r="I119" s="5">
        <v>44501</v>
      </c>
      <c r="J119" s="6">
        <v>0</v>
      </c>
      <c r="K119" s="6">
        <v>0</v>
      </c>
      <c r="L119" s="6">
        <v>2.5999999999999999E-2</v>
      </c>
      <c r="M119" s="6">
        <v>1.04E-2</v>
      </c>
      <c r="N119" s="6">
        <v>2.5999999999999999E-2</v>
      </c>
      <c r="O119" s="6">
        <v>1.04E-2</v>
      </c>
      <c r="P119" s="6">
        <v>0</v>
      </c>
      <c r="Q119" s="4" t="s">
        <v>26</v>
      </c>
      <c r="R119" s="4">
        <v>0</v>
      </c>
      <c r="S119" s="4">
        <v>0</v>
      </c>
      <c r="T119" s="4">
        <v>30</v>
      </c>
      <c r="U119" s="4">
        <v>74</v>
      </c>
      <c r="V119" s="6">
        <f>IF(ISERROR(VLOOKUP($S$119,'TAR FIN'!$A$1:$O$91,15,0)),0,VLOOKUP($S$119,'TAR FIN'!$A$1:$O$91,15,0))</f>
        <v>0</v>
      </c>
      <c r="W119" s="6">
        <f>IF(ISERROR(VLOOKUP($T$119,'TAR FIN'!$A$1:$O$91,15,0)),0,VLOOKUP($T$119,'TAR FIN'!$A$1:$O$91,15,0))</f>
        <v>236.77</v>
      </c>
      <c r="X119" s="6">
        <f>IF(ISERROR(VLOOKUP($U$119,'TAR FIN'!$A$1:$O$91,15,0)),0,VLOOKUP($U$119,'TAR FIN'!$A$1:$O$91,15,0))</f>
        <v>117.89</v>
      </c>
      <c r="Y119" s="6"/>
      <c r="Z119" s="6">
        <f ca="1">('TUSD BE'!$AM$37+'TUSD BF'!$AM$37+'TUSD CVA'!$AM$37)*(1-CUSTOS!$M$38)</f>
        <v>323.18581193481282</v>
      </c>
      <c r="AA119" s="6">
        <f>('TE BE'!$AB$25+'TE BF'!$AB$25+'TE CVA'!$AB$25)*(1-CUSTOS!$M$38)</f>
        <v>107.87938095628944</v>
      </c>
      <c r="AB119" s="6">
        <f t="shared" si="10"/>
        <v>0</v>
      </c>
      <c r="AC119" s="6">
        <f>(L119-M119)*(W119+X119)+($W$26+$X$26-$W$119-$X$119)*(L119)</f>
        <v>6.7903159999999989</v>
      </c>
      <c r="AD119" s="6">
        <f t="shared" si="11"/>
        <v>0</v>
      </c>
      <c r="AE119" s="6">
        <f ca="1">(L119-M119)*(Z119+AA119)+($Z$26+$AA$26-$Z$119-$AA$119)*(L119)</f>
        <v>7.4400017973034505</v>
      </c>
      <c r="AF119" s="4" t="s">
        <v>647</v>
      </c>
    </row>
    <row r="120" spans="1:32" ht="11.25" customHeight="1" x14ac:dyDescent="0.25">
      <c r="A120" s="4" t="s">
        <v>21</v>
      </c>
      <c r="B120" s="4" t="s">
        <v>42</v>
      </c>
      <c r="C120" s="4" t="s">
        <v>23</v>
      </c>
      <c r="D120" s="4" t="s">
        <v>43</v>
      </c>
      <c r="E120" s="4" t="s">
        <v>54</v>
      </c>
      <c r="F120" s="4" t="s">
        <v>53</v>
      </c>
      <c r="G120" s="4" t="s">
        <v>25</v>
      </c>
      <c r="H120" s="4" t="s">
        <v>25</v>
      </c>
      <c r="I120" s="5">
        <v>44531</v>
      </c>
      <c r="J120" s="6">
        <v>0</v>
      </c>
      <c r="K120" s="6">
        <v>0</v>
      </c>
      <c r="L120" s="6">
        <v>0.71699999999999997</v>
      </c>
      <c r="M120" s="6">
        <v>0.2868</v>
      </c>
      <c r="N120" s="6">
        <v>0.71699999999999997</v>
      </c>
      <c r="O120" s="6">
        <v>0.2868</v>
      </c>
      <c r="P120" s="6">
        <v>0</v>
      </c>
      <c r="Q120" s="4" t="s">
        <v>26</v>
      </c>
      <c r="R120" s="4">
        <v>0</v>
      </c>
      <c r="S120" s="4">
        <v>0</v>
      </c>
      <c r="T120" s="4">
        <v>30</v>
      </c>
      <c r="U120" s="4">
        <v>74</v>
      </c>
      <c r="V120" s="6">
        <f>IF(ISERROR(VLOOKUP($S$120,'TAR FIN'!$A$1:$O$91,15,0)),0,VLOOKUP($S$120,'TAR FIN'!$A$1:$O$91,15,0))</f>
        <v>0</v>
      </c>
      <c r="W120" s="6">
        <f>IF(ISERROR(VLOOKUP($T$120,'TAR FIN'!$A$1:$O$91,15,0)),0,VLOOKUP($T$120,'TAR FIN'!$A$1:$O$91,15,0))</f>
        <v>236.77</v>
      </c>
      <c r="X120" s="6">
        <f>IF(ISERROR(VLOOKUP($U$120,'TAR FIN'!$A$1:$O$91,15,0)),0,VLOOKUP($U$120,'TAR FIN'!$A$1:$O$91,15,0))</f>
        <v>117.89</v>
      </c>
      <c r="Y120" s="6"/>
      <c r="Z120" s="6">
        <f ca="1">('TUSD BE'!$AM$37+'TUSD BF'!$AM$37+'TUSD CVA'!$AM$37)*(1-CUSTOS!$M$38)</f>
        <v>323.18581193481282</v>
      </c>
      <c r="AA120" s="6">
        <f>('TE BE'!$AB$25+'TE BF'!$AB$25+'TE CVA'!$AB$25)*(1-CUSTOS!$M$38)</f>
        <v>107.87938095628944</v>
      </c>
      <c r="AB120" s="6">
        <f t="shared" si="10"/>
        <v>0</v>
      </c>
      <c r="AC120" s="6">
        <f>(L120-M120)*(W120+X120)+($W$26+$X$26-$W$120-$X$120)*(L120)</f>
        <v>187.25602199999997</v>
      </c>
      <c r="AD120" s="6">
        <f t="shared" si="11"/>
        <v>0</v>
      </c>
      <c r="AE120" s="6">
        <f ca="1">(L120-M120)*(Z120+AA120)+($Z$26+$AA$26-$Z$120-$AA$120)*(L120)</f>
        <v>205.17235725640668</v>
      </c>
      <c r="AF120" s="4" t="s">
        <v>647</v>
      </c>
    </row>
    <row r="121" spans="1:32" ht="11.25" customHeight="1" x14ac:dyDescent="0.25">
      <c r="A121" s="4" t="s">
        <v>21</v>
      </c>
      <c r="B121" s="4" t="s">
        <v>42</v>
      </c>
      <c r="C121" s="4" t="s">
        <v>23</v>
      </c>
      <c r="D121" s="4" t="s">
        <v>43</v>
      </c>
      <c r="E121" s="4" t="s">
        <v>54</v>
      </c>
      <c r="F121" s="4" t="s">
        <v>53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1.984</v>
      </c>
      <c r="M121" s="6">
        <v>0.79359999999999997</v>
      </c>
      <c r="N121" s="6">
        <v>1.984</v>
      </c>
      <c r="O121" s="6">
        <v>0.79359999999999997</v>
      </c>
      <c r="P121" s="6">
        <v>0</v>
      </c>
      <c r="Q121" s="4" t="s">
        <v>26</v>
      </c>
      <c r="R121" s="4">
        <v>0</v>
      </c>
      <c r="S121" s="4">
        <v>0</v>
      </c>
      <c r="T121" s="4">
        <v>30</v>
      </c>
      <c r="U121" s="4">
        <v>74</v>
      </c>
      <c r="V121" s="6">
        <f>IF(ISERROR(VLOOKUP($S$121,'TAR FIN'!$A$1:$O$91,15,0)),0,VLOOKUP($S$121,'TAR FIN'!$A$1:$O$91,15,0))</f>
        <v>0</v>
      </c>
      <c r="W121" s="6">
        <f>IF(ISERROR(VLOOKUP($T$121,'TAR FIN'!$A$1:$O$91,15,0)),0,VLOOKUP($T$121,'TAR FIN'!$A$1:$O$91,15,0))</f>
        <v>236.77</v>
      </c>
      <c r="X121" s="6">
        <f>IF(ISERROR(VLOOKUP($U$121,'TAR FIN'!$A$1:$O$91,15,0)),0,VLOOKUP($U$121,'TAR FIN'!$A$1:$O$91,15,0))</f>
        <v>117.89</v>
      </c>
      <c r="Y121" s="6"/>
      <c r="Z121" s="6">
        <f ca="1">('TUSD BE'!$AM$37+'TUSD BF'!$AM$37+'TUSD CVA'!$AM$37)*(1-CUSTOS!$M$38)</f>
        <v>323.18581193481282</v>
      </c>
      <c r="AA121" s="6">
        <f>('TE BE'!$AB$25+'TE BF'!$AB$25+'TE CVA'!$AB$25)*(1-CUSTOS!$M$38)</f>
        <v>107.87938095628944</v>
      </c>
      <c r="AB121" s="6">
        <f t="shared" si="10"/>
        <v>0</v>
      </c>
      <c r="AC121" s="6">
        <f>(L121-M121)*(W121+X121)+($W$26+$X$26-$W$121-$X$121)*(L121)</f>
        <v>518.15334399999983</v>
      </c>
      <c r="AD121" s="6">
        <f t="shared" si="11"/>
        <v>0</v>
      </c>
      <c r="AE121" s="6">
        <f ca="1">(L121-M121)*(Z121+AA121)+($Z$26+$AA$26-$Z$121-$AA$121)*(L121)</f>
        <v>567.72936791730945</v>
      </c>
      <c r="AF121" s="4" t="s">
        <v>647</v>
      </c>
    </row>
    <row r="122" spans="1:32" ht="11.25" customHeight="1" x14ac:dyDescent="0.25">
      <c r="A122" s="4" t="s">
        <v>21</v>
      </c>
      <c r="B122" s="4" t="s">
        <v>42</v>
      </c>
      <c r="C122" s="4" t="s">
        <v>23</v>
      </c>
      <c r="D122" s="4" t="s">
        <v>43</v>
      </c>
      <c r="E122" s="4" t="s">
        <v>54</v>
      </c>
      <c r="F122" s="4" t="s">
        <v>53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2.4489999999999998</v>
      </c>
      <c r="M122" s="6">
        <v>0.97960000000000003</v>
      </c>
      <c r="N122" s="6">
        <v>2.4489999999999998</v>
      </c>
      <c r="O122" s="6">
        <v>0.97960000000000003</v>
      </c>
      <c r="P122" s="6">
        <v>0</v>
      </c>
      <c r="Q122" s="4" t="s">
        <v>26</v>
      </c>
      <c r="R122" s="4">
        <v>0</v>
      </c>
      <c r="S122" s="4">
        <v>0</v>
      </c>
      <c r="T122" s="4">
        <v>30</v>
      </c>
      <c r="U122" s="4">
        <v>74</v>
      </c>
      <c r="V122" s="6">
        <f>IF(ISERROR(VLOOKUP($S$122,'TAR FIN'!$A$1:$O$91,15,0)),0,VLOOKUP($S$122,'TAR FIN'!$A$1:$O$91,15,0))</f>
        <v>0</v>
      </c>
      <c r="W122" s="6">
        <f>IF(ISERROR(VLOOKUP($T$122,'TAR FIN'!$A$1:$O$91,15,0)),0,VLOOKUP($T$122,'TAR FIN'!$A$1:$O$91,15,0))</f>
        <v>236.77</v>
      </c>
      <c r="X122" s="6">
        <f>IF(ISERROR(VLOOKUP($U$122,'TAR FIN'!$A$1:$O$91,15,0)),0,VLOOKUP($U$122,'TAR FIN'!$A$1:$O$91,15,0))</f>
        <v>117.89</v>
      </c>
      <c r="Y122" s="6"/>
      <c r="Z122" s="6">
        <f ca="1">('TUSD BE'!$AM$37+'TUSD BF'!$AM$37+'TUSD CVA'!$AM$37)*(1-CUSTOS!$M$38)</f>
        <v>323.18581193481282</v>
      </c>
      <c r="AA122" s="6">
        <f>('TE BE'!$AB$25+'TE BF'!$AB$25+'TE CVA'!$AB$25)*(1-CUSTOS!$M$38)</f>
        <v>107.87938095628944</v>
      </c>
      <c r="AB122" s="6">
        <f t="shared" si="10"/>
        <v>0</v>
      </c>
      <c r="AC122" s="6">
        <f>(L122-M122)*(W122+X122)+($W$26+$X$26-$W$122-$X$122)*(L122)</f>
        <v>639.59553399999982</v>
      </c>
      <c r="AD122" s="6">
        <f t="shared" si="11"/>
        <v>0</v>
      </c>
      <c r="AE122" s="6">
        <f ca="1">(L122-M122)*(Z122+AA122)+($Z$26+$AA$26-$Z$122-$AA$122)*(L122)</f>
        <v>700.79093852292885</v>
      </c>
      <c r="AF122" s="4" t="s">
        <v>647</v>
      </c>
    </row>
    <row r="123" spans="1:32" ht="11.25" customHeight="1" x14ac:dyDescent="0.25">
      <c r="A123" s="4" t="s">
        <v>21</v>
      </c>
      <c r="B123" s="4" t="s">
        <v>42</v>
      </c>
      <c r="C123" s="4" t="s">
        <v>23</v>
      </c>
      <c r="D123" s="4" t="s">
        <v>43</v>
      </c>
      <c r="E123" s="4" t="s">
        <v>54</v>
      </c>
      <c r="F123" s="4" t="s">
        <v>53</v>
      </c>
      <c r="G123" s="4" t="s">
        <v>25</v>
      </c>
      <c r="H123" s="4" t="s">
        <v>25</v>
      </c>
      <c r="I123" s="5">
        <v>44621</v>
      </c>
      <c r="J123" s="6">
        <v>0</v>
      </c>
      <c r="K123" s="6">
        <v>0</v>
      </c>
      <c r="L123" s="6">
        <v>3.2210000000000001</v>
      </c>
      <c r="M123" s="6">
        <v>1.2884</v>
      </c>
      <c r="N123" s="6">
        <v>3.2210000000000001</v>
      </c>
      <c r="O123" s="6">
        <v>1.2884</v>
      </c>
      <c r="P123" s="6">
        <v>0</v>
      </c>
      <c r="Q123" s="4" t="s">
        <v>26</v>
      </c>
      <c r="R123" s="4">
        <v>0</v>
      </c>
      <c r="S123" s="4">
        <v>0</v>
      </c>
      <c r="T123" s="4">
        <v>30</v>
      </c>
      <c r="U123" s="4">
        <v>74</v>
      </c>
      <c r="V123" s="6">
        <f>IF(ISERROR(VLOOKUP($S$123,'TAR FIN'!$A$1:$O$91,15,0)),0,VLOOKUP($S$123,'TAR FIN'!$A$1:$O$91,15,0))</f>
        <v>0</v>
      </c>
      <c r="W123" s="6">
        <f>IF(ISERROR(VLOOKUP($T$123,'TAR FIN'!$A$1:$O$91,15,0)),0,VLOOKUP($T$123,'TAR FIN'!$A$1:$O$91,15,0))</f>
        <v>236.77</v>
      </c>
      <c r="X123" s="6">
        <f>IF(ISERROR(VLOOKUP($U$123,'TAR FIN'!$A$1:$O$91,15,0)),0,VLOOKUP($U$123,'TAR FIN'!$A$1:$O$91,15,0))</f>
        <v>117.89</v>
      </c>
      <c r="Y123" s="6"/>
      <c r="Z123" s="6">
        <f ca="1">('TUSD BE'!$AM$37+'TUSD BF'!$AM$37+'TUSD CVA'!$AM$37)*(1-CUSTOS!$M$38)</f>
        <v>323.18581193481282</v>
      </c>
      <c r="AA123" s="6">
        <f>('TE BE'!$AB$25+'TE BF'!$AB$25+'TE CVA'!$AB$25)*(1-CUSTOS!$M$38)</f>
        <v>107.87938095628944</v>
      </c>
      <c r="AB123" s="6">
        <f t="shared" si="10"/>
        <v>0</v>
      </c>
      <c r="AC123" s="6">
        <f>(L123-M123)*(W123+X123)+($W$26+$X$26-$W$123-$X$123)*(L123)</f>
        <v>841.21568599999989</v>
      </c>
      <c r="AD123" s="6">
        <f t="shared" si="11"/>
        <v>0</v>
      </c>
      <c r="AE123" s="6">
        <f ca="1">(L123-M123)*(Z123+AA123)+($Z$26+$AA$26-$Z$123-$AA$123)*(L123)</f>
        <v>921.70176111978526</v>
      </c>
      <c r="AF123" s="4" t="s">
        <v>647</v>
      </c>
    </row>
    <row r="124" spans="1:32" ht="11.25" customHeight="1" x14ac:dyDescent="0.25">
      <c r="A124" s="4" t="s">
        <v>21</v>
      </c>
      <c r="B124" s="4" t="s">
        <v>42</v>
      </c>
      <c r="C124" s="4" t="s">
        <v>23</v>
      </c>
      <c r="D124" s="4" t="s">
        <v>43</v>
      </c>
      <c r="E124" s="4" t="s">
        <v>54</v>
      </c>
      <c r="F124" s="4" t="s">
        <v>53</v>
      </c>
      <c r="G124" s="4" t="s">
        <v>25</v>
      </c>
      <c r="H124" s="4" t="s">
        <v>25</v>
      </c>
      <c r="I124" s="5">
        <v>44652</v>
      </c>
      <c r="J124" s="6">
        <v>0</v>
      </c>
      <c r="K124" s="6">
        <v>0</v>
      </c>
      <c r="L124" s="6">
        <v>2.9910000000000001</v>
      </c>
      <c r="M124" s="6">
        <v>1.1963999999999999</v>
      </c>
      <c r="N124" s="6">
        <v>2.9910000000000001</v>
      </c>
      <c r="O124" s="6">
        <v>1.1963999999999999</v>
      </c>
      <c r="P124" s="6">
        <v>0</v>
      </c>
      <c r="Q124" s="4" t="s">
        <v>26</v>
      </c>
      <c r="R124" s="4">
        <v>0</v>
      </c>
      <c r="S124" s="4">
        <v>0</v>
      </c>
      <c r="T124" s="4">
        <v>30</v>
      </c>
      <c r="U124" s="4">
        <v>74</v>
      </c>
      <c r="V124" s="6">
        <f>IF(ISERROR(VLOOKUP($S$124,'TAR FIN'!$A$1:$O$91,15,0)),0,VLOOKUP($S$124,'TAR FIN'!$A$1:$O$91,15,0))</f>
        <v>0</v>
      </c>
      <c r="W124" s="6">
        <f>IF(ISERROR(VLOOKUP($T$124,'TAR FIN'!$A$1:$O$91,15,0)),0,VLOOKUP($T$124,'TAR FIN'!$A$1:$O$91,15,0))</f>
        <v>236.77</v>
      </c>
      <c r="X124" s="6">
        <f>IF(ISERROR(VLOOKUP($U$124,'TAR FIN'!$A$1:$O$91,15,0)),0,VLOOKUP($U$124,'TAR FIN'!$A$1:$O$91,15,0))</f>
        <v>117.89</v>
      </c>
      <c r="Y124" s="6"/>
      <c r="Z124" s="6">
        <f ca="1">('TUSD BE'!$AM$37+'TUSD BF'!$AM$37+'TUSD CVA'!$AM$37)*(1-CUSTOS!$M$38)</f>
        <v>323.18581193481282</v>
      </c>
      <c r="AA124" s="6">
        <f>('TE BE'!$AB$25+'TE BF'!$AB$25+'TE CVA'!$AB$25)*(1-CUSTOS!$M$38)</f>
        <v>107.87938095628944</v>
      </c>
      <c r="AB124" s="6">
        <f t="shared" si="10"/>
        <v>0</v>
      </c>
      <c r="AC124" s="6">
        <f>(L124-M124)*(W124+X124)+($W$26+$X$26-$W$124-$X$124)*(L124)</f>
        <v>781.14750600000002</v>
      </c>
      <c r="AD124" s="6">
        <f t="shared" si="11"/>
        <v>0</v>
      </c>
      <c r="AE124" s="6">
        <f ca="1">(L124-M124)*(Z124+AA124)+($Z$26+$AA$26-$Z$124-$AA$124)*(L124)</f>
        <v>855.88636060517774</v>
      </c>
      <c r="AF124" s="4" t="s">
        <v>647</v>
      </c>
    </row>
    <row r="125" spans="1:32" ht="11.25" customHeight="1" x14ac:dyDescent="0.25">
      <c r="A125" s="4" t="s">
        <v>21</v>
      </c>
      <c r="B125" s="4" t="s">
        <v>42</v>
      </c>
      <c r="C125" s="4" t="s">
        <v>23</v>
      </c>
      <c r="D125" s="4" t="s">
        <v>43</v>
      </c>
      <c r="E125" s="4" t="s">
        <v>54</v>
      </c>
      <c r="F125" s="4" t="s">
        <v>53</v>
      </c>
      <c r="G125" s="4" t="s">
        <v>25</v>
      </c>
      <c r="H125" s="4" t="s">
        <v>25</v>
      </c>
      <c r="I125" s="5">
        <v>44682</v>
      </c>
      <c r="J125" s="6">
        <v>0</v>
      </c>
      <c r="K125" s="6">
        <v>0</v>
      </c>
      <c r="L125" s="6">
        <v>2.02</v>
      </c>
      <c r="M125" s="6">
        <v>0.80800000000000005</v>
      </c>
      <c r="N125" s="6">
        <v>2.02</v>
      </c>
      <c r="O125" s="6">
        <v>0.80800000000000005</v>
      </c>
      <c r="P125" s="6">
        <v>0</v>
      </c>
      <c r="Q125" s="4" t="s">
        <v>26</v>
      </c>
      <c r="R125" s="4">
        <v>0</v>
      </c>
      <c r="S125" s="4">
        <v>0</v>
      </c>
      <c r="T125" s="4">
        <v>30</v>
      </c>
      <c r="U125" s="4">
        <v>74</v>
      </c>
      <c r="V125" s="6">
        <f>IF(ISERROR(VLOOKUP($S$125,'TAR FIN'!$A$1:$O$91,15,0)),0,VLOOKUP($S$125,'TAR FIN'!$A$1:$O$91,15,0))</f>
        <v>0</v>
      </c>
      <c r="W125" s="6">
        <f>IF(ISERROR(VLOOKUP($T$125,'TAR FIN'!$A$1:$O$91,15,0)),0,VLOOKUP($T$125,'TAR FIN'!$A$1:$O$91,15,0))</f>
        <v>236.77</v>
      </c>
      <c r="X125" s="6">
        <f>IF(ISERROR(VLOOKUP($U$125,'TAR FIN'!$A$1:$O$91,15,0)),0,VLOOKUP($U$125,'TAR FIN'!$A$1:$O$91,15,0))</f>
        <v>117.89</v>
      </c>
      <c r="Y125" s="6"/>
      <c r="Z125" s="6">
        <f ca="1">('TUSD BE'!$AM$37+'TUSD BF'!$AM$37+'TUSD CVA'!$AM$37)*(1-CUSTOS!$M$38)</f>
        <v>323.18581193481282</v>
      </c>
      <c r="AA125" s="6">
        <f>('TE BE'!$AB$25+'TE BF'!$AB$25+'TE CVA'!$AB$25)*(1-CUSTOS!$M$38)</f>
        <v>107.87938095628944</v>
      </c>
      <c r="AB125" s="6">
        <f t="shared" si="10"/>
        <v>0</v>
      </c>
      <c r="AC125" s="6">
        <f>(L125-M125)*(W125+X125)+($W$26+$X$26-$W$125-$X$125)*(L125)</f>
        <v>527.55531999999994</v>
      </c>
      <c r="AD125" s="6">
        <f t="shared" si="11"/>
        <v>0</v>
      </c>
      <c r="AE125" s="6">
        <f ca="1">(L125-M125)*(Z125+AA125)+($Z$26+$AA$26-$Z$125-$AA$125)*(L125)</f>
        <v>578.030908867422</v>
      </c>
      <c r="AF125" s="4" t="s">
        <v>647</v>
      </c>
    </row>
    <row r="126" spans="1:32" ht="11.25" customHeight="1" x14ac:dyDescent="0.25">
      <c r="A126" s="4" t="s">
        <v>21</v>
      </c>
      <c r="B126" s="4" t="s">
        <v>42</v>
      </c>
      <c r="C126" s="4" t="s">
        <v>23</v>
      </c>
      <c r="D126" s="4" t="s">
        <v>43</v>
      </c>
      <c r="E126" s="4" t="s">
        <v>54</v>
      </c>
      <c r="F126" s="4" t="s">
        <v>53</v>
      </c>
      <c r="G126" s="4" t="s">
        <v>25</v>
      </c>
      <c r="H126" s="4" t="s">
        <v>25</v>
      </c>
      <c r="I126" s="5">
        <v>44713</v>
      </c>
      <c r="J126" s="6">
        <v>0</v>
      </c>
      <c r="K126" s="6">
        <v>0</v>
      </c>
      <c r="L126" s="6">
        <v>1.109</v>
      </c>
      <c r="M126" s="6">
        <v>0.44359999999999999</v>
      </c>
      <c r="N126" s="6">
        <v>1.109</v>
      </c>
      <c r="O126" s="6">
        <v>0.44359999999999999</v>
      </c>
      <c r="P126" s="6">
        <v>0</v>
      </c>
      <c r="Q126" s="4" t="s">
        <v>26</v>
      </c>
      <c r="R126" s="4">
        <v>0</v>
      </c>
      <c r="S126" s="4">
        <v>0</v>
      </c>
      <c r="T126" s="4">
        <v>30</v>
      </c>
      <c r="U126" s="4">
        <v>74</v>
      </c>
      <c r="V126" s="6">
        <f>IF(ISERROR(VLOOKUP($S$126,'TAR FIN'!$A$1:$O$91,15,0)),0,VLOOKUP($S$126,'TAR FIN'!$A$1:$O$91,15,0))</f>
        <v>0</v>
      </c>
      <c r="W126" s="6">
        <f>IF(ISERROR(VLOOKUP($T$126,'TAR FIN'!$A$1:$O$91,15,0)),0,VLOOKUP($T$126,'TAR FIN'!$A$1:$O$91,15,0))</f>
        <v>236.77</v>
      </c>
      <c r="X126" s="6">
        <f>IF(ISERROR(VLOOKUP($U$126,'TAR FIN'!$A$1:$O$91,15,0)),0,VLOOKUP($U$126,'TAR FIN'!$A$1:$O$91,15,0))</f>
        <v>117.89</v>
      </c>
      <c r="Y126" s="6"/>
      <c r="Z126" s="6">
        <f ca="1">('TUSD BE'!$AM$37+'TUSD BF'!$AM$37+'TUSD CVA'!$AM$37)*(1-CUSTOS!$M$38)</f>
        <v>323.18581193481282</v>
      </c>
      <c r="AA126" s="6">
        <f>('TE BE'!$AB$25+'TE BF'!$AB$25+'TE CVA'!$AB$25)*(1-CUSTOS!$M$38)</f>
        <v>107.87938095628944</v>
      </c>
      <c r="AB126" s="6">
        <f t="shared" si="10"/>
        <v>0</v>
      </c>
      <c r="AC126" s="6">
        <f>(L126-M126)*(W126+X126)+($W$26+$X$26-$W$126-$X$126)*(L126)</f>
        <v>289.63309399999997</v>
      </c>
      <c r="AD126" s="6">
        <f t="shared" si="11"/>
        <v>0</v>
      </c>
      <c r="AE126" s="6">
        <f ca="1">(L126-M126)*(Z126+AA126)+($Z$26+$AA$26-$Z$126-$AA$126)*(L126)</f>
        <v>317.34469204652027</v>
      </c>
      <c r="AF126" s="4" t="s">
        <v>647</v>
      </c>
    </row>
    <row r="127" spans="1:32" ht="11.25" customHeight="1" x14ac:dyDescent="0.25">
      <c r="A127" s="4" t="s">
        <v>21</v>
      </c>
      <c r="B127" s="4" t="s">
        <v>42</v>
      </c>
      <c r="C127" s="4" t="s">
        <v>23</v>
      </c>
      <c r="D127" s="4" t="s">
        <v>43</v>
      </c>
      <c r="E127" s="4" t="s">
        <v>54</v>
      </c>
      <c r="F127" s="4" t="s">
        <v>53</v>
      </c>
      <c r="G127" s="4" t="s">
        <v>25</v>
      </c>
      <c r="H127" s="4" t="s">
        <v>25</v>
      </c>
      <c r="I127" s="5">
        <v>44743</v>
      </c>
      <c r="J127" s="6">
        <v>0</v>
      </c>
      <c r="K127" s="6">
        <v>0</v>
      </c>
      <c r="L127" s="6">
        <v>0.14799999999999999</v>
      </c>
      <c r="M127" s="6">
        <v>5.9200000000000003E-2</v>
      </c>
      <c r="N127" s="6">
        <v>0.14799999999999999</v>
      </c>
      <c r="O127" s="6">
        <v>5.9200000000000003E-2</v>
      </c>
      <c r="P127" s="6">
        <v>0</v>
      </c>
      <c r="Q127" s="4" t="s">
        <v>26</v>
      </c>
      <c r="R127" s="4">
        <v>0</v>
      </c>
      <c r="S127" s="4">
        <v>0</v>
      </c>
      <c r="T127" s="4">
        <v>30</v>
      </c>
      <c r="U127" s="4">
        <v>74</v>
      </c>
      <c r="V127" s="6">
        <f>IF(ISERROR(VLOOKUP($S$127,'TAR FIN'!$A$1:$O$91,15,0)),0,VLOOKUP($S$127,'TAR FIN'!$A$1:$O$91,15,0))</f>
        <v>0</v>
      </c>
      <c r="W127" s="6">
        <f>IF(ISERROR(VLOOKUP($T$127,'TAR FIN'!$A$1:$O$91,15,0)),0,VLOOKUP($T$127,'TAR FIN'!$A$1:$O$91,15,0))</f>
        <v>236.77</v>
      </c>
      <c r="X127" s="6">
        <f>IF(ISERROR(VLOOKUP($U$127,'TAR FIN'!$A$1:$O$91,15,0)),0,VLOOKUP($U$127,'TAR FIN'!$A$1:$O$91,15,0))</f>
        <v>117.89</v>
      </c>
      <c r="Y127" s="6"/>
      <c r="Z127" s="6">
        <f ca="1">('TUSD BE'!$AM$37+'TUSD BF'!$AM$37+'TUSD CVA'!$AM$37)*(1-CUSTOS!$M$38)</f>
        <v>323.18581193481282</v>
      </c>
      <c r="AA127" s="6">
        <f>('TE BE'!$AB$25+'TE BF'!$AB$25+'TE CVA'!$AB$25)*(1-CUSTOS!$M$38)</f>
        <v>107.87938095628944</v>
      </c>
      <c r="AB127" s="6">
        <f t="shared" si="10"/>
        <v>0</v>
      </c>
      <c r="AC127" s="6">
        <f>(L127-M127)*(W127+X127)+($W$26+$X$26-$W$127-$X$127)*(L127)</f>
        <v>38.652567999999988</v>
      </c>
      <c r="AD127" s="6">
        <f t="shared" si="11"/>
        <v>0</v>
      </c>
      <c r="AE127" s="6">
        <f ca="1">(L127-M127)*(Z127+AA127)+($Z$26+$AA$26-$Z$127-$AA$127)*(L127)</f>
        <v>42.350779461573488</v>
      </c>
      <c r="AF127" s="4" t="s">
        <v>647</v>
      </c>
    </row>
    <row r="128" spans="1:32" ht="11.25" customHeight="1" x14ac:dyDescent="0.25">
      <c r="A128" s="4" t="s">
        <v>57</v>
      </c>
      <c r="B128" s="4" t="s">
        <v>42</v>
      </c>
      <c r="C128" s="4" t="s">
        <v>23</v>
      </c>
      <c r="D128" s="4" t="s">
        <v>43</v>
      </c>
      <c r="E128" s="4" t="s">
        <v>54</v>
      </c>
      <c r="F128" s="4" t="s">
        <v>53</v>
      </c>
      <c r="G128" s="4" t="s">
        <v>25</v>
      </c>
      <c r="H128" s="4" t="s">
        <v>25</v>
      </c>
      <c r="I128" s="5">
        <v>44774</v>
      </c>
      <c r="J128" s="6">
        <v>0</v>
      </c>
      <c r="K128" s="6">
        <v>0</v>
      </c>
      <c r="L128" s="6">
        <v>0.14799999999999999</v>
      </c>
      <c r="M128" s="6">
        <v>5.9200000000000003E-2</v>
      </c>
      <c r="N128" s="6">
        <v>0.14799999999999999</v>
      </c>
      <c r="O128" s="6">
        <v>5.9200000000000003E-2</v>
      </c>
      <c r="P128" s="6">
        <v>0</v>
      </c>
      <c r="Q128" s="4" t="s">
        <v>26</v>
      </c>
      <c r="R128" s="4">
        <v>0</v>
      </c>
      <c r="S128" s="4">
        <v>0</v>
      </c>
      <c r="T128" s="4">
        <v>30</v>
      </c>
      <c r="U128" s="4">
        <v>74</v>
      </c>
      <c r="V128" s="6">
        <f>IF(ISERROR(VLOOKUP($S$128,'TAR FIN'!$A$1:$O$91,15,0)),0,VLOOKUP($S$128,'TAR FIN'!$A$1:$O$91,15,0))</f>
        <v>0</v>
      </c>
      <c r="W128" s="6">
        <f>IF(ISERROR(VLOOKUP($T$128,'TAR FIN'!$A$1:$O$91,15,0)),0,VLOOKUP($T$128,'TAR FIN'!$A$1:$O$91,15,0))</f>
        <v>236.77</v>
      </c>
      <c r="X128" s="6">
        <f>IF(ISERROR(VLOOKUP($U$128,'TAR FIN'!$A$1:$O$91,15,0)),0,VLOOKUP($U$128,'TAR FIN'!$A$1:$O$91,15,0))</f>
        <v>117.89</v>
      </c>
      <c r="Y128" s="6"/>
      <c r="Z128" s="6">
        <f ca="1">('TUSD BE'!$AM$37+'TUSD BF'!$AM$37+'TUSD CVA'!$AM$37)*(1-CUSTOS!$M$38)</f>
        <v>323.18581193481282</v>
      </c>
      <c r="AA128" s="6">
        <f>('TE BE'!$AB$25+'TE BF'!$AB$25+'TE CVA'!$AB$25)*(1-CUSTOS!$M$38)</f>
        <v>107.87938095628944</v>
      </c>
      <c r="AB128" s="6">
        <f t="shared" si="10"/>
        <v>0</v>
      </c>
      <c r="AC128" s="6">
        <f>(L128-M128)*(W128+X128)+($W$26+$X$26-$W$128-$X$128)*(L128)</f>
        <v>38.652567999999988</v>
      </c>
      <c r="AD128" s="6">
        <f t="shared" si="11"/>
        <v>0</v>
      </c>
      <c r="AE128" s="6">
        <f ca="1">(L128-M128)*(Z128+AA128)+($Z$26+$AA$26-$Z$128-$AA$128)*(L128)</f>
        <v>42.350779461573488</v>
      </c>
      <c r="AF128" s="4" t="s">
        <v>647</v>
      </c>
    </row>
    <row r="129" spans="1:32" ht="11.25" customHeight="1" x14ac:dyDescent="0.25">
      <c r="A129" s="4" t="s">
        <v>21</v>
      </c>
      <c r="B129" s="4" t="s">
        <v>42</v>
      </c>
      <c r="C129" s="4" t="s">
        <v>23</v>
      </c>
      <c r="D129" s="4" t="s">
        <v>43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0</v>
      </c>
      <c r="K129" s="6">
        <v>0</v>
      </c>
      <c r="L129" s="6">
        <v>1132.354</v>
      </c>
      <c r="M129" s="6">
        <v>1132.354</v>
      </c>
      <c r="N129" s="6">
        <v>1132.354</v>
      </c>
      <c r="O129" s="6">
        <v>1132.354</v>
      </c>
      <c r="P129" s="6">
        <v>2356</v>
      </c>
      <c r="Q129" s="4" t="s">
        <v>26</v>
      </c>
      <c r="R129" s="4">
        <v>0</v>
      </c>
      <c r="S129" s="4">
        <v>0</v>
      </c>
      <c r="T129" s="4">
        <v>30</v>
      </c>
      <c r="U129" s="4">
        <v>74</v>
      </c>
      <c r="V129" s="6">
        <f>IF(ISERROR(VLOOKUP($S$129,'TAR FIN'!$A$1:$O$91,15,0)),0,VLOOKUP($S$129,'TAR FIN'!$A$1:$O$91,15,0))</f>
        <v>0</v>
      </c>
      <c r="W129" s="6">
        <f>IF(ISERROR(VLOOKUP($T$129,'TAR FIN'!$A$1:$O$91,15,0)),0,VLOOKUP($T$129,'TAR FIN'!$A$1:$O$91,15,0))</f>
        <v>236.77</v>
      </c>
      <c r="X129" s="6">
        <f>IF(ISERROR(VLOOKUP($U$129,'TAR FIN'!$A$1:$O$91,15,0)),0,VLOOKUP($U$129,'TAR FIN'!$A$1:$O$91,15,0))</f>
        <v>117.89</v>
      </c>
      <c r="Y129" s="6"/>
      <c r="Z129" s="6">
        <f ca="1">('TUSD BE'!$AM$37+'TUSD BF'!$AM$37+'TUSD CVA'!$AM$37)*(1-CUSTOS!$M$38)</f>
        <v>323.18581193481282</v>
      </c>
      <c r="AA129" s="6">
        <f>('TE BE'!$AB$25+'TE BF'!$AB$25+'TE CVA'!$AB$25)*(1-CUSTOS!$M$38)</f>
        <v>107.87938095628944</v>
      </c>
      <c r="AB129" s="6">
        <f t="shared" si="10"/>
        <v>0</v>
      </c>
      <c r="AC129" s="6">
        <f>(L129-M129)*(W129+X129)+($W$26+$X$26-$W$129-$X$129)*(L129)</f>
        <v>54771.96297999996</v>
      </c>
      <c r="AD129" s="6">
        <f t="shared" si="11"/>
        <v>0</v>
      </c>
      <c r="AE129" s="6">
        <f ca="1">(L129-M129)*(Z129+AA129)+($Z$26+$AA$26-$Z$129-$AA$129)*(L129)</f>
        <v>31156.493325383741</v>
      </c>
      <c r="AF129" s="4" t="s">
        <v>646</v>
      </c>
    </row>
    <row r="130" spans="1:32" ht="11.25" customHeight="1" x14ac:dyDescent="0.25">
      <c r="A130" s="4" t="s">
        <v>28</v>
      </c>
      <c r="B130" s="4" t="s">
        <v>42</v>
      </c>
      <c r="C130" s="4" t="s">
        <v>23</v>
      </c>
      <c r="D130" s="4" t="s">
        <v>43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0</v>
      </c>
      <c r="K130" s="6">
        <v>0</v>
      </c>
      <c r="L130" s="6">
        <v>17.155000000000001</v>
      </c>
      <c r="M130" s="6">
        <v>17.155000000000001</v>
      </c>
      <c r="N130" s="6">
        <v>17.155000000000001</v>
      </c>
      <c r="O130" s="6">
        <v>17.155000000000001</v>
      </c>
      <c r="P130" s="6">
        <v>16</v>
      </c>
      <c r="Q130" s="4" t="s">
        <v>26</v>
      </c>
      <c r="R130" s="4">
        <v>0</v>
      </c>
      <c r="S130" s="4">
        <v>0</v>
      </c>
      <c r="T130" s="4">
        <v>30</v>
      </c>
      <c r="U130" s="4">
        <v>74</v>
      </c>
      <c r="V130" s="6">
        <f>IF(ISERROR(VLOOKUP($S$130,'TAR FIN'!$A$1:$O$91,15,0)),0,VLOOKUP($S$130,'TAR FIN'!$A$1:$O$91,15,0))</f>
        <v>0</v>
      </c>
      <c r="W130" s="6">
        <f>IF(ISERROR(VLOOKUP($T$130,'TAR FIN'!$A$1:$O$91,15,0)),0,VLOOKUP($T$130,'TAR FIN'!$A$1:$O$91,15,0))</f>
        <v>236.77</v>
      </c>
      <c r="X130" s="6">
        <f>IF(ISERROR(VLOOKUP($U$130,'TAR FIN'!$A$1:$O$91,15,0)),0,VLOOKUP($U$130,'TAR FIN'!$A$1:$O$91,15,0))</f>
        <v>117.89</v>
      </c>
      <c r="Y130" s="6"/>
      <c r="Z130" s="6">
        <f ca="1">('TUSD BE'!$AM$37+'TUSD BF'!$AM$37+'TUSD CVA'!$AM$37)*(1-CUSTOS!$M$38)</f>
        <v>323.18581193481282</v>
      </c>
      <c r="AA130" s="6">
        <f>('TE BE'!$AB$25+'TE BF'!$AB$25+'TE CVA'!$AB$25)*(1-CUSTOS!$M$38)</f>
        <v>107.87938095628944</v>
      </c>
      <c r="AB130" s="6">
        <f t="shared" ref="AB130:AB155" si="12">(J130-K130)*V130</f>
        <v>0</v>
      </c>
      <c r="AC130" s="6">
        <f>(L130-M130)*(W130+X130)+($W$26+$X$26-$W$130-$X$130)*(L130)</f>
        <v>829.78734999999938</v>
      </c>
      <c r="AD130" s="6">
        <f t="shared" ref="AD130:AD155" si="13">(J130-K130)*Y130</f>
        <v>0</v>
      </c>
      <c r="AE130" s="6">
        <f ca="1">(L130-M130)*(Z130+AA130)+($Z$26+$AA$26-$Z$130-$AA$130)*(L130)</f>
        <v>472.01638621575768</v>
      </c>
      <c r="AF130" s="4" t="s">
        <v>646</v>
      </c>
    </row>
    <row r="131" spans="1:32" ht="11.25" customHeight="1" x14ac:dyDescent="0.25">
      <c r="A131" s="4" t="s">
        <v>21</v>
      </c>
      <c r="B131" s="4" t="s">
        <v>42</v>
      </c>
      <c r="C131" s="4" t="s">
        <v>23</v>
      </c>
      <c r="D131" s="4" t="s">
        <v>43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44470</v>
      </c>
      <c r="J131" s="6">
        <v>0</v>
      </c>
      <c r="K131" s="6">
        <v>0</v>
      </c>
      <c r="L131" s="6">
        <v>1150.972</v>
      </c>
      <c r="M131" s="6">
        <v>1150.972</v>
      </c>
      <c r="N131" s="6">
        <v>1150.972</v>
      </c>
      <c r="O131" s="6">
        <v>1150.972</v>
      </c>
      <c r="P131" s="6">
        <v>2375</v>
      </c>
      <c r="Q131" s="4" t="s">
        <v>26</v>
      </c>
      <c r="R131" s="4">
        <v>0</v>
      </c>
      <c r="S131" s="4">
        <v>0</v>
      </c>
      <c r="T131" s="4">
        <v>30</v>
      </c>
      <c r="U131" s="4">
        <v>74</v>
      </c>
      <c r="V131" s="6">
        <f>IF(ISERROR(VLOOKUP($S$131,'TAR FIN'!$A$1:$O$91,15,0)),0,VLOOKUP($S$131,'TAR FIN'!$A$1:$O$91,15,0))</f>
        <v>0</v>
      </c>
      <c r="W131" s="6">
        <f>IF(ISERROR(VLOOKUP($T$131,'TAR FIN'!$A$1:$O$91,15,0)),0,VLOOKUP($T$131,'TAR FIN'!$A$1:$O$91,15,0))</f>
        <v>236.77</v>
      </c>
      <c r="X131" s="6">
        <f>IF(ISERROR(VLOOKUP($U$131,'TAR FIN'!$A$1:$O$91,15,0)),0,VLOOKUP($U$131,'TAR FIN'!$A$1:$O$91,15,0))</f>
        <v>117.89</v>
      </c>
      <c r="Y131" s="6"/>
      <c r="Z131" s="6">
        <f ca="1">('TUSD BE'!$AM$37+'TUSD BF'!$AM$37+'TUSD CVA'!$AM$37)*(1-CUSTOS!$M$38)</f>
        <v>323.18581193481282</v>
      </c>
      <c r="AA131" s="6">
        <f>('TE BE'!$AB$25+'TE BF'!$AB$25+'TE CVA'!$AB$25)*(1-CUSTOS!$M$38)</f>
        <v>107.87938095628944</v>
      </c>
      <c r="AB131" s="6">
        <f t="shared" si="12"/>
        <v>0</v>
      </c>
      <c r="AC131" s="6">
        <f>(L131-M131)*(W131+X131)+($W$26+$X$26-$W$131-$X$131)*(L131)</f>
        <v>55672.515639999954</v>
      </c>
      <c r="AD131" s="6">
        <f t="shared" si="13"/>
        <v>0</v>
      </c>
      <c r="AE131" s="6">
        <f ca="1">(L131-M131)*(Z131+AA131)+($Z$26+$AA$26-$Z$131-$AA$131)*(L131)</f>
        <v>31668.763863335647</v>
      </c>
      <c r="AF131" s="4" t="s">
        <v>646</v>
      </c>
    </row>
    <row r="132" spans="1:32" ht="11.25" customHeight="1" x14ac:dyDescent="0.25">
      <c r="A132" s="4" t="s">
        <v>28</v>
      </c>
      <c r="B132" s="4" t="s">
        <v>42</v>
      </c>
      <c r="C132" s="4" t="s">
        <v>23</v>
      </c>
      <c r="D132" s="4" t="s">
        <v>43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0</v>
      </c>
      <c r="K132" s="6">
        <v>0</v>
      </c>
      <c r="L132" s="6">
        <v>22.286000000000001</v>
      </c>
      <c r="M132" s="6">
        <v>22.286000000000001</v>
      </c>
      <c r="N132" s="6">
        <v>22.286000000000001</v>
      </c>
      <c r="O132" s="6">
        <v>22.286000000000001</v>
      </c>
      <c r="P132" s="6">
        <v>15</v>
      </c>
      <c r="Q132" s="4" t="s">
        <v>26</v>
      </c>
      <c r="R132" s="4">
        <v>0</v>
      </c>
      <c r="S132" s="4">
        <v>0</v>
      </c>
      <c r="T132" s="4">
        <v>30</v>
      </c>
      <c r="U132" s="4">
        <v>74</v>
      </c>
      <c r="V132" s="6">
        <f>IF(ISERROR(VLOOKUP($S$132,'TAR FIN'!$A$1:$O$91,15,0)),0,VLOOKUP($S$132,'TAR FIN'!$A$1:$O$91,15,0))</f>
        <v>0</v>
      </c>
      <c r="W132" s="6">
        <f>IF(ISERROR(VLOOKUP($T$132,'TAR FIN'!$A$1:$O$91,15,0)),0,VLOOKUP($T$132,'TAR FIN'!$A$1:$O$91,15,0))</f>
        <v>236.77</v>
      </c>
      <c r="X132" s="6">
        <f>IF(ISERROR(VLOOKUP($U$132,'TAR FIN'!$A$1:$O$91,15,0)),0,VLOOKUP($U$132,'TAR FIN'!$A$1:$O$91,15,0))</f>
        <v>117.89</v>
      </c>
      <c r="Y132" s="6"/>
      <c r="Z132" s="6">
        <f ca="1">('TUSD BE'!$AM$37+'TUSD BF'!$AM$37+'TUSD CVA'!$AM$37)*(1-CUSTOS!$M$38)</f>
        <v>323.18581193481282</v>
      </c>
      <c r="AA132" s="6">
        <f>('TE BE'!$AB$25+'TE BF'!$AB$25+'TE CVA'!$AB$25)*(1-CUSTOS!$M$38)</f>
        <v>107.87938095628944</v>
      </c>
      <c r="AB132" s="6">
        <f t="shared" si="12"/>
        <v>0</v>
      </c>
      <c r="AC132" s="6">
        <f>(L132-M132)*(W132+X132)+($W$26+$X$26-$W$132-$X$132)*(L132)</f>
        <v>1077.9738199999993</v>
      </c>
      <c r="AD132" s="6">
        <f t="shared" si="13"/>
        <v>0</v>
      </c>
      <c r="AE132" s="6">
        <f ca="1">(L132-M132)*(Z132+AA132)+($Z$26+$AA$26-$Z$132-$AA$132)*(L132)</f>
        <v>613.19482268751824</v>
      </c>
      <c r="AF132" s="4" t="s">
        <v>646</v>
      </c>
    </row>
    <row r="133" spans="1:32" ht="11.25" customHeight="1" x14ac:dyDescent="0.25">
      <c r="A133" s="4" t="s">
        <v>21</v>
      </c>
      <c r="B133" s="4" t="s">
        <v>42</v>
      </c>
      <c r="C133" s="4" t="s">
        <v>23</v>
      </c>
      <c r="D133" s="4" t="s">
        <v>43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44501</v>
      </c>
      <c r="J133" s="6">
        <v>0</v>
      </c>
      <c r="K133" s="6">
        <v>0</v>
      </c>
      <c r="L133" s="6">
        <v>1227.769</v>
      </c>
      <c r="M133" s="6">
        <v>1227.769</v>
      </c>
      <c r="N133" s="6">
        <v>1227.769</v>
      </c>
      <c r="O133" s="6">
        <v>1227.769</v>
      </c>
      <c r="P133" s="6">
        <v>2374</v>
      </c>
      <c r="Q133" s="4" t="s">
        <v>26</v>
      </c>
      <c r="R133" s="4">
        <v>0</v>
      </c>
      <c r="S133" s="4">
        <v>0</v>
      </c>
      <c r="T133" s="4">
        <v>30</v>
      </c>
      <c r="U133" s="4">
        <v>74</v>
      </c>
      <c r="V133" s="6">
        <f>IF(ISERROR(VLOOKUP($S$133,'TAR FIN'!$A$1:$O$91,15,0)),0,VLOOKUP($S$133,'TAR FIN'!$A$1:$O$91,15,0))</f>
        <v>0</v>
      </c>
      <c r="W133" s="6">
        <f>IF(ISERROR(VLOOKUP($T$133,'TAR FIN'!$A$1:$O$91,15,0)),0,VLOOKUP($T$133,'TAR FIN'!$A$1:$O$91,15,0))</f>
        <v>236.77</v>
      </c>
      <c r="X133" s="6">
        <f>IF(ISERROR(VLOOKUP($U$133,'TAR FIN'!$A$1:$O$91,15,0)),0,VLOOKUP($U$133,'TAR FIN'!$A$1:$O$91,15,0))</f>
        <v>117.89</v>
      </c>
      <c r="Y133" s="6"/>
      <c r="Z133" s="6">
        <f ca="1">('TUSD BE'!$AM$37+'TUSD BF'!$AM$37+'TUSD CVA'!$AM$37)*(1-CUSTOS!$M$38)</f>
        <v>323.18581193481282</v>
      </c>
      <c r="AA133" s="6">
        <f>('TE BE'!$AB$25+'TE BF'!$AB$25+'TE CVA'!$AB$25)*(1-CUSTOS!$M$38)</f>
        <v>107.87938095628944</v>
      </c>
      <c r="AB133" s="6">
        <f t="shared" si="12"/>
        <v>0</v>
      </c>
      <c r="AC133" s="6">
        <f>(L133-M133)*(W133+X133)+($W$26+$X$26-$W$133-$X$133)*(L133)</f>
        <v>59387.186529999955</v>
      </c>
      <c r="AD133" s="6">
        <f t="shared" si="13"/>
        <v>0</v>
      </c>
      <c r="AE133" s="6">
        <f ca="1">(L133-M133)*(Z133+AA133)+($Z$26+$AA$26-$Z$133-$AA$133)*(L133)</f>
        <v>33781.817924088289</v>
      </c>
      <c r="AF133" s="4" t="s">
        <v>646</v>
      </c>
    </row>
    <row r="134" spans="1:32" ht="11.25" customHeight="1" x14ac:dyDescent="0.25">
      <c r="A134" s="4" t="s">
        <v>28</v>
      </c>
      <c r="B134" s="4" t="s">
        <v>42</v>
      </c>
      <c r="C134" s="4" t="s">
        <v>23</v>
      </c>
      <c r="D134" s="4" t="s">
        <v>43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0</v>
      </c>
      <c r="K134" s="6">
        <v>0</v>
      </c>
      <c r="L134" s="6">
        <v>27.45</v>
      </c>
      <c r="M134" s="6">
        <v>27.45</v>
      </c>
      <c r="N134" s="6">
        <v>27.45</v>
      </c>
      <c r="O134" s="6">
        <v>27.45</v>
      </c>
      <c r="P134" s="6">
        <v>17</v>
      </c>
      <c r="Q134" s="4" t="s">
        <v>26</v>
      </c>
      <c r="R134" s="4">
        <v>0</v>
      </c>
      <c r="S134" s="4">
        <v>0</v>
      </c>
      <c r="T134" s="4">
        <v>30</v>
      </c>
      <c r="U134" s="4">
        <v>74</v>
      </c>
      <c r="V134" s="6">
        <f>IF(ISERROR(VLOOKUP($S$134,'TAR FIN'!$A$1:$O$91,15,0)),0,VLOOKUP($S$134,'TAR FIN'!$A$1:$O$91,15,0))</f>
        <v>0</v>
      </c>
      <c r="W134" s="6">
        <f>IF(ISERROR(VLOOKUP($T$134,'TAR FIN'!$A$1:$O$91,15,0)),0,VLOOKUP($T$134,'TAR FIN'!$A$1:$O$91,15,0))</f>
        <v>236.77</v>
      </c>
      <c r="X134" s="6">
        <f>IF(ISERROR(VLOOKUP($U$134,'TAR FIN'!$A$1:$O$91,15,0)),0,VLOOKUP($U$134,'TAR FIN'!$A$1:$O$91,15,0))</f>
        <v>117.89</v>
      </c>
      <c r="Y134" s="6"/>
      <c r="Z134" s="6">
        <f ca="1">('TUSD BE'!$AM$37+'TUSD BF'!$AM$37+'TUSD CVA'!$AM$37)*(1-CUSTOS!$M$38)</f>
        <v>323.18581193481282</v>
      </c>
      <c r="AA134" s="6">
        <f>('TE BE'!$AB$25+'TE BF'!$AB$25+'TE CVA'!$AB$25)*(1-CUSTOS!$M$38)</f>
        <v>107.87938095628944</v>
      </c>
      <c r="AB134" s="6">
        <f t="shared" si="12"/>
        <v>0</v>
      </c>
      <c r="AC134" s="6">
        <f>(L134-M134)*(W134+X134)+($W$26+$X$26-$W$134-$X$134)*(L134)</f>
        <v>1327.7564999999988</v>
      </c>
      <c r="AD134" s="6">
        <f t="shared" si="13"/>
        <v>0</v>
      </c>
      <c r="AE134" s="6">
        <f ca="1">(L134-M134)*(Z134+AA134)+($Z$26+$AA$26-$Z$134-$AA$134)*(L134)</f>
        <v>755.28124754430473</v>
      </c>
      <c r="AF134" s="4" t="s">
        <v>646</v>
      </c>
    </row>
    <row r="135" spans="1:32" ht="11.25" customHeight="1" x14ac:dyDescent="0.25">
      <c r="A135" s="4" t="s">
        <v>21</v>
      </c>
      <c r="B135" s="4" t="s">
        <v>42</v>
      </c>
      <c r="C135" s="4" t="s">
        <v>23</v>
      </c>
      <c r="D135" s="4" t="s">
        <v>43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0</v>
      </c>
      <c r="K135" s="6">
        <v>0</v>
      </c>
      <c r="L135" s="6">
        <v>1242.847</v>
      </c>
      <c r="M135" s="6">
        <v>1242.847</v>
      </c>
      <c r="N135" s="6">
        <v>1242.847</v>
      </c>
      <c r="O135" s="6">
        <v>1242.847</v>
      </c>
      <c r="P135" s="6">
        <v>2373</v>
      </c>
      <c r="Q135" s="4" t="s">
        <v>26</v>
      </c>
      <c r="R135" s="4">
        <v>0</v>
      </c>
      <c r="S135" s="4">
        <v>0</v>
      </c>
      <c r="T135" s="4">
        <v>30</v>
      </c>
      <c r="U135" s="4">
        <v>74</v>
      </c>
      <c r="V135" s="6">
        <f>IF(ISERROR(VLOOKUP($S$135,'TAR FIN'!$A$1:$O$91,15,0)),0,VLOOKUP($S$135,'TAR FIN'!$A$1:$O$91,15,0))</f>
        <v>0</v>
      </c>
      <c r="W135" s="6">
        <f>IF(ISERROR(VLOOKUP($T$135,'TAR FIN'!$A$1:$O$91,15,0)),0,VLOOKUP($T$135,'TAR FIN'!$A$1:$O$91,15,0))</f>
        <v>236.77</v>
      </c>
      <c r="X135" s="6">
        <f>IF(ISERROR(VLOOKUP($U$135,'TAR FIN'!$A$1:$O$91,15,0)),0,VLOOKUP($U$135,'TAR FIN'!$A$1:$O$91,15,0))</f>
        <v>117.89</v>
      </c>
      <c r="Y135" s="6"/>
      <c r="Z135" s="6">
        <f ca="1">('TUSD BE'!$AM$37+'TUSD BF'!$AM$37+'TUSD CVA'!$AM$37)*(1-CUSTOS!$M$38)</f>
        <v>323.18581193481282</v>
      </c>
      <c r="AA135" s="6">
        <f>('TE BE'!$AB$25+'TE BF'!$AB$25+'TE CVA'!$AB$25)*(1-CUSTOS!$M$38)</f>
        <v>107.87938095628944</v>
      </c>
      <c r="AB135" s="6">
        <f t="shared" si="12"/>
        <v>0</v>
      </c>
      <c r="AC135" s="6">
        <f>(L135-M135)*(W135+X135)+($W$26+$X$26-$W$135-$X$135)*(L135)</f>
        <v>60116.509389999948</v>
      </c>
      <c r="AD135" s="6">
        <f t="shared" si="13"/>
        <v>0</v>
      </c>
      <c r="AE135" s="6">
        <f ca="1">(L135-M135)*(Z135+AA135)+($Z$26+$AA$26-$Z$135-$AA$135)*(L135)</f>
        <v>34196.686071646502</v>
      </c>
      <c r="AF135" s="4" t="s">
        <v>646</v>
      </c>
    </row>
    <row r="136" spans="1:32" ht="11.25" customHeight="1" x14ac:dyDescent="0.25">
      <c r="A136" s="4" t="s">
        <v>28</v>
      </c>
      <c r="B136" s="4" t="s">
        <v>42</v>
      </c>
      <c r="C136" s="4" t="s">
        <v>23</v>
      </c>
      <c r="D136" s="4" t="s">
        <v>43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0</v>
      </c>
      <c r="K136" s="6">
        <v>0</v>
      </c>
      <c r="L136" s="6">
        <v>10.256</v>
      </c>
      <c r="M136" s="6">
        <v>10.256</v>
      </c>
      <c r="N136" s="6">
        <v>10.256</v>
      </c>
      <c r="O136" s="6">
        <v>10.256</v>
      </c>
      <c r="P136" s="6">
        <v>17</v>
      </c>
      <c r="Q136" s="4" t="s">
        <v>26</v>
      </c>
      <c r="R136" s="4">
        <v>0</v>
      </c>
      <c r="S136" s="4">
        <v>0</v>
      </c>
      <c r="T136" s="4">
        <v>30</v>
      </c>
      <c r="U136" s="4">
        <v>74</v>
      </c>
      <c r="V136" s="6">
        <f>IF(ISERROR(VLOOKUP($S$136,'TAR FIN'!$A$1:$O$91,15,0)),0,VLOOKUP($S$136,'TAR FIN'!$A$1:$O$91,15,0))</f>
        <v>0</v>
      </c>
      <c r="W136" s="6">
        <f>IF(ISERROR(VLOOKUP($T$136,'TAR FIN'!$A$1:$O$91,15,0)),0,VLOOKUP($T$136,'TAR FIN'!$A$1:$O$91,15,0))</f>
        <v>236.77</v>
      </c>
      <c r="X136" s="6">
        <f>IF(ISERROR(VLOOKUP($U$136,'TAR FIN'!$A$1:$O$91,15,0)),0,VLOOKUP($U$136,'TAR FIN'!$A$1:$O$91,15,0))</f>
        <v>117.89</v>
      </c>
      <c r="Y136" s="6"/>
      <c r="Z136" s="6">
        <f ca="1">('TUSD BE'!$AM$37+'TUSD BF'!$AM$37+'TUSD CVA'!$AM$37)*(1-CUSTOS!$M$38)</f>
        <v>323.18581193481282</v>
      </c>
      <c r="AA136" s="6">
        <f>('TE BE'!$AB$25+'TE BF'!$AB$25+'TE CVA'!$AB$25)*(1-CUSTOS!$M$38)</f>
        <v>107.87938095628944</v>
      </c>
      <c r="AB136" s="6">
        <f t="shared" si="12"/>
        <v>0</v>
      </c>
      <c r="AC136" s="6">
        <f>(L136-M136)*(W136+X136)+($W$26+$X$26-$W$136-$X$136)*(L136)</f>
        <v>496.0827199999996</v>
      </c>
      <c r="AD136" s="6">
        <f t="shared" si="13"/>
        <v>0</v>
      </c>
      <c r="AE136" s="6">
        <f ca="1">(L136-M136)*(Z136+AA136)+($Z$26+$AA$26-$Z$136-$AA$136)*(L136)</f>
        <v>282.19178414624372</v>
      </c>
      <c r="AF136" s="4" t="s">
        <v>646</v>
      </c>
    </row>
    <row r="137" spans="1:32" ht="11.25" customHeight="1" x14ac:dyDescent="0.25">
      <c r="A137" s="4" t="s">
        <v>21</v>
      </c>
      <c r="B137" s="4" t="s">
        <v>42</v>
      </c>
      <c r="C137" s="4" t="s">
        <v>23</v>
      </c>
      <c r="D137" s="4" t="s">
        <v>43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0</v>
      </c>
      <c r="K137" s="6">
        <v>0</v>
      </c>
      <c r="L137" s="6">
        <v>1551.222</v>
      </c>
      <c r="M137" s="6">
        <v>1551.222</v>
      </c>
      <c r="N137" s="6">
        <v>1551.222</v>
      </c>
      <c r="O137" s="6">
        <v>1551.222</v>
      </c>
      <c r="P137" s="6">
        <v>2371</v>
      </c>
      <c r="Q137" s="4" t="s">
        <v>26</v>
      </c>
      <c r="R137" s="4">
        <v>0</v>
      </c>
      <c r="S137" s="4">
        <v>0</v>
      </c>
      <c r="T137" s="4">
        <v>30</v>
      </c>
      <c r="U137" s="4">
        <v>74</v>
      </c>
      <c r="V137" s="6">
        <f>IF(ISERROR(VLOOKUP($S$137,'TAR FIN'!$A$1:$O$91,15,0)),0,VLOOKUP($S$137,'TAR FIN'!$A$1:$O$91,15,0))</f>
        <v>0</v>
      </c>
      <c r="W137" s="6">
        <f>IF(ISERROR(VLOOKUP($T$137,'TAR FIN'!$A$1:$O$91,15,0)),0,VLOOKUP($T$137,'TAR FIN'!$A$1:$O$91,15,0))</f>
        <v>236.77</v>
      </c>
      <c r="X137" s="6">
        <f>IF(ISERROR(VLOOKUP($U$137,'TAR FIN'!$A$1:$O$91,15,0)),0,VLOOKUP($U$137,'TAR FIN'!$A$1:$O$91,15,0))</f>
        <v>117.89</v>
      </c>
      <c r="Y137" s="6"/>
      <c r="Z137" s="6">
        <f ca="1">('TUSD BE'!$AM$37+'TUSD BF'!$AM$37+'TUSD CVA'!$AM$37)*(1-CUSTOS!$M$38)</f>
        <v>323.18581193481282</v>
      </c>
      <c r="AA137" s="6">
        <f>('TE BE'!$AB$25+'TE BF'!$AB$25+'TE CVA'!$AB$25)*(1-CUSTOS!$M$38)</f>
        <v>107.87938095628944</v>
      </c>
      <c r="AB137" s="6">
        <f t="shared" si="12"/>
        <v>0</v>
      </c>
      <c r="AC137" s="6">
        <f>(L137-M137)*(W137+X137)+($W$26+$X$26-$W$137-$X$137)*(L137)</f>
        <v>75032.608139999938</v>
      </c>
      <c r="AD137" s="6">
        <f t="shared" si="13"/>
        <v>0</v>
      </c>
      <c r="AE137" s="6">
        <f ca="1">(L137-M137)*(Z137+AA137)+($Z$26+$AA$26-$Z$137-$AA$137)*(L137)</f>
        <v>42681.562381718453</v>
      </c>
      <c r="AF137" s="4" t="s">
        <v>646</v>
      </c>
    </row>
    <row r="138" spans="1:32" ht="11.25" customHeight="1" x14ac:dyDescent="0.25">
      <c r="A138" s="4" t="s">
        <v>27</v>
      </c>
      <c r="B138" s="4" t="s">
        <v>42</v>
      </c>
      <c r="C138" s="4" t="s">
        <v>23</v>
      </c>
      <c r="D138" s="4" t="s">
        <v>43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0</v>
      </c>
      <c r="K138" s="6">
        <v>0</v>
      </c>
      <c r="L138" s="6">
        <v>-71.263000000000005</v>
      </c>
      <c r="M138" s="6">
        <v>-71.263000000000005</v>
      </c>
      <c r="N138" s="6">
        <v>-71.263000000000005</v>
      </c>
      <c r="O138" s="6">
        <v>-71.263000000000005</v>
      </c>
      <c r="P138" s="6">
        <v>0</v>
      </c>
      <c r="Q138" s="4" t="s">
        <v>26</v>
      </c>
      <c r="R138" s="4">
        <v>0</v>
      </c>
      <c r="S138" s="4">
        <v>0</v>
      </c>
      <c r="T138" s="4">
        <v>30</v>
      </c>
      <c r="U138" s="4">
        <v>74</v>
      </c>
      <c r="V138" s="6">
        <f>IF(ISERROR(VLOOKUP($S$138,'TAR FIN'!$A$1:$O$91,15,0)),0,VLOOKUP($S$138,'TAR FIN'!$A$1:$O$91,15,0))</f>
        <v>0</v>
      </c>
      <c r="W138" s="6">
        <f>IF(ISERROR(VLOOKUP($T$138,'TAR FIN'!$A$1:$O$91,15,0)),0,VLOOKUP($T$138,'TAR FIN'!$A$1:$O$91,15,0))</f>
        <v>236.77</v>
      </c>
      <c r="X138" s="6">
        <f>IF(ISERROR(VLOOKUP($U$138,'TAR FIN'!$A$1:$O$91,15,0)),0,VLOOKUP($U$138,'TAR FIN'!$A$1:$O$91,15,0))</f>
        <v>117.89</v>
      </c>
      <c r="Y138" s="6"/>
      <c r="Z138" s="6">
        <f ca="1">('TUSD BE'!$AM$37+'TUSD BF'!$AM$37+'TUSD CVA'!$AM$37)*(1-CUSTOS!$M$38)</f>
        <v>323.18581193481282</v>
      </c>
      <c r="AA138" s="6">
        <f>('TE BE'!$AB$25+'TE BF'!$AB$25+'TE CVA'!$AB$25)*(1-CUSTOS!$M$38)</f>
        <v>107.87938095628944</v>
      </c>
      <c r="AB138" s="6">
        <f t="shared" si="12"/>
        <v>0</v>
      </c>
      <c r="AC138" s="6">
        <f>(L138-M138)*(W138+X138)+($W$26+$X$26-$W$138-$X$138)*(L138)</f>
        <v>-3446.9913099999976</v>
      </c>
      <c r="AD138" s="6">
        <f t="shared" si="13"/>
        <v>0</v>
      </c>
      <c r="AE138" s="6">
        <f ca="1">(L138-M138)*(Z138+AA138)+($Z$26+$AA$26-$Z$138-$AA$138)*(L138)</f>
        <v>-1960.7871600637448</v>
      </c>
      <c r="AF138" s="4" t="s">
        <v>646</v>
      </c>
    </row>
    <row r="139" spans="1:32" ht="11.25" customHeight="1" x14ac:dyDescent="0.25">
      <c r="A139" s="4" t="s">
        <v>28</v>
      </c>
      <c r="B139" s="4" t="s">
        <v>42</v>
      </c>
      <c r="C139" s="4" t="s">
        <v>23</v>
      </c>
      <c r="D139" s="4" t="s">
        <v>43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15.025</v>
      </c>
      <c r="M139" s="6">
        <v>15.025</v>
      </c>
      <c r="N139" s="6">
        <v>15.025</v>
      </c>
      <c r="O139" s="6">
        <v>15.025</v>
      </c>
      <c r="P139" s="6">
        <v>18</v>
      </c>
      <c r="Q139" s="4" t="s">
        <v>26</v>
      </c>
      <c r="R139" s="4">
        <v>0</v>
      </c>
      <c r="S139" s="4">
        <v>0</v>
      </c>
      <c r="T139" s="4">
        <v>30</v>
      </c>
      <c r="U139" s="4">
        <v>74</v>
      </c>
      <c r="V139" s="6">
        <f>IF(ISERROR(VLOOKUP($S$139,'TAR FIN'!$A$1:$O$91,15,0)),0,VLOOKUP($S$139,'TAR FIN'!$A$1:$O$91,15,0))</f>
        <v>0</v>
      </c>
      <c r="W139" s="6">
        <f>IF(ISERROR(VLOOKUP($T$139,'TAR FIN'!$A$1:$O$91,15,0)),0,VLOOKUP($T$139,'TAR FIN'!$A$1:$O$91,15,0))</f>
        <v>236.77</v>
      </c>
      <c r="X139" s="6">
        <f>IF(ISERROR(VLOOKUP($U$139,'TAR FIN'!$A$1:$O$91,15,0)),0,VLOOKUP($U$139,'TAR FIN'!$A$1:$O$91,15,0))</f>
        <v>117.89</v>
      </c>
      <c r="Y139" s="6"/>
      <c r="Z139" s="6">
        <f ca="1">('TUSD BE'!$AM$37+'TUSD BF'!$AM$37+'TUSD CVA'!$AM$37)*(1-CUSTOS!$M$38)</f>
        <v>323.18581193481282</v>
      </c>
      <c r="AA139" s="6">
        <f>('TE BE'!$AB$25+'TE BF'!$AB$25+'TE CVA'!$AB$25)*(1-CUSTOS!$M$38)</f>
        <v>107.87938095628944</v>
      </c>
      <c r="AB139" s="6">
        <f t="shared" si="12"/>
        <v>0</v>
      </c>
      <c r="AC139" s="6">
        <f>(L139-M139)*(W139+X139)+($W$26+$X$26-$W$139-$X$139)*(L139)</f>
        <v>726.7592499999995</v>
      </c>
      <c r="AD139" s="6">
        <f t="shared" si="13"/>
        <v>0</v>
      </c>
      <c r="AE139" s="6">
        <f ca="1">(L139-M139)*(Z139+AA139)+($Z$26+$AA$26-$Z$139-$AA$139)*(L139)</f>
        <v>413.40986318226516</v>
      </c>
      <c r="AF139" s="4" t="s">
        <v>646</v>
      </c>
    </row>
    <row r="140" spans="1:32" ht="11.25" customHeight="1" x14ac:dyDescent="0.25">
      <c r="A140" s="4" t="s">
        <v>21</v>
      </c>
      <c r="B140" s="4" t="s">
        <v>42</v>
      </c>
      <c r="C140" s="4" t="s">
        <v>23</v>
      </c>
      <c r="D140" s="4" t="s">
        <v>43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1418.7260000000001</v>
      </c>
      <c r="M140" s="6">
        <v>1418.7260000000001</v>
      </c>
      <c r="N140" s="6">
        <v>1418.7260000000001</v>
      </c>
      <c r="O140" s="6">
        <v>1418.7260000000001</v>
      </c>
      <c r="P140" s="6">
        <v>2364</v>
      </c>
      <c r="Q140" s="4" t="s">
        <v>26</v>
      </c>
      <c r="R140" s="4">
        <v>0</v>
      </c>
      <c r="S140" s="4">
        <v>0</v>
      </c>
      <c r="T140" s="4">
        <v>30</v>
      </c>
      <c r="U140" s="4">
        <v>74</v>
      </c>
      <c r="V140" s="6">
        <f>IF(ISERROR(VLOOKUP($S$140,'TAR FIN'!$A$1:$O$91,15,0)),0,VLOOKUP($S$140,'TAR FIN'!$A$1:$O$91,15,0))</f>
        <v>0</v>
      </c>
      <c r="W140" s="6">
        <f>IF(ISERROR(VLOOKUP($T$140,'TAR FIN'!$A$1:$O$91,15,0)),0,VLOOKUP($T$140,'TAR FIN'!$A$1:$O$91,15,0))</f>
        <v>236.77</v>
      </c>
      <c r="X140" s="6">
        <f>IF(ISERROR(VLOOKUP($U$140,'TAR FIN'!$A$1:$O$91,15,0)),0,VLOOKUP($U$140,'TAR FIN'!$A$1:$O$91,15,0))</f>
        <v>117.89</v>
      </c>
      <c r="Y140" s="6"/>
      <c r="Z140" s="6">
        <f ca="1">('TUSD BE'!$AM$37+'TUSD BF'!$AM$37+'TUSD CVA'!$AM$37)*(1-CUSTOS!$M$38)</f>
        <v>323.18581193481282</v>
      </c>
      <c r="AA140" s="6">
        <f>('TE BE'!$AB$25+'TE BF'!$AB$25+'TE CVA'!$AB$25)*(1-CUSTOS!$M$38)</f>
        <v>107.87938095628944</v>
      </c>
      <c r="AB140" s="6">
        <f t="shared" si="12"/>
        <v>0</v>
      </c>
      <c r="AC140" s="6">
        <f>(L140-M140)*(W140+X140)+($W$26+$X$26-$W$140-$X$140)*(L140)</f>
        <v>68623.776619999946</v>
      </c>
      <c r="AD140" s="6">
        <f t="shared" si="13"/>
        <v>0</v>
      </c>
      <c r="AE140" s="6">
        <f ca="1">(L140-M140)*(Z140+AA140)+($Z$26+$AA$26-$Z$140-$AA$140)*(L140)</f>
        <v>39035.961501039761</v>
      </c>
      <c r="AF140" s="4" t="s">
        <v>646</v>
      </c>
    </row>
    <row r="141" spans="1:32" ht="11.25" customHeight="1" x14ac:dyDescent="0.25">
      <c r="A141" s="4" t="s">
        <v>28</v>
      </c>
      <c r="B141" s="4" t="s">
        <v>42</v>
      </c>
      <c r="C141" s="4" t="s">
        <v>23</v>
      </c>
      <c r="D141" s="4" t="s">
        <v>43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44593</v>
      </c>
      <c r="J141" s="6">
        <v>0</v>
      </c>
      <c r="K141" s="6">
        <v>0</v>
      </c>
      <c r="L141" s="6">
        <v>24.189</v>
      </c>
      <c r="M141" s="6">
        <v>24.189</v>
      </c>
      <c r="N141" s="6">
        <v>24.189</v>
      </c>
      <c r="O141" s="6">
        <v>24.189</v>
      </c>
      <c r="P141" s="6">
        <v>23</v>
      </c>
      <c r="Q141" s="4" t="s">
        <v>26</v>
      </c>
      <c r="R141" s="4">
        <v>0</v>
      </c>
      <c r="S141" s="4">
        <v>0</v>
      </c>
      <c r="T141" s="4">
        <v>30</v>
      </c>
      <c r="U141" s="4">
        <v>74</v>
      </c>
      <c r="V141" s="6">
        <f>IF(ISERROR(VLOOKUP($S$141,'TAR FIN'!$A$1:$O$91,15,0)),0,VLOOKUP($S$141,'TAR FIN'!$A$1:$O$91,15,0))</f>
        <v>0</v>
      </c>
      <c r="W141" s="6">
        <f>IF(ISERROR(VLOOKUP($T$141,'TAR FIN'!$A$1:$O$91,15,0)),0,VLOOKUP($T$141,'TAR FIN'!$A$1:$O$91,15,0))</f>
        <v>236.77</v>
      </c>
      <c r="X141" s="6">
        <f>IF(ISERROR(VLOOKUP($U$141,'TAR FIN'!$A$1:$O$91,15,0)),0,VLOOKUP($U$141,'TAR FIN'!$A$1:$O$91,15,0))</f>
        <v>117.89</v>
      </c>
      <c r="Y141" s="6"/>
      <c r="Z141" s="6">
        <f ca="1">('TUSD BE'!$AM$37+'TUSD BF'!$AM$37+'TUSD CVA'!$AM$37)*(1-CUSTOS!$M$38)</f>
        <v>323.18581193481282</v>
      </c>
      <c r="AA141" s="6">
        <f>('TE BE'!$AB$25+'TE BF'!$AB$25+'TE CVA'!$AB$25)*(1-CUSTOS!$M$38)</f>
        <v>107.87938095628944</v>
      </c>
      <c r="AB141" s="6">
        <f t="shared" si="12"/>
        <v>0</v>
      </c>
      <c r="AC141" s="6">
        <f>(L141-M141)*(W141+X141)+($W$26+$X$26-$W$141-$X$141)*(L141)</f>
        <v>1170.021929999999</v>
      </c>
      <c r="AD141" s="6">
        <f t="shared" si="13"/>
        <v>0</v>
      </c>
      <c r="AE141" s="6">
        <f ca="1">(L141-M141)*(Z141+AA141)+($Z$26+$AA$26-$Z$141-$AA$141)*(L141)</f>
        <v>665.55548622401409</v>
      </c>
      <c r="AF141" s="4" t="s">
        <v>646</v>
      </c>
    </row>
    <row r="142" spans="1:32" ht="11.25" customHeight="1" x14ac:dyDescent="0.25">
      <c r="A142" s="4" t="s">
        <v>21</v>
      </c>
      <c r="B142" s="4" t="s">
        <v>42</v>
      </c>
      <c r="C142" s="4" t="s">
        <v>23</v>
      </c>
      <c r="D142" s="4" t="s">
        <v>43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44621</v>
      </c>
      <c r="J142" s="6">
        <v>0</v>
      </c>
      <c r="K142" s="6">
        <v>0</v>
      </c>
      <c r="L142" s="6">
        <v>1390.1510000000001</v>
      </c>
      <c r="M142" s="6">
        <v>1390.1510000000001</v>
      </c>
      <c r="N142" s="6">
        <v>1390.1510000000001</v>
      </c>
      <c r="O142" s="6">
        <v>1390.1510000000001</v>
      </c>
      <c r="P142" s="6">
        <v>2353</v>
      </c>
      <c r="Q142" s="4" t="s">
        <v>26</v>
      </c>
      <c r="R142" s="4">
        <v>0</v>
      </c>
      <c r="S142" s="4">
        <v>0</v>
      </c>
      <c r="T142" s="4">
        <v>30</v>
      </c>
      <c r="U142" s="4">
        <v>74</v>
      </c>
      <c r="V142" s="6">
        <f>IF(ISERROR(VLOOKUP($S$142,'TAR FIN'!$A$1:$O$91,15,0)),0,VLOOKUP($S$142,'TAR FIN'!$A$1:$O$91,15,0))</f>
        <v>0</v>
      </c>
      <c r="W142" s="6">
        <f>IF(ISERROR(VLOOKUP($T$142,'TAR FIN'!$A$1:$O$91,15,0)),0,VLOOKUP($T$142,'TAR FIN'!$A$1:$O$91,15,0))</f>
        <v>236.77</v>
      </c>
      <c r="X142" s="6">
        <f>IF(ISERROR(VLOOKUP($U$142,'TAR FIN'!$A$1:$O$91,15,0)),0,VLOOKUP($U$142,'TAR FIN'!$A$1:$O$91,15,0))</f>
        <v>117.89</v>
      </c>
      <c r="Y142" s="6"/>
      <c r="Z142" s="6">
        <f ca="1">('TUSD BE'!$AM$37+'TUSD BF'!$AM$37+'TUSD CVA'!$AM$37)*(1-CUSTOS!$M$38)</f>
        <v>323.18581193481282</v>
      </c>
      <c r="AA142" s="6">
        <f>('TE BE'!$AB$25+'TE BF'!$AB$25+'TE CVA'!$AB$25)*(1-CUSTOS!$M$38)</f>
        <v>107.87938095628944</v>
      </c>
      <c r="AB142" s="6">
        <f t="shared" si="12"/>
        <v>0</v>
      </c>
      <c r="AC142" s="6">
        <f>(L142-M142)*(W142+X142)+($W$26+$X$26-$W$142-$X$142)*(L142)</f>
        <v>67241.603869999948</v>
      </c>
      <c r="AD142" s="6">
        <f t="shared" si="13"/>
        <v>0</v>
      </c>
      <c r="AE142" s="6">
        <f ca="1">(L142-M142)*(Z142+AA142)+($Z$26+$AA$26-$Z$142-$AA$142)*(L142)</f>
        <v>38249.726104005931</v>
      </c>
      <c r="AF142" s="4" t="s">
        <v>646</v>
      </c>
    </row>
    <row r="143" spans="1:32" ht="11.25" customHeight="1" x14ac:dyDescent="0.25">
      <c r="A143" s="4" t="s">
        <v>28</v>
      </c>
      <c r="B143" s="4" t="s">
        <v>42</v>
      </c>
      <c r="C143" s="4" t="s">
        <v>23</v>
      </c>
      <c r="D143" s="4" t="s">
        <v>43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0</v>
      </c>
      <c r="K143" s="6">
        <v>0</v>
      </c>
      <c r="L143" s="6">
        <v>70.018000000000001</v>
      </c>
      <c r="M143" s="6">
        <v>70.018000000000001</v>
      </c>
      <c r="N143" s="6">
        <v>70.018000000000001</v>
      </c>
      <c r="O143" s="6">
        <v>70.018000000000001</v>
      </c>
      <c r="P143" s="6">
        <v>25</v>
      </c>
      <c r="Q143" s="4" t="s">
        <v>26</v>
      </c>
      <c r="R143" s="4">
        <v>0</v>
      </c>
      <c r="S143" s="4">
        <v>0</v>
      </c>
      <c r="T143" s="4">
        <v>30</v>
      </c>
      <c r="U143" s="4">
        <v>74</v>
      </c>
      <c r="V143" s="6">
        <f>IF(ISERROR(VLOOKUP($S$143,'TAR FIN'!$A$1:$O$91,15,0)),0,VLOOKUP($S$143,'TAR FIN'!$A$1:$O$91,15,0))</f>
        <v>0</v>
      </c>
      <c r="W143" s="6">
        <f>IF(ISERROR(VLOOKUP($T$143,'TAR FIN'!$A$1:$O$91,15,0)),0,VLOOKUP($T$143,'TAR FIN'!$A$1:$O$91,15,0))</f>
        <v>236.77</v>
      </c>
      <c r="X143" s="6">
        <f>IF(ISERROR(VLOOKUP($U$143,'TAR FIN'!$A$1:$O$91,15,0)),0,VLOOKUP($U$143,'TAR FIN'!$A$1:$O$91,15,0))</f>
        <v>117.89</v>
      </c>
      <c r="Y143" s="6"/>
      <c r="Z143" s="6">
        <f ca="1">('TUSD BE'!$AM$37+'TUSD BF'!$AM$37+'TUSD CVA'!$AM$37)*(1-CUSTOS!$M$38)</f>
        <v>323.18581193481282</v>
      </c>
      <c r="AA143" s="6">
        <f>('TE BE'!$AB$25+'TE BF'!$AB$25+'TE CVA'!$AB$25)*(1-CUSTOS!$M$38)</f>
        <v>107.87938095628944</v>
      </c>
      <c r="AB143" s="6">
        <f t="shared" si="12"/>
        <v>0</v>
      </c>
      <c r="AC143" s="6">
        <f>(L143-M143)*(W143+X143)+($W$26+$X$26-$W$143-$X$143)*(L143)</f>
        <v>3386.7706599999974</v>
      </c>
      <c r="AD143" s="6">
        <f t="shared" si="13"/>
        <v>0</v>
      </c>
      <c r="AE143" s="6">
        <f ca="1">(L143-M143)*(Z143+AA143)+($Z$26+$AA$26-$Z$143-$AA$143)*(L143)</f>
        <v>1926.5312346286751</v>
      </c>
      <c r="AF143" s="4" t="s">
        <v>646</v>
      </c>
    </row>
    <row r="144" spans="1:32" ht="11.25" customHeight="1" x14ac:dyDescent="0.25">
      <c r="A144" s="4" t="s">
        <v>21</v>
      </c>
      <c r="B144" s="4" t="s">
        <v>42</v>
      </c>
      <c r="C144" s="4" t="s">
        <v>23</v>
      </c>
      <c r="D144" s="4" t="s">
        <v>43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0</v>
      </c>
      <c r="K144" s="6">
        <v>0</v>
      </c>
      <c r="L144" s="6">
        <v>1138.578</v>
      </c>
      <c r="M144" s="6">
        <v>1138.578</v>
      </c>
      <c r="N144" s="6">
        <v>1138.578</v>
      </c>
      <c r="O144" s="6">
        <v>1138.578</v>
      </c>
      <c r="P144" s="6">
        <v>2330</v>
      </c>
      <c r="Q144" s="4" t="s">
        <v>26</v>
      </c>
      <c r="R144" s="4">
        <v>0</v>
      </c>
      <c r="S144" s="4">
        <v>0</v>
      </c>
      <c r="T144" s="4">
        <v>30</v>
      </c>
      <c r="U144" s="4">
        <v>74</v>
      </c>
      <c r="V144" s="6">
        <f>IF(ISERROR(VLOOKUP($S$144,'TAR FIN'!$A$1:$O$91,15,0)),0,VLOOKUP($S$144,'TAR FIN'!$A$1:$O$91,15,0))</f>
        <v>0</v>
      </c>
      <c r="W144" s="6">
        <f>IF(ISERROR(VLOOKUP($T$144,'TAR FIN'!$A$1:$O$91,15,0)),0,VLOOKUP($T$144,'TAR FIN'!$A$1:$O$91,15,0))</f>
        <v>236.77</v>
      </c>
      <c r="X144" s="6">
        <f>IF(ISERROR(VLOOKUP($U$144,'TAR FIN'!$A$1:$O$91,15,0)),0,VLOOKUP($U$144,'TAR FIN'!$A$1:$O$91,15,0))</f>
        <v>117.89</v>
      </c>
      <c r="Y144" s="6"/>
      <c r="Z144" s="6">
        <f ca="1">('TUSD BE'!$AM$37+'TUSD BF'!$AM$37+'TUSD CVA'!$AM$37)*(1-CUSTOS!$M$38)</f>
        <v>323.18581193481282</v>
      </c>
      <c r="AA144" s="6">
        <f>('TE BE'!$AB$25+'TE BF'!$AB$25+'TE CVA'!$AB$25)*(1-CUSTOS!$M$38)</f>
        <v>107.87938095628944</v>
      </c>
      <c r="AB144" s="6">
        <f t="shared" si="12"/>
        <v>0</v>
      </c>
      <c r="AC144" s="6">
        <f>(L144-M144)*(W144+X144)+($W$26+$X$26-$W$144-$X$144)*(L144)</f>
        <v>55073.017859999956</v>
      </c>
      <c r="AD144" s="6">
        <f t="shared" si="13"/>
        <v>0</v>
      </c>
      <c r="AE144" s="6">
        <f ca="1">(L144-M144)*(Z144+AA144)+($Z$26+$AA$26-$Z$144-$AA$144)*(L144)</f>
        <v>31327.745437759542</v>
      </c>
      <c r="AF144" s="4" t="s">
        <v>646</v>
      </c>
    </row>
    <row r="145" spans="1:32" ht="11.25" customHeight="1" x14ac:dyDescent="0.25">
      <c r="A145" s="4" t="s">
        <v>28</v>
      </c>
      <c r="B145" s="4" t="s">
        <v>42</v>
      </c>
      <c r="C145" s="4" t="s">
        <v>23</v>
      </c>
      <c r="D145" s="4" t="s">
        <v>43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44652</v>
      </c>
      <c r="J145" s="6">
        <v>0</v>
      </c>
      <c r="K145" s="6">
        <v>0</v>
      </c>
      <c r="L145" s="6">
        <v>37.817</v>
      </c>
      <c r="M145" s="6">
        <v>37.817</v>
      </c>
      <c r="N145" s="6">
        <v>37.817</v>
      </c>
      <c r="O145" s="6">
        <v>37.817</v>
      </c>
      <c r="P145" s="6">
        <v>31</v>
      </c>
      <c r="Q145" s="4" t="s">
        <v>26</v>
      </c>
      <c r="R145" s="4">
        <v>0</v>
      </c>
      <c r="S145" s="4">
        <v>0</v>
      </c>
      <c r="T145" s="4">
        <v>30</v>
      </c>
      <c r="U145" s="4">
        <v>74</v>
      </c>
      <c r="V145" s="6">
        <f>IF(ISERROR(VLOOKUP($S$145,'TAR FIN'!$A$1:$O$91,15,0)),0,VLOOKUP($S$145,'TAR FIN'!$A$1:$O$91,15,0))</f>
        <v>0</v>
      </c>
      <c r="W145" s="6">
        <f>IF(ISERROR(VLOOKUP($T$145,'TAR FIN'!$A$1:$O$91,15,0)),0,VLOOKUP($T$145,'TAR FIN'!$A$1:$O$91,15,0))</f>
        <v>236.77</v>
      </c>
      <c r="X145" s="6">
        <f>IF(ISERROR(VLOOKUP($U$145,'TAR FIN'!$A$1:$O$91,15,0)),0,VLOOKUP($U$145,'TAR FIN'!$A$1:$O$91,15,0))</f>
        <v>117.89</v>
      </c>
      <c r="Y145" s="6"/>
      <c r="Z145" s="6">
        <f ca="1">('TUSD BE'!$AM$37+'TUSD BF'!$AM$37+'TUSD CVA'!$AM$37)*(1-CUSTOS!$M$38)</f>
        <v>323.18581193481282</v>
      </c>
      <c r="AA145" s="6">
        <f>('TE BE'!$AB$25+'TE BF'!$AB$25+'TE CVA'!$AB$25)*(1-CUSTOS!$M$38)</f>
        <v>107.87938095628944</v>
      </c>
      <c r="AB145" s="6">
        <f t="shared" si="12"/>
        <v>0</v>
      </c>
      <c r="AC145" s="6">
        <f>(L145-M145)*(W145+X145)+($W$26+$X$26-$W$145-$X$145)*(L145)</f>
        <v>1829.2082899999987</v>
      </c>
      <c r="AD145" s="6">
        <f t="shared" si="13"/>
        <v>0</v>
      </c>
      <c r="AE145" s="6">
        <f ca="1">(L145-M145)*(Z145+AA145)+($Z$26+$AA$26-$Z$145-$AA$145)*(L145)</f>
        <v>1040.5271744401812</v>
      </c>
      <c r="AF145" s="4" t="s">
        <v>646</v>
      </c>
    </row>
    <row r="146" spans="1:32" ht="11.25" customHeight="1" x14ac:dyDescent="0.25">
      <c r="A146" s="4" t="s">
        <v>21</v>
      </c>
      <c r="B146" s="4" t="s">
        <v>42</v>
      </c>
      <c r="C146" s="4" t="s">
        <v>23</v>
      </c>
      <c r="D146" s="4" t="s">
        <v>43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44682</v>
      </c>
      <c r="J146" s="6">
        <v>0</v>
      </c>
      <c r="K146" s="6">
        <v>0</v>
      </c>
      <c r="L146" s="6">
        <v>951.43399999999997</v>
      </c>
      <c r="M146" s="6">
        <v>951.43399999999997</v>
      </c>
      <c r="N146" s="6">
        <v>951.43399999999997</v>
      </c>
      <c r="O146" s="6">
        <v>951.43399999999997</v>
      </c>
      <c r="P146" s="6">
        <v>2318</v>
      </c>
      <c r="Q146" s="4" t="s">
        <v>26</v>
      </c>
      <c r="R146" s="4">
        <v>0</v>
      </c>
      <c r="S146" s="4">
        <v>0</v>
      </c>
      <c r="T146" s="4">
        <v>30</v>
      </c>
      <c r="U146" s="4">
        <v>74</v>
      </c>
      <c r="V146" s="6">
        <f>IF(ISERROR(VLOOKUP($S$146,'TAR FIN'!$A$1:$O$91,15,0)),0,VLOOKUP($S$146,'TAR FIN'!$A$1:$O$91,15,0))</f>
        <v>0</v>
      </c>
      <c r="W146" s="6">
        <f>IF(ISERROR(VLOOKUP($T$146,'TAR FIN'!$A$1:$O$91,15,0)),0,VLOOKUP($T$146,'TAR FIN'!$A$1:$O$91,15,0))</f>
        <v>236.77</v>
      </c>
      <c r="X146" s="6">
        <f>IF(ISERROR(VLOOKUP($U$146,'TAR FIN'!$A$1:$O$91,15,0)),0,VLOOKUP($U$146,'TAR FIN'!$A$1:$O$91,15,0))</f>
        <v>117.89</v>
      </c>
      <c r="Y146" s="6"/>
      <c r="Z146" s="6">
        <f ca="1">('TUSD BE'!$AM$37+'TUSD BF'!$AM$37+'TUSD CVA'!$AM$37)*(1-CUSTOS!$M$38)</f>
        <v>323.18581193481282</v>
      </c>
      <c r="AA146" s="6">
        <f>('TE BE'!$AB$25+'TE BF'!$AB$25+'TE CVA'!$AB$25)*(1-CUSTOS!$M$38)</f>
        <v>107.87938095628944</v>
      </c>
      <c r="AB146" s="6">
        <f t="shared" si="12"/>
        <v>0</v>
      </c>
      <c r="AC146" s="6">
        <f>(L146-M146)*(W146+X146)+($W$26+$X$26-$W$146-$X$146)*(L146)</f>
        <v>46020.862579999965</v>
      </c>
      <c r="AD146" s="6">
        <f t="shared" si="13"/>
        <v>0</v>
      </c>
      <c r="AE146" s="6">
        <f ca="1">(L146-M146)*(Z146+AA146)+($Z$26+$AA$26-$Z$146-$AA$146)*(L146)</f>
        <v>26178.515791477887</v>
      </c>
      <c r="AF146" s="4" t="s">
        <v>646</v>
      </c>
    </row>
    <row r="147" spans="1:32" ht="11.25" customHeight="1" x14ac:dyDescent="0.25">
      <c r="A147" s="4" t="s">
        <v>28</v>
      </c>
      <c r="B147" s="4" t="s">
        <v>42</v>
      </c>
      <c r="C147" s="4" t="s">
        <v>23</v>
      </c>
      <c r="D147" s="4" t="s">
        <v>43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44682</v>
      </c>
      <c r="J147" s="6">
        <v>0</v>
      </c>
      <c r="K147" s="6">
        <v>0</v>
      </c>
      <c r="L147" s="6">
        <v>45.685000000000002</v>
      </c>
      <c r="M147" s="6">
        <v>45.685000000000002</v>
      </c>
      <c r="N147" s="6">
        <v>45.685000000000002</v>
      </c>
      <c r="O147" s="6">
        <v>45.685000000000002</v>
      </c>
      <c r="P147" s="6">
        <v>37</v>
      </c>
      <c r="Q147" s="4" t="s">
        <v>26</v>
      </c>
      <c r="R147" s="4">
        <v>0</v>
      </c>
      <c r="S147" s="4">
        <v>0</v>
      </c>
      <c r="T147" s="4">
        <v>30</v>
      </c>
      <c r="U147" s="4">
        <v>74</v>
      </c>
      <c r="V147" s="6">
        <f>IF(ISERROR(VLOOKUP($S$147,'TAR FIN'!$A$1:$O$91,15,0)),0,VLOOKUP($S$147,'TAR FIN'!$A$1:$O$91,15,0))</f>
        <v>0</v>
      </c>
      <c r="W147" s="6">
        <f>IF(ISERROR(VLOOKUP($T$147,'TAR FIN'!$A$1:$O$91,15,0)),0,VLOOKUP($T$147,'TAR FIN'!$A$1:$O$91,15,0))</f>
        <v>236.77</v>
      </c>
      <c r="X147" s="6">
        <f>IF(ISERROR(VLOOKUP($U$147,'TAR FIN'!$A$1:$O$91,15,0)),0,VLOOKUP($U$147,'TAR FIN'!$A$1:$O$91,15,0))</f>
        <v>117.89</v>
      </c>
      <c r="Y147" s="6"/>
      <c r="Z147" s="6">
        <f ca="1">('TUSD BE'!$AM$37+'TUSD BF'!$AM$37+'TUSD CVA'!$AM$37)*(1-CUSTOS!$M$38)</f>
        <v>323.18581193481282</v>
      </c>
      <c r="AA147" s="6">
        <f>('TE BE'!$AB$25+'TE BF'!$AB$25+'TE CVA'!$AB$25)*(1-CUSTOS!$M$38)</f>
        <v>107.87938095628944</v>
      </c>
      <c r="AB147" s="6">
        <f t="shared" si="12"/>
        <v>0</v>
      </c>
      <c r="AC147" s="6">
        <f>(L147-M147)*(W147+X147)+($W$26+$X$26-$W$147-$X$147)*(L147)</f>
        <v>2209.7834499999985</v>
      </c>
      <c r="AD147" s="6">
        <f t="shared" si="13"/>
        <v>0</v>
      </c>
      <c r="AE147" s="6">
        <f ca="1">(L147-M147)*(Z147+AA147)+($Z$26+$AA$26-$Z$147-$AA$147)*(L147)</f>
        <v>1257.0136172700024</v>
      </c>
      <c r="AF147" s="4" t="s">
        <v>646</v>
      </c>
    </row>
    <row r="148" spans="1:32" ht="11.25" customHeight="1" x14ac:dyDescent="0.25">
      <c r="A148" s="4" t="s">
        <v>21</v>
      </c>
      <c r="B148" s="4" t="s">
        <v>42</v>
      </c>
      <c r="C148" s="4" t="s">
        <v>23</v>
      </c>
      <c r="D148" s="4" t="s">
        <v>43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44713</v>
      </c>
      <c r="J148" s="6">
        <v>0</v>
      </c>
      <c r="K148" s="6">
        <v>0</v>
      </c>
      <c r="L148" s="6">
        <v>934.24300000000005</v>
      </c>
      <c r="M148" s="6">
        <v>934.24300000000005</v>
      </c>
      <c r="N148" s="6">
        <v>934.24300000000005</v>
      </c>
      <c r="O148" s="6">
        <v>934.24300000000005</v>
      </c>
      <c r="P148" s="6">
        <v>2318</v>
      </c>
      <c r="Q148" s="4" t="s">
        <v>26</v>
      </c>
      <c r="R148" s="4">
        <v>0</v>
      </c>
      <c r="S148" s="4">
        <v>0</v>
      </c>
      <c r="T148" s="4">
        <v>30</v>
      </c>
      <c r="U148" s="4">
        <v>74</v>
      </c>
      <c r="V148" s="6">
        <f>IF(ISERROR(VLOOKUP($S$148,'TAR FIN'!$A$1:$O$91,15,0)),0,VLOOKUP($S$148,'TAR FIN'!$A$1:$O$91,15,0))</f>
        <v>0</v>
      </c>
      <c r="W148" s="6">
        <f>IF(ISERROR(VLOOKUP($T$148,'TAR FIN'!$A$1:$O$91,15,0)),0,VLOOKUP($T$148,'TAR FIN'!$A$1:$O$91,15,0))</f>
        <v>236.77</v>
      </c>
      <c r="X148" s="6">
        <f>IF(ISERROR(VLOOKUP($U$148,'TAR FIN'!$A$1:$O$91,15,0)),0,VLOOKUP($U$148,'TAR FIN'!$A$1:$O$91,15,0))</f>
        <v>117.89</v>
      </c>
      <c r="Y148" s="6"/>
      <c r="Z148" s="6">
        <f ca="1">('TUSD BE'!$AM$37+'TUSD BF'!$AM$37+'TUSD CVA'!$AM$37)*(1-CUSTOS!$M$38)</f>
        <v>323.18581193481282</v>
      </c>
      <c r="AA148" s="6">
        <f>('TE BE'!$AB$25+'TE BF'!$AB$25+'TE CVA'!$AB$25)*(1-CUSTOS!$M$38)</f>
        <v>107.87938095628944</v>
      </c>
      <c r="AB148" s="6">
        <f t="shared" si="12"/>
        <v>0</v>
      </c>
      <c r="AC148" s="6">
        <f>(L148-M148)*(W148+X148)+($W$26+$X$26-$W$148-$X$148)*(L148)</f>
        <v>45189.333909999965</v>
      </c>
      <c r="AD148" s="6">
        <f t="shared" si="13"/>
        <v>0</v>
      </c>
      <c r="AE148" s="6">
        <f ca="1">(L148-M148)*(Z148+AA148)+($Z$26+$AA$26-$Z$148-$AA$148)*(L148)</f>
        <v>25705.508872478469</v>
      </c>
      <c r="AF148" s="4" t="s">
        <v>646</v>
      </c>
    </row>
    <row r="149" spans="1:32" ht="11.25" customHeight="1" x14ac:dyDescent="0.25">
      <c r="A149" s="4" t="s">
        <v>28</v>
      </c>
      <c r="B149" s="4" t="s">
        <v>42</v>
      </c>
      <c r="C149" s="4" t="s">
        <v>23</v>
      </c>
      <c r="D149" s="4" t="s">
        <v>43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44713</v>
      </c>
      <c r="J149" s="6">
        <v>0</v>
      </c>
      <c r="K149" s="6">
        <v>0</v>
      </c>
      <c r="L149" s="6">
        <v>29.890999999999998</v>
      </c>
      <c r="M149" s="6">
        <v>29.890999999999998</v>
      </c>
      <c r="N149" s="6">
        <v>29.890999999999998</v>
      </c>
      <c r="O149" s="6">
        <v>29.890999999999998</v>
      </c>
      <c r="P149" s="6">
        <v>41</v>
      </c>
      <c r="Q149" s="4" t="s">
        <v>26</v>
      </c>
      <c r="R149" s="4">
        <v>0</v>
      </c>
      <c r="S149" s="4">
        <v>0</v>
      </c>
      <c r="T149" s="4">
        <v>30</v>
      </c>
      <c r="U149" s="4">
        <v>74</v>
      </c>
      <c r="V149" s="6">
        <f>IF(ISERROR(VLOOKUP($S$149,'TAR FIN'!$A$1:$O$91,15,0)),0,VLOOKUP($S$149,'TAR FIN'!$A$1:$O$91,15,0))</f>
        <v>0</v>
      </c>
      <c r="W149" s="6">
        <f>IF(ISERROR(VLOOKUP($T$149,'TAR FIN'!$A$1:$O$91,15,0)),0,VLOOKUP($T$149,'TAR FIN'!$A$1:$O$91,15,0))</f>
        <v>236.77</v>
      </c>
      <c r="X149" s="6">
        <f>IF(ISERROR(VLOOKUP($U$149,'TAR FIN'!$A$1:$O$91,15,0)),0,VLOOKUP($U$149,'TAR FIN'!$A$1:$O$91,15,0))</f>
        <v>117.89</v>
      </c>
      <c r="Y149" s="6"/>
      <c r="Z149" s="6">
        <f ca="1">('TUSD BE'!$AM$37+'TUSD BF'!$AM$37+'TUSD CVA'!$AM$37)*(1-CUSTOS!$M$38)</f>
        <v>323.18581193481282</v>
      </c>
      <c r="AA149" s="6">
        <f>('TE BE'!$AB$25+'TE BF'!$AB$25+'TE CVA'!$AB$25)*(1-CUSTOS!$M$38)</f>
        <v>107.87938095628944</v>
      </c>
      <c r="AB149" s="6">
        <f t="shared" si="12"/>
        <v>0</v>
      </c>
      <c r="AC149" s="6">
        <f>(L149-M149)*(W149+X149)+($W$26+$X$26-$W$149-$X$149)*(L149)</f>
        <v>1445.8276699999988</v>
      </c>
      <c r="AD149" s="6">
        <f t="shared" si="13"/>
        <v>0</v>
      </c>
      <c r="AE149" s="6">
        <f ca="1">(L149-M149)*(Z149+AA149)+($Z$26+$AA$26-$Z$149-$AA$149)*(L149)</f>
        <v>822.44487323667806</v>
      </c>
      <c r="AF149" s="4" t="s">
        <v>646</v>
      </c>
    </row>
    <row r="150" spans="1:32" ht="11.25" customHeight="1" x14ac:dyDescent="0.25">
      <c r="A150" s="4" t="s">
        <v>21</v>
      </c>
      <c r="B150" s="4" t="s">
        <v>42</v>
      </c>
      <c r="C150" s="4" t="s">
        <v>23</v>
      </c>
      <c r="D150" s="4" t="s">
        <v>43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44743</v>
      </c>
      <c r="J150" s="6">
        <v>0</v>
      </c>
      <c r="K150" s="6">
        <v>0</v>
      </c>
      <c r="L150" s="6">
        <v>938.06500000000005</v>
      </c>
      <c r="M150" s="6">
        <v>938.06500000000005</v>
      </c>
      <c r="N150" s="6">
        <v>938.06500000000005</v>
      </c>
      <c r="O150" s="6">
        <v>938.06500000000005</v>
      </c>
      <c r="P150" s="6">
        <v>2303</v>
      </c>
      <c r="Q150" s="4" t="s">
        <v>26</v>
      </c>
      <c r="R150" s="4">
        <v>0</v>
      </c>
      <c r="S150" s="4">
        <v>0</v>
      </c>
      <c r="T150" s="4">
        <v>30</v>
      </c>
      <c r="U150" s="4">
        <v>74</v>
      </c>
      <c r="V150" s="6">
        <f>IF(ISERROR(VLOOKUP($S$150,'TAR FIN'!$A$1:$O$91,15,0)),0,VLOOKUP($S$150,'TAR FIN'!$A$1:$O$91,15,0))</f>
        <v>0</v>
      </c>
      <c r="W150" s="6">
        <f>IF(ISERROR(VLOOKUP($T$150,'TAR FIN'!$A$1:$O$91,15,0)),0,VLOOKUP($T$150,'TAR FIN'!$A$1:$O$91,15,0))</f>
        <v>236.77</v>
      </c>
      <c r="X150" s="6">
        <f>IF(ISERROR(VLOOKUP($U$150,'TAR FIN'!$A$1:$O$91,15,0)),0,VLOOKUP($U$150,'TAR FIN'!$A$1:$O$91,15,0))</f>
        <v>117.89</v>
      </c>
      <c r="Y150" s="6"/>
      <c r="Z150" s="6">
        <f ca="1">('TUSD BE'!$AM$37+'TUSD BF'!$AM$37+'TUSD CVA'!$AM$37)*(1-CUSTOS!$M$38)</f>
        <v>323.18581193481282</v>
      </c>
      <c r="AA150" s="6">
        <f>('TE BE'!$AB$25+'TE BF'!$AB$25+'TE CVA'!$AB$25)*(1-CUSTOS!$M$38)</f>
        <v>107.87938095628944</v>
      </c>
      <c r="AB150" s="6">
        <f t="shared" si="12"/>
        <v>0</v>
      </c>
      <c r="AC150" s="6">
        <f>(L150-M150)*(W150+X150)+($W$26+$X$26-$W$150-$X$150)*(L150)</f>
        <v>45374.204049999964</v>
      </c>
      <c r="AD150" s="6">
        <f t="shared" si="13"/>
        <v>0</v>
      </c>
      <c r="AE150" s="6">
        <f ca="1">(L150-M150)*(Z150+AA150)+($Z$26+$AA$26-$Z$150-$AA$150)*(L150)</f>
        <v>25810.6704363442</v>
      </c>
      <c r="AF150" s="4" t="s">
        <v>646</v>
      </c>
    </row>
    <row r="151" spans="1:32" ht="11.25" customHeight="1" x14ac:dyDescent="0.25">
      <c r="A151" s="4" t="s">
        <v>27</v>
      </c>
      <c r="B151" s="4" t="s">
        <v>42</v>
      </c>
      <c r="C151" s="4" t="s">
        <v>23</v>
      </c>
      <c r="D151" s="4" t="s">
        <v>43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44743</v>
      </c>
      <c r="J151" s="6">
        <v>0</v>
      </c>
      <c r="K151" s="6">
        <v>0</v>
      </c>
      <c r="L151" s="6">
        <v>-0.17199999999999999</v>
      </c>
      <c r="M151" s="6">
        <v>-0.17199999999999999</v>
      </c>
      <c r="N151" s="6">
        <v>-0.17199999999999999</v>
      </c>
      <c r="O151" s="6">
        <v>-0.17199999999999999</v>
      </c>
      <c r="P151" s="6">
        <v>0</v>
      </c>
      <c r="Q151" s="4" t="s">
        <v>26</v>
      </c>
      <c r="R151" s="4">
        <v>0</v>
      </c>
      <c r="S151" s="4">
        <v>0</v>
      </c>
      <c r="T151" s="4">
        <v>30</v>
      </c>
      <c r="U151" s="4">
        <v>74</v>
      </c>
      <c r="V151" s="6">
        <f>IF(ISERROR(VLOOKUP($S$151,'TAR FIN'!$A$1:$O$91,15,0)),0,VLOOKUP($S$151,'TAR FIN'!$A$1:$O$91,15,0))</f>
        <v>0</v>
      </c>
      <c r="W151" s="6">
        <f>IF(ISERROR(VLOOKUP($T$151,'TAR FIN'!$A$1:$O$91,15,0)),0,VLOOKUP($T$151,'TAR FIN'!$A$1:$O$91,15,0))</f>
        <v>236.77</v>
      </c>
      <c r="X151" s="6">
        <f>IF(ISERROR(VLOOKUP($U$151,'TAR FIN'!$A$1:$O$91,15,0)),0,VLOOKUP($U$151,'TAR FIN'!$A$1:$O$91,15,0))</f>
        <v>117.89</v>
      </c>
      <c r="Y151" s="6"/>
      <c r="Z151" s="6">
        <f ca="1">('TUSD BE'!$AM$37+'TUSD BF'!$AM$37+'TUSD CVA'!$AM$37)*(1-CUSTOS!$M$38)</f>
        <v>323.18581193481282</v>
      </c>
      <c r="AA151" s="6">
        <f>('TE BE'!$AB$25+'TE BF'!$AB$25+'TE CVA'!$AB$25)*(1-CUSTOS!$M$38)</f>
        <v>107.87938095628944</v>
      </c>
      <c r="AB151" s="6">
        <f t="shared" si="12"/>
        <v>0</v>
      </c>
      <c r="AC151" s="6">
        <f>(L151-M151)*(W151+X151)+($W$26+$X$26-$W$151-$X$151)*(L151)</f>
        <v>-8.3196399999999926</v>
      </c>
      <c r="AD151" s="6">
        <f t="shared" si="13"/>
        <v>0</v>
      </c>
      <c r="AE151" s="6">
        <f ca="1">(L151-M151)*(Z151+AA151)+($Z$26+$AA$26-$Z$151-$AA$151)*(L151)</f>
        <v>-4.7325455219533845</v>
      </c>
      <c r="AF151" s="4" t="s">
        <v>646</v>
      </c>
    </row>
    <row r="152" spans="1:32" ht="11.25" customHeight="1" x14ac:dyDescent="0.25">
      <c r="A152" s="4" t="s">
        <v>28</v>
      </c>
      <c r="B152" s="4" t="s">
        <v>42</v>
      </c>
      <c r="C152" s="4" t="s">
        <v>23</v>
      </c>
      <c r="D152" s="4" t="s">
        <v>43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44743</v>
      </c>
      <c r="J152" s="6">
        <v>0</v>
      </c>
      <c r="K152" s="6">
        <v>0</v>
      </c>
      <c r="L152" s="6">
        <v>35.591999999999999</v>
      </c>
      <c r="M152" s="6">
        <v>35.591999999999999</v>
      </c>
      <c r="N152" s="6">
        <v>35.591999999999999</v>
      </c>
      <c r="O152" s="6">
        <v>35.591999999999999</v>
      </c>
      <c r="P152" s="6">
        <v>49</v>
      </c>
      <c r="Q152" s="4" t="s">
        <v>26</v>
      </c>
      <c r="R152" s="4">
        <v>0</v>
      </c>
      <c r="S152" s="4">
        <v>0</v>
      </c>
      <c r="T152" s="4">
        <v>30</v>
      </c>
      <c r="U152" s="4">
        <v>74</v>
      </c>
      <c r="V152" s="6">
        <f>IF(ISERROR(VLOOKUP($S$152,'TAR FIN'!$A$1:$O$91,15,0)),0,VLOOKUP($S$152,'TAR FIN'!$A$1:$O$91,15,0))</f>
        <v>0</v>
      </c>
      <c r="W152" s="6">
        <f>IF(ISERROR(VLOOKUP($T$152,'TAR FIN'!$A$1:$O$91,15,0)),0,VLOOKUP($T$152,'TAR FIN'!$A$1:$O$91,15,0))</f>
        <v>236.77</v>
      </c>
      <c r="X152" s="6">
        <f>IF(ISERROR(VLOOKUP($U$152,'TAR FIN'!$A$1:$O$91,15,0)),0,VLOOKUP($U$152,'TAR FIN'!$A$1:$O$91,15,0))</f>
        <v>117.89</v>
      </c>
      <c r="Y152" s="6"/>
      <c r="Z152" s="6">
        <f ca="1">('TUSD BE'!$AM$37+'TUSD BF'!$AM$37+'TUSD CVA'!$AM$37)*(1-CUSTOS!$M$38)</f>
        <v>323.18581193481282</v>
      </c>
      <c r="AA152" s="6">
        <f>('TE BE'!$AB$25+'TE BF'!$AB$25+'TE CVA'!$AB$25)*(1-CUSTOS!$M$38)</f>
        <v>107.87938095628944</v>
      </c>
      <c r="AB152" s="6">
        <f t="shared" si="12"/>
        <v>0</v>
      </c>
      <c r="AC152" s="6">
        <f>(L152-M152)*(W152+X152)+($W$26+$X$26-$W$152-$X$152)*(L152)</f>
        <v>1721.5850399999986</v>
      </c>
      <c r="AD152" s="6">
        <f t="shared" si="13"/>
        <v>0</v>
      </c>
      <c r="AE152" s="6">
        <f ca="1">(L152-M152)*(Z152+AA152)+($Z$26+$AA$26-$Z$152-$AA$152)*(L152)</f>
        <v>979.30674544979581</v>
      </c>
      <c r="AF152" s="4" t="s">
        <v>646</v>
      </c>
    </row>
    <row r="153" spans="1:32" ht="11.25" customHeight="1" x14ac:dyDescent="0.25">
      <c r="A153" s="4" t="s">
        <v>57</v>
      </c>
      <c r="B153" s="4" t="s">
        <v>42</v>
      </c>
      <c r="C153" s="4" t="s">
        <v>23</v>
      </c>
      <c r="D153" s="4" t="s">
        <v>43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44774</v>
      </c>
      <c r="J153" s="6">
        <v>0</v>
      </c>
      <c r="K153" s="6">
        <v>0</v>
      </c>
      <c r="L153" s="6">
        <v>938.06500000000005</v>
      </c>
      <c r="M153" s="6">
        <v>938.06500000000005</v>
      </c>
      <c r="N153" s="6">
        <v>938.06500000000005</v>
      </c>
      <c r="O153" s="6">
        <v>938.06500000000005</v>
      </c>
      <c r="P153" s="6">
        <v>2303</v>
      </c>
      <c r="Q153" s="4" t="s">
        <v>26</v>
      </c>
      <c r="R153" s="4">
        <v>0</v>
      </c>
      <c r="S153" s="4">
        <v>0</v>
      </c>
      <c r="T153" s="4">
        <v>30</v>
      </c>
      <c r="U153" s="4">
        <v>74</v>
      </c>
      <c r="V153" s="6">
        <f>IF(ISERROR(VLOOKUP($S$153,'TAR FIN'!$A$1:$O$91,15,0)),0,VLOOKUP($S$153,'TAR FIN'!$A$1:$O$91,15,0))</f>
        <v>0</v>
      </c>
      <c r="W153" s="6">
        <f>IF(ISERROR(VLOOKUP($T$153,'TAR FIN'!$A$1:$O$91,15,0)),0,VLOOKUP($T$153,'TAR FIN'!$A$1:$O$91,15,0))</f>
        <v>236.77</v>
      </c>
      <c r="X153" s="6">
        <f>IF(ISERROR(VLOOKUP($U$153,'TAR FIN'!$A$1:$O$91,15,0)),0,VLOOKUP($U$153,'TAR FIN'!$A$1:$O$91,15,0))</f>
        <v>117.89</v>
      </c>
      <c r="Y153" s="6"/>
      <c r="Z153" s="6">
        <f ca="1">('TUSD BE'!$AM$37+'TUSD BF'!$AM$37+'TUSD CVA'!$AM$37)*(1-CUSTOS!$M$38)</f>
        <v>323.18581193481282</v>
      </c>
      <c r="AA153" s="6">
        <f>('TE BE'!$AB$25+'TE BF'!$AB$25+'TE CVA'!$AB$25)*(1-CUSTOS!$M$38)</f>
        <v>107.87938095628944</v>
      </c>
      <c r="AB153" s="6">
        <f t="shared" si="12"/>
        <v>0</v>
      </c>
      <c r="AC153" s="6">
        <f>(L153-M153)*(W153+X153)+($W$26+$X$26-$W$153-$X$153)*(L153)</f>
        <v>45374.204049999964</v>
      </c>
      <c r="AD153" s="6">
        <f t="shared" si="13"/>
        <v>0</v>
      </c>
      <c r="AE153" s="6">
        <f ca="1">(L153-M153)*(Z153+AA153)+($Z$26+$AA$26-$Z$153-$AA$153)*(L153)</f>
        <v>25810.6704363442</v>
      </c>
      <c r="AF153" s="4" t="s">
        <v>646</v>
      </c>
    </row>
    <row r="154" spans="1:32" ht="11.25" customHeight="1" x14ac:dyDescent="0.25">
      <c r="A154" s="4" t="s">
        <v>57</v>
      </c>
      <c r="B154" s="4" t="s">
        <v>42</v>
      </c>
      <c r="C154" s="4" t="s">
        <v>23</v>
      </c>
      <c r="D154" s="4" t="s">
        <v>43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44774</v>
      </c>
      <c r="J154" s="6">
        <v>0</v>
      </c>
      <c r="K154" s="6">
        <v>0</v>
      </c>
      <c r="L154" s="6">
        <v>-0.17199999999999999</v>
      </c>
      <c r="M154" s="6">
        <v>-0.17199999999999999</v>
      </c>
      <c r="N154" s="6">
        <v>-0.17199999999999999</v>
      </c>
      <c r="O154" s="6">
        <v>-0.17199999999999999</v>
      </c>
      <c r="P154" s="6">
        <v>0</v>
      </c>
      <c r="Q154" s="4" t="s">
        <v>26</v>
      </c>
      <c r="R154" s="4">
        <v>0</v>
      </c>
      <c r="S154" s="4">
        <v>0</v>
      </c>
      <c r="T154" s="4">
        <v>30</v>
      </c>
      <c r="U154" s="4">
        <v>74</v>
      </c>
      <c r="V154" s="6">
        <f>IF(ISERROR(VLOOKUP($S$154,'TAR FIN'!$A$1:$O$91,15,0)),0,VLOOKUP($S$154,'TAR FIN'!$A$1:$O$91,15,0))</f>
        <v>0</v>
      </c>
      <c r="W154" s="6">
        <f>IF(ISERROR(VLOOKUP($T$154,'TAR FIN'!$A$1:$O$91,15,0)),0,VLOOKUP($T$154,'TAR FIN'!$A$1:$O$91,15,0))</f>
        <v>236.77</v>
      </c>
      <c r="X154" s="6">
        <f>IF(ISERROR(VLOOKUP($U$154,'TAR FIN'!$A$1:$O$91,15,0)),0,VLOOKUP($U$154,'TAR FIN'!$A$1:$O$91,15,0))</f>
        <v>117.89</v>
      </c>
      <c r="Y154" s="6"/>
      <c r="Z154" s="6">
        <f ca="1">('TUSD BE'!$AM$37+'TUSD BF'!$AM$37+'TUSD CVA'!$AM$37)*(1-CUSTOS!$M$38)</f>
        <v>323.18581193481282</v>
      </c>
      <c r="AA154" s="6">
        <f>('TE BE'!$AB$25+'TE BF'!$AB$25+'TE CVA'!$AB$25)*(1-CUSTOS!$M$38)</f>
        <v>107.87938095628944</v>
      </c>
      <c r="AB154" s="6">
        <f t="shared" si="12"/>
        <v>0</v>
      </c>
      <c r="AC154" s="6">
        <f>(L154-M154)*(W154+X154)+($W$26+$X$26-$W$154-$X$154)*(L154)</f>
        <v>-8.3196399999999926</v>
      </c>
      <c r="AD154" s="6">
        <f t="shared" si="13"/>
        <v>0</v>
      </c>
      <c r="AE154" s="6">
        <f ca="1">(L154-M154)*(Z154+AA154)+($Z$26+$AA$26-$Z$154-$AA$154)*(L154)</f>
        <v>-4.7325455219533845</v>
      </c>
      <c r="AF154" s="4" t="s">
        <v>646</v>
      </c>
    </row>
    <row r="155" spans="1:32" ht="11.25" customHeight="1" x14ac:dyDescent="0.25">
      <c r="A155" s="4" t="s">
        <v>57</v>
      </c>
      <c r="B155" s="4" t="s">
        <v>42</v>
      </c>
      <c r="C155" s="4" t="s">
        <v>23</v>
      </c>
      <c r="D155" s="4" t="s">
        <v>43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44774</v>
      </c>
      <c r="J155" s="6">
        <v>0</v>
      </c>
      <c r="K155" s="6">
        <v>0</v>
      </c>
      <c r="L155" s="6">
        <v>35.591999999999999</v>
      </c>
      <c r="M155" s="6">
        <v>35.591999999999999</v>
      </c>
      <c r="N155" s="6">
        <v>35.591999999999999</v>
      </c>
      <c r="O155" s="6">
        <v>35.591999999999999</v>
      </c>
      <c r="P155" s="6">
        <v>49</v>
      </c>
      <c r="Q155" s="4" t="s">
        <v>26</v>
      </c>
      <c r="R155" s="4">
        <v>0</v>
      </c>
      <c r="S155" s="4">
        <v>0</v>
      </c>
      <c r="T155" s="4">
        <v>30</v>
      </c>
      <c r="U155" s="4">
        <v>74</v>
      </c>
      <c r="V155" s="6">
        <f>IF(ISERROR(VLOOKUP($S$155,'TAR FIN'!$A$1:$O$91,15,0)),0,VLOOKUP($S$155,'TAR FIN'!$A$1:$O$91,15,0))</f>
        <v>0</v>
      </c>
      <c r="W155" s="6">
        <f>IF(ISERROR(VLOOKUP($T$155,'TAR FIN'!$A$1:$O$91,15,0)),0,VLOOKUP($T$155,'TAR FIN'!$A$1:$O$91,15,0))</f>
        <v>236.77</v>
      </c>
      <c r="X155" s="6">
        <f>IF(ISERROR(VLOOKUP($U$155,'TAR FIN'!$A$1:$O$91,15,0)),0,VLOOKUP($U$155,'TAR FIN'!$A$1:$O$91,15,0))</f>
        <v>117.89</v>
      </c>
      <c r="Y155" s="6"/>
      <c r="Z155" s="6">
        <f ca="1">('TUSD BE'!$AM$37+'TUSD BF'!$AM$37+'TUSD CVA'!$AM$37)*(1-CUSTOS!$M$38)</f>
        <v>323.18581193481282</v>
      </c>
      <c r="AA155" s="6">
        <f>('TE BE'!$AB$25+'TE BF'!$AB$25+'TE CVA'!$AB$25)*(1-CUSTOS!$M$38)</f>
        <v>107.87938095628944</v>
      </c>
      <c r="AB155" s="6">
        <f t="shared" si="12"/>
        <v>0</v>
      </c>
      <c r="AC155" s="6">
        <f>(L155-M155)*(W155+X155)+($W$26+$X$26-$W$155-$X$155)*(L155)</f>
        <v>1721.5850399999986</v>
      </c>
      <c r="AD155" s="6">
        <f t="shared" si="13"/>
        <v>0</v>
      </c>
      <c r="AE155" s="6">
        <f ca="1">(L155-M155)*(Z155+AA155)+($Z$26+$AA$26-$Z$155-$AA$155)*(L155)</f>
        <v>979.30674544979581</v>
      </c>
      <c r="AF155" s="4" t="s">
        <v>646</v>
      </c>
    </row>
    <row r="156" spans="1:32" ht="11.25" customHeight="1" x14ac:dyDescent="0.25">
      <c r="A156" s="4" t="s">
        <v>21</v>
      </c>
      <c r="B156" s="4" t="s">
        <v>33</v>
      </c>
      <c r="C156" s="4" t="s">
        <v>23</v>
      </c>
      <c r="D156" s="4" t="s">
        <v>48</v>
      </c>
      <c r="E156" s="4" t="s">
        <v>49</v>
      </c>
      <c r="F156" s="4" t="s">
        <v>25</v>
      </c>
      <c r="G156" s="4" t="s">
        <v>25</v>
      </c>
      <c r="H156" s="4" t="s">
        <v>25</v>
      </c>
      <c r="I156" s="5">
        <v>44440</v>
      </c>
      <c r="J156" s="6">
        <v>0</v>
      </c>
      <c r="K156" s="59">
        <v>0</v>
      </c>
      <c r="L156" s="6">
        <v>76.369</v>
      </c>
      <c r="M156" s="59">
        <v>76.369</v>
      </c>
      <c r="N156" s="6">
        <v>76.369</v>
      </c>
      <c r="O156" s="59">
        <v>76.369</v>
      </c>
      <c r="P156" s="6">
        <v>29</v>
      </c>
      <c r="Q156" s="4" t="s">
        <v>26</v>
      </c>
      <c r="R156" s="4">
        <v>0</v>
      </c>
      <c r="S156" s="4">
        <v>0</v>
      </c>
      <c r="T156" s="4">
        <v>26</v>
      </c>
      <c r="U156" s="4">
        <v>75</v>
      </c>
      <c r="V156" s="59">
        <f>IF(ISERROR(VLOOKUP($S$156,'TAR FIN'!$A$1:$O$91,15,0)),0,VLOOKUP($S$156,'TAR FIN'!$A$1:$O$91,15,0))</f>
        <v>0</v>
      </c>
      <c r="W156" s="59">
        <f>IF(ISERROR(VLOOKUP($T$156,'TAR FIN'!$A$1:$O$91,15,0)),0,VLOOKUP($T$156,'TAR FIN'!$A$1:$O$91,15,0))*(1-0.06)</f>
        <v>252.91639999999998</v>
      </c>
      <c r="X156" s="59">
        <f>IF(ISERROR(VLOOKUP($U$156,'TAR FIN'!$A$1:$O$91,15,0)),0,VLOOKUP($U$156,'TAR FIN'!$A$1:$O$91,15,0))*(1-0.06)</f>
        <v>125.9318</v>
      </c>
      <c r="Y156" s="59"/>
      <c r="Z156" s="59">
        <f ca="1">('TUSD BE'!$AM$52+'TUSD BF'!$AM$52+'TUSD CVA'!$AM$52)*1*(1-0.03)</f>
        <v>333.50025274124306</v>
      </c>
      <c r="AA156" s="59">
        <f>('TE BE'!$AB$40+'TE BF'!$AB$40+'TE CVA'!$AB$40)*1*(1-0.03)</f>
        <v>111.32233992297954</v>
      </c>
      <c r="AB156" s="59">
        <f>(SUBSIDIO!$J$156*SUBSIDIO!$V$156)*(0.06)/(1-0.06)</f>
        <v>0</v>
      </c>
      <c r="AC156" s="59">
        <f>((SUBSIDIO!$L$156*SUBSIDIO!$W$156)+(SUBSIDIO!$N$156*SUBSIDIO!$X$156))*(0.06)/(1-0.06)</f>
        <v>1846.7398841999998</v>
      </c>
      <c r="AD156" s="59">
        <f>(SUBSIDIO!$J$156*SUBSIDIO!$Y$156)*(0.03)/(1-0.03)</f>
        <v>0</v>
      </c>
      <c r="AE156" s="59">
        <f ca="1">((SUBSIDIO!$L$156*SUBSIDIO!$Z$156)+(SUBSIDIO!$N$156*SUBSIDIO!$AA$156))*(0.03)/(1-0.03)</f>
        <v>1050.6388632734231</v>
      </c>
      <c r="AF156" s="4" t="s">
        <v>644</v>
      </c>
    </row>
    <row r="157" spans="1:32" ht="11.25" customHeight="1" x14ac:dyDescent="0.25">
      <c r="A157" s="4" t="s">
        <v>21</v>
      </c>
      <c r="B157" s="4" t="s">
        <v>33</v>
      </c>
      <c r="C157" s="4" t="s">
        <v>23</v>
      </c>
      <c r="D157" s="4" t="s">
        <v>48</v>
      </c>
      <c r="E157" s="4" t="s">
        <v>49</v>
      </c>
      <c r="F157" s="4" t="s">
        <v>25</v>
      </c>
      <c r="G157" s="4" t="s">
        <v>25</v>
      </c>
      <c r="H157" s="4" t="s">
        <v>25</v>
      </c>
      <c r="I157" s="5">
        <v>44470</v>
      </c>
      <c r="J157" s="6">
        <v>0</v>
      </c>
      <c r="K157" s="59">
        <v>0</v>
      </c>
      <c r="L157" s="6">
        <v>77.210999999999999</v>
      </c>
      <c r="M157" s="59">
        <v>77.210999999999999</v>
      </c>
      <c r="N157" s="6">
        <v>77.210999999999999</v>
      </c>
      <c r="O157" s="59">
        <v>77.210999999999999</v>
      </c>
      <c r="P157" s="6">
        <v>28</v>
      </c>
      <c r="Q157" s="4" t="s">
        <v>26</v>
      </c>
      <c r="R157" s="4">
        <v>0</v>
      </c>
      <c r="S157" s="4">
        <v>0</v>
      </c>
      <c r="T157" s="4">
        <v>26</v>
      </c>
      <c r="U157" s="4">
        <v>75</v>
      </c>
      <c r="V157" s="59">
        <f>IF(ISERROR(VLOOKUP($S$157,'TAR FIN'!$A$1:$O$91,15,0)),0,VLOOKUP($S$157,'TAR FIN'!$A$1:$O$91,15,0))</f>
        <v>0</v>
      </c>
      <c r="W157" s="59">
        <f>IF(ISERROR(VLOOKUP($T$157,'TAR FIN'!$A$1:$O$91,15,0)),0,VLOOKUP($T$157,'TAR FIN'!$A$1:$O$91,15,0))*(1-0.06)</f>
        <v>252.91639999999998</v>
      </c>
      <c r="X157" s="59">
        <f>IF(ISERROR(VLOOKUP($U$157,'TAR FIN'!$A$1:$O$91,15,0)),0,VLOOKUP($U$157,'TAR FIN'!$A$1:$O$91,15,0))*(1-0.06)</f>
        <v>125.9318</v>
      </c>
      <c r="Y157" s="59"/>
      <c r="Z157" s="59">
        <f ca="1">('TUSD BE'!$AM$52+'TUSD BF'!$AM$52+'TUSD CVA'!$AM$52)*1*(1-0.03)</f>
        <v>333.50025274124306</v>
      </c>
      <c r="AA157" s="59">
        <f>('TE BE'!$AB$40+'TE BF'!$AB$40+'TE CVA'!$AB$40)*1*(1-0.03)</f>
        <v>111.32233992297954</v>
      </c>
      <c r="AB157" s="59">
        <f>(SUBSIDIO!$J$157*SUBSIDIO!$V$157)*(0.06)/(1-0.06)</f>
        <v>0</v>
      </c>
      <c r="AC157" s="59">
        <f>((SUBSIDIO!$L$157*SUBSIDIO!$W$157)+(SUBSIDIO!$N$157*SUBSIDIO!$X$157))*(0.06)/(1-0.06)</f>
        <v>1867.1009598000001</v>
      </c>
      <c r="AD157" s="59">
        <f>(SUBSIDIO!$J$157*SUBSIDIO!$Y$157)*(0.03)/(1-0.03)</f>
        <v>0</v>
      </c>
      <c r="AE157" s="59">
        <f ca="1">((SUBSIDIO!$L$157*SUBSIDIO!$Z$157)+(SUBSIDIO!$N$157*SUBSIDIO!$AA$157))*(0.03)/(1-0.03)</f>
        <v>1062.2225938823906</v>
      </c>
      <c r="AF157" s="4" t="s">
        <v>644</v>
      </c>
    </row>
    <row r="158" spans="1:32" ht="11.25" customHeight="1" x14ac:dyDescent="0.25">
      <c r="A158" s="4" t="s">
        <v>21</v>
      </c>
      <c r="B158" s="4" t="s">
        <v>33</v>
      </c>
      <c r="C158" s="4" t="s">
        <v>23</v>
      </c>
      <c r="D158" s="4" t="s">
        <v>48</v>
      </c>
      <c r="E158" s="4" t="s">
        <v>49</v>
      </c>
      <c r="F158" s="4" t="s">
        <v>25</v>
      </c>
      <c r="G158" s="4" t="s">
        <v>25</v>
      </c>
      <c r="H158" s="4" t="s">
        <v>25</v>
      </c>
      <c r="I158" s="5">
        <v>44501</v>
      </c>
      <c r="J158" s="6">
        <v>0</v>
      </c>
      <c r="K158" s="59">
        <v>0</v>
      </c>
      <c r="L158" s="6">
        <v>74.158000000000001</v>
      </c>
      <c r="M158" s="59">
        <v>74.158000000000001</v>
      </c>
      <c r="N158" s="6">
        <v>74.158000000000001</v>
      </c>
      <c r="O158" s="59">
        <v>74.158000000000001</v>
      </c>
      <c r="P158" s="6">
        <v>28</v>
      </c>
      <c r="Q158" s="4" t="s">
        <v>26</v>
      </c>
      <c r="R158" s="4">
        <v>0</v>
      </c>
      <c r="S158" s="4">
        <v>0</v>
      </c>
      <c r="T158" s="4">
        <v>26</v>
      </c>
      <c r="U158" s="4">
        <v>75</v>
      </c>
      <c r="V158" s="59">
        <f>IF(ISERROR(VLOOKUP($S$158,'TAR FIN'!$A$1:$O$91,15,0)),0,VLOOKUP($S$158,'TAR FIN'!$A$1:$O$91,15,0))</f>
        <v>0</v>
      </c>
      <c r="W158" s="59">
        <f>IF(ISERROR(VLOOKUP($T$158,'TAR FIN'!$A$1:$O$91,15,0)),0,VLOOKUP($T$158,'TAR FIN'!$A$1:$O$91,15,0))*(1-0.06)</f>
        <v>252.91639999999998</v>
      </c>
      <c r="X158" s="59">
        <f>IF(ISERROR(VLOOKUP($U$158,'TAR FIN'!$A$1:$O$91,15,0)),0,VLOOKUP($U$158,'TAR FIN'!$A$1:$O$91,15,0))*(1-0.06)</f>
        <v>125.9318</v>
      </c>
      <c r="Y158" s="59"/>
      <c r="Z158" s="59">
        <f ca="1">('TUSD BE'!$AM$52+'TUSD BF'!$AM$52+'TUSD CVA'!$AM$52)*1*(1-0.03)</f>
        <v>333.50025274124306</v>
      </c>
      <c r="AA158" s="59">
        <f>('TE BE'!$AB$40+'TE BF'!$AB$40+'TE CVA'!$AB$40)*1*(1-0.03)</f>
        <v>111.32233992297954</v>
      </c>
      <c r="AB158" s="59">
        <f>(SUBSIDIO!$J$158*SUBSIDIO!$V$158)*(0.06)/(1-0.06)</f>
        <v>0</v>
      </c>
      <c r="AC158" s="59">
        <f>((SUBSIDIO!$L$158*SUBSIDIO!$W$158)+(SUBSIDIO!$N$158*SUBSIDIO!$X$158))*(0.06)/(1-0.06)</f>
        <v>1793.2739243999999</v>
      </c>
      <c r="AD158" s="59">
        <f>(SUBSIDIO!$J$158*SUBSIDIO!$Y$158)*(0.03)/(1-0.03)</f>
        <v>0</v>
      </c>
      <c r="AE158" s="59">
        <f ca="1">((SUBSIDIO!$L$158*SUBSIDIO!$Z$158)+(SUBSIDIO!$N$158*SUBSIDIO!$AA$158))*(0.03)/(1-0.03)</f>
        <v>1020.2212523750543</v>
      </c>
      <c r="AF158" s="4" t="s">
        <v>644</v>
      </c>
    </row>
    <row r="159" spans="1:32" ht="11.25" customHeight="1" x14ac:dyDescent="0.25">
      <c r="A159" s="4" t="s">
        <v>21</v>
      </c>
      <c r="B159" s="4" t="s">
        <v>33</v>
      </c>
      <c r="C159" s="4" t="s">
        <v>23</v>
      </c>
      <c r="D159" s="4" t="s">
        <v>48</v>
      </c>
      <c r="E159" s="4" t="s">
        <v>49</v>
      </c>
      <c r="F159" s="4" t="s">
        <v>25</v>
      </c>
      <c r="G159" s="4" t="s">
        <v>25</v>
      </c>
      <c r="H159" s="4" t="s">
        <v>25</v>
      </c>
      <c r="I159" s="5">
        <v>44531</v>
      </c>
      <c r="J159" s="6">
        <v>0</v>
      </c>
      <c r="K159" s="59">
        <v>0</v>
      </c>
      <c r="L159" s="6">
        <v>73.266000000000005</v>
      </c>
      <c r="M159" s="59">
        <v>73.266000000000005</v>
      </c>
      <c r="N159" s="6">
        <v>73.266000000000005</v>
      </c>
      <c r="O159" s="59">
        <v>73.266000000000005</v>
      </c>
      <c r="P159" s="6">
        <v>28</v>
      </c>
      <c r="Q159" s="4" t="s">
        <v>26</v>
      </c>
      <c r="R159" s="4">
        <v>0</v>
      </c>
      <c r="S159" s="4">
        <v>0</v>
      </c>
      <c r="T159" s="4">
        <v>26</v>
      </c>
      <c r="U159" s="4">
        <v>75</v>
      </c>
      <c r="V159" s="59">
        <f>IF(ISERROR(VLOOKUP($S$159,'TAR FIN'!$A$1:$O$91,15,0)),0,VLOOKUP($S$159,'TAR FIN'!$A$1:$O$91,15,0))</f>
        <v>0</v>
      </c>
      <c r="W159" s="59">
        <f>IF(ISERROR(VLOOKUP($T$159,'TAR FIN'!$A$1:$O$91,15,0)),0,VLOOKUP($T$159,'TAR FIN'!$A$1:$O$91,15,0))*(1-0.06)</f>
        <v>252.91639999999998</v>
      </c>
      <c r="X159" s="59">
        <f>IF(ISERROR(VLOOKUP($U$159,'TAR FIN'!$A$1:$O$91,15,0)),0,VLOOKUP($U$159,'TAR FIN'!$A$1:$O$91,15,0))*(1-0.06)</f>
        <v>125.9318</v>
      </c>
      <c r="Y159" s="59"/>
      <c r="Z159" s="59">
        <f ca="1">('TUSD BE'!$AM$52+'TUSD BF'!$AM$52+'TUSD CVA'!$AM$52)*1*(1-0.03)</f>
        <v>333.50025274124306</v>
      </c>
      <c r="AA159" s="59">
        <f>('TE BE'!$AB$40+'TE BF'!$AB$40+'TE CVA'!$AB$40)*1*(1-0.03)</f>
        <v>111.32233992297954</v>
      </c>
      <c r="AB159" s="59">
        <f>(SUBSIDIO!$J$159*SUBSIDIO!$V$159)*(0.06)/(1-0.06)</f>
        <v>0</v>
      </c>
      <c r="AC159" s="59">
        <f>((SUBSIDIO!$L$159*SUBSIDIO!$W$159)+(SUBSIDIO!$N$159*SUBSIDIO!$X$159))*(0.06)/(1-0.06)</f>
        <v>1771.7037587999998</v>
      </c>
      <c r="AD159" s="59">
        <f>(SUBSIDIO!$J$159*SUBSIDIO!$Y$159)*(0.03)/(1-0.03)</f>
        <v>0</v>
      </c>
      <c r="AE159" s="59">
        <f ca="1">((SUBSIDIO!$L$159*SUBSIDIO!$Z$159)+(SUBSIDIO!$N$159*SUBSIDIO!$AA$159))*(0.03)/(1-0.03)</f>
        <v>1007.949651777431</v>
      </c>
      <c r="AF159" s="4" t="s">
        <v>644</v>
      </c>
    </row>
    <row r="160" spans="1:32" ht="11.25" customHeight="1" x14ac:dyDescent="0.25">
      <c r="A160" s="4" t="s">
        <v>21</v>
      </c>
      <c r="B160" s="4" t="s">
        <v>33</v>
      </c>
      <c r="C160" s="4" t="s">
        <v>23</v>
      </c>
      <c r="D160" s="4" t="s">
        <v>48</v>
      </c>
      <c r="E160" s="4" t="s">
        <v>49</v>
      </c>
      <c r="F160" s="4" t="s">
        <v>25</v>
      </c>
      <c r="G160" s="4" t="s">
        <v>25</v>
      </c>
      <c r="H160" s="4" t="s">
        <v>25</v>
      </c>
      <c r="I160" s="5">
        <v>44562</v>
      </c>
      <c r="J160" s="6">
        <v>0</v>
      </c>
      <c r="K160" s="59">
        <v>0</v>
      </c>
      <c r="L160" s="6">
        <v>77.051000000000002</v>
      </c>
      <c r="M160" s="59">
        <v>77.051000000000002</v>
      </c>
      <c r="N160" s="6">
        <v>77.051000000000002</v>
      </c>
      <c r="O160" s="59">
        <v>77.051000000000002</v>
      </c>
      <c r="P160" s="6">
        <v>28</v>
      </c>
      <c r="Q160" s="4" t="s">
        <v>26</v>
      </c>
      <c r="R160" s="4">
        <v>0</v>
      </c>
      <c r="S160" s="4">
        <v>0</v>
      </c>
      <c r="T160" s="4">
        <v>26</v>
      </c>
      <c r="U160" s="4">
        <v>75</v>
      </c>
      <c r="V160" s="59">
        <f>IF(ISERROR(VLOOKUP($S$160,'TAR FIN'!$A$1:$O$91,15,0)),0,VLOOKUP($S$160,'TAR FIN'!$A$1:$O$91,15,0))</f>
        <v>0</v>
      </c>
      <c r="W160" s="59">
        <f>IF(ISERROR(VLOOKUP($T$160,'TAR FIN'!$A$1:$O$91,15,0)),0,VLOOKUP($T$160,'TAR FIN'!$A$1:$O$91,15,0))*(1-0.06)</f>
        <v>252.91639999999998</v>
      </c>
      <c r="X160" s="59">
        <f>IF(ISERROR(VLOOKUP($U$160,'TAR FIN'!$A$1:$O$91,15,0)),0,VLOOKUP($U$160,'TAR FIN'!$A$1:$O$91,15,0))*(1-0.06)</f>
        <v>125.9318</v>
      </c>
      <c r="Y160" s="59"/>
      <c r="Z160" s="59">
        <f ca="1">('TUSD BE'!$AM$52+'TUSD BF'!$AM$52+'TUSD CVA'!$AM$52)*1*(1-0.03)</f>
        <v>333.50025274124306</v>
      </c>
      <c r="AA160" s="59">
        <f>('TE BE'!$AB$40+'TE BF'!$AB$40+'TE CVA'!$AB$40)*1*(1-0.03)</f>
        <v>111.32233992297954</v>
      </c>
      <c r="AB160" s="59">
        <f>(SUBSIDIO!$J$160*SUBSIDIO!$V$160)*(0.06)/(1-0.06)</f>
        <v>0</v>
      </c>
      <c r="AC160" s="59">
        <f>((SUBSIDIO!$L$160*SUBSIDIO!$W$160)+(SUBSIDIO!$N$160*SUBSIDIO!$X$160))*(0.06)/(1-0.06)</f>
        <v>1863.2318717999997</v>
      </c>
      <c r="AD160" s="59">
        <f>(SUBSIDIO!$J$160*SUBSIDIO!$Y$160)*(0.03)/(1-0.03)</f>
        <v>0</v>
      </c>
      <c r="AE160" s="59">
        <f ca="1">((SUBSIDIO!$L$160*SUBSIDIO!$Z$160)+(SUBSIDIO!$N$160*SUBSIDIO!$AA$160))*(0.03)/(1-0.03)</f>
        <v>1060.021409918691</v>
      </c>
      <c r="AF160" s="4" t="s">
        <v>644</v>
      </c>
    </row>
    <row r="161" spans="1:32" ht="11.25" customHeight="1" x14ac:dyDescent="0.25">
      <c r="A161" s="4" t="s">
        <v>21</v>
      </c>
      <c r="B161" s="4" t="s">
        <v>33</v>
      </c>
      <c r="C161" s="4" t="s">
        <v>23</v>
      </c>
      <c r="D161" s="4" t="s">
        <v>48</v>
      </c>
      <c r="E161" s="4" t="s">
        <v>49</v>
      </c>
      <c r="F161" s="4" t="s">
        <v>25</v>
      </c>
      <c r="G161" s="4" t="s">
        <v>25</v>
      </c>
      <c r="H161" s="4" t="s">
        <v>25</v>
      </c>
      <c r="I161" s="5">
        <v>44593</v>
      </c>
      <c r="J161" s="6">
        <v>0</v>
      </c>
      <c r="K161" s="59">
        <v>0</v>
      </c>
      <c r="L161" s="6">
        <v>70.441000000000003</v>
      </c>
      <c r="M161" s="59">
        <v>70.441000000000003</v>
      </c>
      <c r="N161" s="6">
        <v>70.441000000000003</v>
      </c>
      <c r="O161" s="59">
        <v>70.441000000000003</v>
      </c>
      <c r="P161" s="6">
        <v>28</v>
      </c>
      <c r="Q161" s="4" t="s">
        <v>26</v>
      </c>
      <c r="R161" s="4">
        <v>0</v>
      </c>
      <c r="S161" s="4">
        <v>0</v>
      </c>
      <c r="T161" s="4">
        <v>26</v>
      </c>
      <c r="U161" s="4">
        <v>75</v>
      </c>
      <c r="V161" s="59">
        <f>IF(ISERROR(VLOOKUP($S$161,'TAR FIN'!$A$1:$O$91,15,0)),0,VLOOKUP($S$161,'TAR FIN'!$A$1:$O$91,15,0))</f>
        <v>0</v>
      </c>
      <c r="W161" s="59">
        <f>IF(ISERROR(VLOOKUP($T$161,'TAR FIN'!$A$1:$O$91,15,0)),0,VLOOKUP($T$161,'TAR FIN'!$A$1:$O$91,15,0))*(1-0.06)</f>
        <v>252.91639999999998</v>
      </c>
      <c r="X161" s="59">
        <f>IF(ISERROR(VLOOKUP($U$161,'TAR FIN'!$A$1:$O$91,15,0)),0,VLOOKUP($U$161,'TAR FIN'!$A$1:$O$91,15,0))*(1-0.06)</f>
        <v>125.9318</v>
      </c>
      <c r="Y161" s="59"/>
      <c r="Z161" s="59">
        <f ca="1">('TUSD BE'!$AM$52+'TUSD BF'!$AM$52+'TUSD CVA'!$AM$52)*1*(1-0.03)</f>
        <v>333.50025274124306</v>
      </c>
      <c r="AA161" s="59">
        <f>('TE BE'!$AB$40+'TE BF'!$AB$40+'TE CVA'!$AB$40)*1*(1-0.03)</f>
        <v>111.32233992297954</v>
      </c>
      <c r="AB161" s="59">
        <f>(SUBSIDIO!$J$161*SUBSIDIO!$V$161)*(0.06)/(1-0.06)</f>
        <v>0</v>
      </c>
      <c r="AC161" s="59">
        <f>((SUBSIDIO!$L$161*SUBSIDIO!$W$161)+(SUBSIDIO!$N$161*SUBSIDIO!$X$161))*(0.06)/(1-0.06)</f>
        <v>1703.3901738</v>
      </c>
      <c r="AD161" s="59">
        <f>(SUBSIDIO!$J$161*SUBSIDIO!$Y$161)*(0.03)/(1-0.03)</f>
        <v>0</v>
      </c>
      <c r="AE161" s="59">
        <f ca="1">((SUBSIDIO!$L$161*SUBSIDIO!$Z$161)+(SUBSIDIO!$N$161*SUBSIDIO!$AA$161))*(0.03)/(1-0.03)</f>
        <v>969.08499741836624</v>
      </c>
      <c r="AF161" s="4" t="s">
        <v>644</v>
      </c>
    </row>
    <row r="162" spans="1:32" ht="11.25" customHeight="1" x14ac:dyDescent="0.25">
      <c r="A162" s="4" t="s">
        <v>21</v>
      </c>
      <c r="B162" s="4" t="s">
        <v>33</v>
      </c>
      <c r="C162" s="4" t="s">
        <v>23</v>
      </c>
      <c r="D162" s="4" t="s">
        <v>48</v>
      </c>
      <c r="E162" s="4" t="s">
        <v>49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59">
        <v>0</v>
      </c>
      <c r="L162" s="6">
        <v>73.941999999999993</v>
      </c>
      <c r="M162" s="59">
        <v>73.941999999999993</v>
      </c>
      <c r="N162" s="6">
        <v>73.941999999999993</v>
      </c>
      <c r="O162" s="59">
        <v>73.941999999999993</v>
      </c>
      <c r="P162" s="6">
        <v>28</v>
      </c>
      <c r="Q162" s="4" t="s">
        <v>26</v>
      </c>
      <c r="R162" s="4">
        <v>0</v>
      </c>
      <c r="S162" s="4">
        <v>0</v>
      </c>
      <c r="T162" s="4">
        <v>26</v>
      </c>
      <c r="U162" s="4">
        <v>75</v>
      </c>
      <c r="V162" s="59">
        <f>IF(ISERROR(VLOOKUP($S$162,'TAR FIN'!$A$1:$O$91,15,0)),0,VLOOKUP($S$162,'TAR FIN'!$A$1:$O$91,15,0))</f>
        <v>0</v>
      </c>
      <c r="W162" s="59">
        <f>IF(ISERROR(VLOOKUP($T$162,'TAR FIN'!$A$1:$O$91,15,0)),0,VLOOKUP($T$162,'TAR FIN'!$A$1:$O$91,15,0))*(1-0.06)</f>
        <v>252.91639999999998</v>
      </c>
      <c r="X162" s="59">
        <f>IF(ISERROR(VLOOKUP($U$162,'TAR FIN'!$A$1:$O$91,15,0)),0,VLOOKUP($U$162,'TAR FIN'!$A$1:$O$91,15,0))*(1-0.06)</f>
        <v>125.9318</v>
      </c>
      <c r="Y162" s="59"/>
      <c r="Z162" s="59">
        <f ca="1">('TUSD BE'!$AM$52+'TUSD BF'!$AM$52+'TUSD CVA'!$AM$52)*1*(1-0.03)</f>
        <v>333.50025274124306</v>
      </c>
      <c r="AA162" s="59">
        <f>('TE BE'!$AB$40+'TE BF'!$AB$40+'TE CVA'!$AB$40)*1*(1-0.03)</f>
        <v>111.32233992297954</v>
      </c>
      <c r="AB162" s="59">
        <f>(SUBSIDIO!$J$162*SUBSIDIO!$V$162)*(0.06)/(1-0.06)</f>
        <v>0</v>
      </c>
      <c r="AC162" s="59">
        <f>((SUBSIDIO!$L$162*SUBSIDIO!$W$162)+(SUBSIDIO!$N$162*SUBSIDIO!$X$162))*(0.06)/(1-0.06)</f>
        <v>1788.0506555999996</v>
      </c>
      <c r="AD162" s="59">
        <f>(SUBSIDIO!$J$162*SUBSIDIO!$Y$162)*(0.03)/(1-0.03)</f>
        <v>0</v>
      </c>
      <c r="AE162" s="59">
        <f ca="1">((SUBSIDIO!$L$162*SUBSIDIO!$Z$162)+(SUBSIDIO!$N$162*SUBSIDIO!$AA$162))*(0.03)/(1-0.03)</f>
        <v>1017.2496540240601</v>
      </c>
      <c r="AF162" s="4" t="s">
        <v>644</v>
      </c>
    </row>
    <row r="163" spans="1:32" ht="11.25" customHeight="1" x14ac:dyDescent="0.25">
      <c r="A163" s="4" t="s">
        <v>21</v>
      </c>
      <c r="B163" s="4" t="s">
        <v>33</v>
      </c>
      <c r="C163" s="4" t="s">
        <v>23</v>
      </c>
      <c r="D163" s="4" t="s">
        <v>48</v>
      </c>
      <c r="E163" s="4" t="s">
        <v>49</v>
      </c>
      <c r="F163" s="4" t="s">
        <v>25</v>
      </c>
      <c r="G163" s="4" t="s">
        <v>25</v>
      </c>
      <c r="H163" s="4" t="s">
        <v>25</v>
      </c>
      <c r="I163" s="5">
        <v>44652</v>
      </c>
      <c r="J163" s="6">
        <v>0</v>
      </c>
      <c r="K163" s="59">
        <v>0</v>
      </c>
      <c r="L163" s="6">
        <v>75.911000000000001</v>
      </c>
      <c r="M163" s="59">
        <v>75.911000000000001</v>
      </c>
      <c r="N163" s="6">
        <v>75.911000000000001</v>
      </c>
      <c r="O163" s="59">
        <v>75.911000000000001</v>
      </c>
      <c r="P163" s="6">
        <v>27</v>
      </c>
      <c r="Q163" s="4" t="s">
        <v>26</v>
      </c>
      <c r="R163" s="4">
        <v>0</v>
      </c>
      <c r="S163" s="4">
        <v>0</v>
      </c>
      <c r="T163" s="4">
        <v>26</v>
      </c>
      <c r="U163" s="4">
        <v>75</v>
      </c>
      <c r="V163" s="59">
        <f>IF(ISERROR(VLOOKUP($S$163,'TAR FIN'!$A$1:$O$91,15,0)),0,VLOOKUP($S$163,'TAR FIN'!$A$1:$O$91,15,0))</f>
        <v>0</v>
      </c>
      <c r="W163" s="59">
        <f>IF(ISERROR(VLOOKUP($T$163,'TAR FIN'!$A$1:$O$91,15,0)),0,VLOOKUP($T$163,'TAR FIN'!$A$1:$O$91,15,0))*(1-0.06)</f>
        <v>252.91639999999998</v>
      </c>
      <c r="X163" s="59">
        <f>IF(ISERROR(VLOOKUP($U$163,'TAR FIN'!$A$1:$O$91,15,0)),0,VLOOKUP($U$163,'TAR FIN'!$A$1:$O$91,15,0))*(1-0.06)</f>
        <v>125.9318</v>
      </c>
      <c r="Y163" s="59"/>
      <c r="Z163" s="59">
        <f ca="1">('TUSD BE'!$AM$52+'TUSD BF'!$AM$52+'TUSD CVA'!$AM$52)*1*(1-0.03)</f>
        <v>333.50025274124306</v>
      </c>
      <c r="AA163" s="59">
        <f>('TE BE'!$AB$40+'TE BF'!$AB$40+'TE CVA'!$AB$40)*1*(1-0.03)</f>
        <v>111.32233992297954</v>
      </c>
      <c r="AB163" s="59">
        <f>(SUBSIDIO!$J$163*SUBSIDIO!$V$163)*(0.06)/(1-0.06)</f>
        <v>0</v>
      </c>
      <c r="AC163" s="59">
        <f>((SUBSIDIO!$L$163*SUBSIDIO!$W$163)+(SUBSIDIO!$N$163*SUBSIDIO!$X$163))*(0.06)/(1-0.06)</f>
        <v>1835.6646197999999</v>
      </c>
      <c r="AD163" s="59">
        <f>(SUBSIDIO!$J$163*SUBSIDIO!$Y$163)*(0.03)/(1-0.03)</f>
        <v>0</v>
      </c>
      <c r="AE163" s="59">
        <f ca="1">((SUBSIDIO!$L$163*SUBSIDIO!$Z$163)+(SUBSIDIO!$N$163*SUBSIDIO!$AA$163))*(0.03)/(1-0.03)</f>
        <v>1044.337974177334</v>
      </c>
      <c r="AF163" s="4" t="s">
        <v>644</v>
      </c>
    </row>
    <row r="164" spans="1:32" ht="11.25" customHeight="1" x14ac:dyDescent="0.25">
      <c r="A164" s="4" t="s">
        <v>21</v>
      </c>
      <c r="B164" s="4" t="s">
        <v>33</v>
      </c>
      <c r="C164" s="4" t="s">
        <v>23</v>
      </c>
      <c r="D164" s="4" t="s">
        <v>48</v>
      </c>
      <c r="E164" s="4" t="s">
        <v>49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59">
        <v>0</v>
      </c>
      <c r="L164" s="6">
        <v>72.224999999999994</v>
      </c>
      <c r="M164" s="59">
        <v>72.224999999999994</v>
      </c>
      <c r="N164" s="6">
        <v>72.224999999999994</v>
      </c>
      <c r="O164" s="59">
        <v>72.224999999999994</v>
      </c>
      <c r="P164" s="6">
        <v>27</v>
      </c>
      <c r="Q164" s="4" t="s">
        <v>26</v>
      </c>
      <c r="R164" s="4">
        <v>0</v>
      </c>
      <c r="S164" s="4">
        <v>0</v>
      </c>
      <c r="T164" s="4">
        <v>26</v>
      </c>
      <c r="U164" s="4">
        <v>75</v>
      </c>
      <c r="V164" s="59">
        <f>IF(ISERROR(VLOOKUP($S$164,'TAR FIN'!$A$1:$O$91,15,0)),0,VLOOKUP($S$164,'TAR FIN'!$A$1:$O$91,15,0))</f>
        <v>0</v>
      </c>
      <c r="W164" s="59">
        <f>IF(ISERROR(VLOOKUP($T$164,'TAR FIN'!$A$1:$O$91,15,0)),0,VLOOKUP($T$164,'TAR FIN'!$A$1:$O$91,15,0))*(1-0.06)</f>
        <v>252.91639999999998</v>
      </c>
      <c r="X164" s="59">
        <f>IF(ISERROR(VLOOKUP($U$164,'TAR FIN'!$A$1:$O$91,15,0)),0,VLOOKUP($U$164,'TAR FIN'!$A$1:$O$91,15,0))*(1-0.06)</f>
        <v>125.9318</v>
      </c>
      <c r="Y164" s="59"/>
      <c r="Z164" s="59">
        <f ca="1">('TUSD BE'!$AM$52+'TUSD BF'!$AM$52+'TUSD CVA'!$AM$52)*1*(1-0.03)</f>
        <v>333.50025274124306</v>
      </c>
      <c r="AA164" s="59">
        <f>('TE BE'!$AB$40+'TE BF'!$AB$40+'TE CVA'!$AB$40)*1*(1-0.03)</f>
        <v>111.32233992297954</v>
      </c>
      <c r="AB164" s="59">
        <f>(SUBSIDIO!$J$164*SUBSIDIO!$V$164)*(0.06)/(1-0.06)</f>
        <v>0</v>
      </c>
      <c r="AC164" s="59">
        <f>((SUBSIDIO!$L$164*SUBSIDIO!$W$164)+(SUBSIDIO!$N$164*SUBSIDIO!$X$164))*(0.06)/(1-0.06)</f>
        <v>1746.5305049999997</v>
      </c>
      <c r="AD164" s="59">
        <f>(SUBSIDIO!$J$164*SUBSIDIO!$Y$164)*(0.03)/(1-0.03)</f>
        <v>0</v>
      </c>
      <c r="AE164" s="59">
        <f ca="1">((SUBSIDIO!$L$164*SUBSIDIO!$Z$164)+(SUBSIDIO!$N$164*SUBSIDIO!$AA$164))*(0.03)/(1-0.03)</f>
        <v>993.62819861361254</v>
      </c>
      <c r="AF164" s="4" t="s">
        <v>644</v>
      </c>
    </row>
    <row r="165" spans="1:32" ht="11.25" customHeight="1" x14ac:dyDescent="0.25">
      <c r="A165" s="4" t="s">
        <v>21</v>
      </c>
      <c r="B165" s="4" t="s">
        <v>33</v>
      </c>
      <c r="C165" s="4" t="s">
        <v>23</v>
      </c>
      <c r="D165" s="4" t="s">
        <v>48</v>
      </c>
      <c r="E165" s="4" t="s">
        <v>49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59">
        <v>0</v>
      </c>
      <c r="L165" s="6">
        <v>75.765000000000001</v>
      </c>
      <c r="M165" s="59">
        <v>75.765000000000001</v>
      </c>
      <c r="N165" s="6">
        <v>75.765000000000001</v>
      </c>
      <c r="O165" s="59">
        <v>75.765000000000001</v>
      </c>
      <c r="P165" s="6">
        <v>27</v>
      </c>
      <c r="Q165" s="4" t="s">
        <v>26</v>
      </c>
      <c r="R165" s="4">
        <v>0</v>
      </c>
      <c r="S165" s="4">
        <v>0</v>
      </c>
      <c r="T165" s="4">
        <v>26</v>
      </c>
      <c r="U165" s="4">
        <v>75</v>
      </c>
      <c r="V165" s="59">
        <f>IF(ISERROR(VLOOKUP($S$165,'TAR FIN'!$A$1:$O$91,15,0)),0,VLOOKUP($S$165,'TAR FIN'!$A$1:$O$91,15,0))</f>
        <v>0</v>
      </c>
      <c r="W165" s="59">
        <f>IF(ISERROR(VLOOKUP($T$165,'TAR FIN'!$A$1:$O$91,15,0)),0,VLOOKUP($T$165,'TAR FIN'!$A$1:$O$91,15,0))*(1-0.06)</f>
        <v>252.91639999999998</v>
      </c>
      <c r="X165" s="59">
        <f>IF(ISERROR(VLOOKUP($U$165,'TAR FIN'!$A$1:$O$91,15,0)),0,VLOOKUP($U$165,'TAR FIN'!$A$1:$O$91,15,0))*(1-0.06)</f>
        <v>125.9318</v>
      </c>
      <c r="Y165" s="59"/>
      <c r="Z165" s="59">
        <f ca="1">('TUSD BE'!$AM$52+'TUSD BF'!$AM$52+'TUSD CVA'!$AM$52)*1*(1-0.03)</f>
        <v>333.50025274124306</v>
      </c>
      <c r="AA165" s="59">
        <f>('TE BE'!$AB$40+'TE BF'!$AB$40+'TE CVA'!$AB$40)*1*(1-0.03)</f>
        <v>111.32233992297954</v>
      </c>
      <c r="AB165" s="59">
        <f>(SUBSIDIO!$J$165*SUBSIDIO!$V$165)*(0.06)/(1-0.06)</f>
        <v>0</v>
      </c>
      <c r="AC165" s="59">
        <f>((SUBSIDIO!$L$165*SUBSIDIO!$W$165)+(SUBSIDIO!$N$165*SUBSIDIO!$X$165))*(0.06)/(1-0.06)</f>
        <v>1832.1340770000002</v>
      </c>
      <c r="AD165" s="59">
        <f>(SUBSIDIO!$J$165*SUBSIDIO!$Y$165)*(0.03)/(1-0.03)</f>
        <v>0</v>
      </c>
      <c r="AE165" s="59">
        <f ca="1">((SUBSIDIO!$L$165*SUBSIDIO!$Z$165)+(SUBSIDIO!$N$165*SUBSIDIO!$AA$165))*(0.03)/(1-0.03)</f>
        <v>1042.3293938104587</v>
      </c>
      <c r="AF165" s="4" t="s">
        <v>644</v>
      </c>
    </row>
    <row r="166" spans="1:32" ht="11.25" customHeight="1" x14ac:dyDescent="0.25">
      <c r="A166" s="4" t="s">
        <v>21</v>
      </c>
      <c r="B166" s="4" t="s">
        <v>33</v>
      </c>
      <c r="C166" s="4" t="s">
        <v>23</v>
      </c>
      <c r="D166" s="4" t="s">
        <v>48</v>
      </c>
      <c r="E166" s="4" t="s">
        <v>49</v>
      </c>
      <c r="F166" s="4" t="s">
        <v>25</v>
      </c>
      <c r="G166" s="4" t="s">
        <v>25</v>
      </c>
      <c r="H166" s="4" t="s">
        <v>25</v>
      </c>
      <c r="I166" s="5">
        <v>44743</v>
      </c>
      <c r="J166" s="6">
        <v>0</v>
      </c>
      <c r="K166" s="59">
        <v>0</v>
      </c>
      <c r="L166" s="6">
        <v>71.58</v>
      </c>
      <c r="M166" s="59">
        <v>71.58</v>
      </c>
      <c r="N166" s="6">
        <v>71.58</v>
      </c>
      <c r="O166" s="59">
        <v>71.58</v>
      </c>
      <c r="P166" s="6">
        <v>27</v>
      </c>
      <c r="Q166" s="4" t="s">
        <v>26</v>
      </c>
      <c r="R166" s="4">
        <v>0</v>
      </c>
      <c r="S166" s="4">
        <v>0</v>
      </c>
      <c r="T166" s="4">
        <v>26</v>
      </c>
      <c r="U166" s="4">
        <v>75</v>
      </c>
      <c r="V166" s="59">
        <f>IF(ISERROR(VLOOKUP($S$166,'TAR FIN'!$A$1:$O$91,15,0)),0,VLOOKUP($S$166,'TAR FIN'!$A$1:$O$91,15,0))</f>
        <v>0</v>
      </c>
      <c r="W166" s="59">
        <f>IF(ISERROR(VLOOKUP($T$166,'TAR FIN'!$A$1:$O$91,15,0)),0,VLOOKUP($T$166,'TAR FIN'!$A$1:$O$91,15,0))*(1-0.06)</f>
        <v>252.91639999999998</v>
      </c>
      <c r="X166" s="59">
        <f>IF(ISERROR(VLOOKUP($U$166,'TAR FIN'!$A$1:$O$91,15,0)),0,VLOOKUP($U$166,'TAR FIN'!$A$1:$O$91,15,0))*(1-0.06)</f>
        <v>125.9318</v>
      </c>
      <c r="Y166" s="59"/>
      <c r="Z166" s="59">
        <f ca="1">('TUSD BE'!$AM$52+'TUSD BF'!$AM$52+'TUSD CVA'!$AM$52)*1*(1-0.03)</f>
        <v>333.50025274124306</v>
      </c>
      <c r="AA166" s="59">
        <f>('TE BE'!$AB$40+'TE BF'!$AB$40+'TE CVA'!$AB$40)*1*(1-0.03)</f>
        <v>111.32233992297954</v>
      </c>
      <c r="AB166" s="59">
        <f>(SUBSIDIO!$J$166*SUBSIDIO!$V$166)*(0.06)/(1-0.06)</f>
        <v>0</v>
      </c>
      <c r="AC166" s="59">
        <f>((SUBSIDIO!$L$166*SUBSIDIO!$W$166)+(SUBSIDIO!$N$166*SUBSIDIO!$X$166))*(0.06)/(1-0.06)</f>
        <v>1730.9332439999998</v>
      </c>
      <c r="AD166" s="59">
        <f>(SUBSIDIO!$J$166*SUBSIDIO!$Y$166)*(0.03)/(1-0.03)</f>
        <v>0</v>
      </c>
      <c r="AE166" s="59">
        <f ca="1">((SUBSIDIO!$L$166*SUBSIDIO!$Z$166)+(SUBSIDIO!$N$166*SUBSIDIO!$AA$166))*(0.03)/(1-0.03)</f>
        <v>984.75467575995015</v>
      </c>
      <c r="AF166" s="4" t="s">
        <v>644</v>
      </c>
    </row>
    <row r="167" spans="1:32" ht="11.25" customHeight="1" x14ac:dyDescent="0.25">
      <c r="A167" s="4" t="s">
        <v>57</v>
      </c>
      <c r="B167" s="4" t="s">
        <v>33</v>
      </c>
      <c r="C167" s="4" t="s">
        <v>23</v>
      </c>
      <c r="D167" s="4" t="s">
        <v>48</v>
      </c>
      <c r="E167" s="4" t="s">
        <v>49</v>
      </c>
      <c r="F167" s="4" t="s">
        <v>25</v>
      </c>
      <c r="G167" s="4" t="s">
        <v>25</v>
      </c>
      <c r="H167" s="4" t="s">
        <v>25</v>
      </c>
      <c r="I167" s="5">
        <v>44774</v>
      </c>
      <c r="J167" s="6">
        <v>0</v>
      </c>
      <c r="K167" s="59">
        <v>0</v>
      </c>
      <c r="L167" s="6">
        <v>71.58</v>
      </c>
      <c r="M167" s="59">
        <v>71.58</v>
      </c>
      <c r="N167" s="6">
        <v>71.58</v>
      </c>
      <c r="O167" s="59">
        <v>71.58</v>
      </c>
      <c r="P167" s="6">
        <v>27</v>
      </c>
      <c r="Q167" s="4" t="s">
        <v>26</v>
      </c>
      <c r="R167" s="4">
        <v>0</v>
      </c>
      <c r="S167" s="4">
        <v>0</v>
      </c>
      <c r="T167" s="4">
        <v>26</v>
      </c>
      <c r="U167" s="4">
        <v>75</v>
      </c>
      <c r="V167" s="59">
        <f>IF(ISERROR(VLOOKUP($S$167,'TAR FIN'!$A$1:$O$91,15,0)),0,VLOOKUP($S$167,'TAR FIN'!$A$1:$O$91,15,0))</f>
        <v>0</v>
      </c>
      <c r="W167" s="59">
        <f>IF(ISERROR(VLOOKUP($T$167,'TAR FIN'!$A$1:$O$91,15,0)),0,VLOOKUP($T$167,'TAR FIN'!$A$1:$O$91,15,0))*(1-0.06)</f>
        <v>252.91639999999998</v>
      </c>
      <c r="X167" s="59">
        <f>IF(ISERROR(VLOOKUP($U$167,'TAR FIN'!$A$1:$O$91,15,0)),0,VLOOKUP($U$167,'TAR FIN'!$A$1:$O$91,15,0))*(1-0.06)</f>
        <v>125.9318</v>
      </c>
      <c r="Y167" s="59"/>
      <c r="Z167" s="59">
        <f ca="1">('TUSD BE'!$AM$52+'TUSD BF'!$AM$52+'TUSD CVA'!$AM$52)*1*(1-0.03)</f>
        <v>333.50025274124306</v>
      </c>
      <c r="AA167" s="59">
        <f>('TE BE'!$AB$40+'TE BF'!$AB$40+'TE CVA'!$AB$40)*1*(1-0.03)</f>
        <v>111.32233992297954</v>
      </c>
      <c r="AB167" s="59">
        <f>(SUBSIDIO!$J$167*SUBSIDIO!$V$167)*(0.06)/(1-0.06)</f>
        <v>0</v>
      </c>
      <c r="AC167" s="59">
        <f>((SUBSIDIO!$L$167*SUBSIDIO!$W$167)+(SUBSIDIO!$N$167*SUBSIDIO!$X$167))*(0.06)/(1-0.06)</f>
        <v>1730.9332439999998</v>
      </c>
      <c r="AD167" s="59">
        <f>(SUBSIDIO!$J$167*SUBSIDIO!$Y$167)*(0.03)/(1-0.03)</f>
        <v>0</v>
      </c>
      <c r="AE167" s="59">
        <f ca="1">((SUBSIDIO!$L$167*SUBSIDIO!$Z$167)+(SUBSIDIO!$N$167*SUBSIDIO!$AA$167))*(0.03)/(1-0.03)</f>
        <v>984.75467575995015</v>
      </c>
      <c r="AF167" s="4" t="s">
        <v>644</v>
      </c>
    </row>
    <row r="168" spans="1:32" ht="11.25" customHeight="1" x14ac:dyDescent="0.25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2" ht="11.25" customHeight="1" x14ac:dyDescent="0.25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2" ht="11.25" customHeight="1" x14ac:dyDescent="0.25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2" ht="11.25" customHeight="1" x14ac:dyDescent="0.25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2" ht="11.25" customHeight="1" x14ac:dyDescent="0.25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2" ht="11.25" customHeight="1" x14ac:dyDescent="0.25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2" ht="11.25" customHeight="1" x14ac:dyDescent="0.25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2" ht="11.25" customHeight="1" x14ac:dyDescent="0.25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2" ht="11.25" customHeight="1" x14ac:dyDescent="0.25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25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25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25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25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25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25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25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25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25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25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25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25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25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25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25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25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25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25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25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A9D-DC82-48BF-817C-6031E217E621}">
  <dimension ref="A1:J559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44" t="s">
        <v>629</v>
      </c>
      <c r="B1" s="45" t="s">
        <v>630</v>
      </c>
      <c r="C1" s="45" t="s">
        <v>631</v>
      </c>
      <c r="D1" s="45" t="s">
        <v>632</v>
      </c>
      <c r="E1" s="45" t="s">
        <v>633</v>
      </c>
      <c r="F1" s="45" t="s">
        <v>634</v>
      </c>
      <c r="G1" s="45" t="s">
        <v>635</v>
      </c>
      <c r="H1" s="46" t="s">
        <v>636</v>
      </c>
      <c r="I1" s="46" t="s">
        <v>637</v>
      </c>
      <c r="J1" s="46" t="s">
        <v>638</v>
      </c>
    </row>
    <row r="2" spans="1:10" ht="11.25" customHeight="1" x14ac:dyDescent="0.2">
      <c r="A2" s="47" t="s">
        <v>26</v>
      </c>
      <c r="B2" s="45">
        <v>14123635.780999999</v>
      </c>
      <c r="C2" s="45">
        <v>17850075.549042664</v>
      </c>
      <c r="D2" s="45">
        <v>57012461.199501</v>
      </c>
      <c r="E2" s="45">
        <v>74028298.789061069</v>
      </c>
      <c r="F2" s="45">
        <v>44113052.111051641</v>
      </c>
      <c r="G2" s="45">
        <v>37896949.031835154</v>
      </c>
      <c r="H2" s="46">
        <v>0.29158582264203003</v>
      </c>
      <c r="I2" s="46">
        <v>-0.1409130128554219</v>
      </c>
      <c r="J2" s="46">
        <v>0.12604148831369399</v>
      </c>
    </row>
    <row r="3" spans="1:10" ht="11.25" customHeight="1" x14ac:dyDescent="0.2">
      <c r="A3" s="48" t="s">
        <v>35</v>
      </c>
      <c r="B3" s="45">
        <v>895398.63</v>
      </c>
      <c r="C3" s="45">
        <v>1138457.0542278106</v>
      </c>
      <c r="D3" s="45">
        <v>943038.77538000012</v>
      </c>
      <c r="E3" s="45">
        <v>1237454.7508097664</v>
      </c>
      <c r="F3" s="45">
        <v>1789756.4065399999</v>
      </c>
      <c r="G3" s="45">
        <v>1533193.4682112725</v>
      </c>
      <c r="H3" s="46">
        <v>0.29235392952988892</v>
      </c>
      <c r="I3" s="46">
        <v>-0.14335075845585099</v>
      </c>
      <c r="J3" s="46">
        <v>7.742460185173905E-2</v>
      </c>
    </row>
    <row r="4" spans="1:10" ht="11.25" customHeight="1" x14ac:dyDescent="0.2">
      <c r="A4" s="49" t="s">
        <v>36</v>
      </c>
      <c r="B4" s="45">
        <v>895398.63</v>
      </c>
      <c r="C4" s="45">
        <v>1138457.0542278106</v>
      </c>
      <c r="D4" s="45">
        <v>943038.77538000012</v>
      </c>
      <c r="E4" s="45">
        <v>1237454.7508097664</v>
      </c>
      <c r="F4" s="45">
        <v>1789756.4065399999</v>
      </c>
      <c r="G4" s="45">
        <v>1533193.4682112725</v>
      </c>
      <c r="H4" s="46">
        <v>0.29235392952988892</v>
      </c>
      <c r="I4" s="46">
        <v>-0.14335075845585099</v>
      </c>
      <c r="J4" s="46">
        <v>7.742460185173905E-2</v>
      </c>
    </row>
    <row r="5" spans="1:10" ht="11.25" customHeight="1" x14ac:dyDescent="0.2">
      <c r="A5" s="50" t="s">
        <v>34</v>
      </c>
      <c r="B5" s="45">
        <v>895398.63</v>
      </c>
      <c r="C5" s="45">
        <v>1138457.0542278106</v>
      </c>
      <c r="D5" s="45">
        <v>943038.77538000012</v>
      </c>
      <c r="E5" s="45">
        <v>1237454.7508097664</v>
      </c>
      <c r="F5" s="45">
        <v>1789756.4065399999</v>
      </c>
      <c r="G5" s="45">
        <v>1533193.4682112725</v>
      </c>
      <c r="H5" s="46">
        <v>0.29235392952988892</v>
      </c>
      <c r="I5" s="46">
        <v>-0.14335075845585099</v>
      </c>
      <c r="J5" s="46">
        <v>7.742460185173905E-2</v>
      </c>
    </row>
    <row r="6" spans="1:10" ht="11.25" customHeight="1" x14ac:dyDescent="0.2">
      <c r="A6" s="51" t="s">
        <v>25</v>
      </c>
      <c r="B6" s="45">
        <v>895398.63</v>
      </c>
      <c r="C6" s="45">
        <v>1138457.0542278106</v>
      </c>
      <c r="D6" s="45">
        <v>943038.77538000012</v>
      </c>
      <c r="E6" s="45">
        <v>1237454.7508097664</v>
      </c>
      <c r="F6" s="45">
        <v>1789756.4065399999</v>
      </c>
      <c r="G6" s="45">
        <v>1533193.4682112725</v>
      </c>
      <c r="H6" s="46">
        <v>0.29235392952988892</v>
      </c>
      <c r="I6" s="46">
        <v>-0.14335075845585099</v>
      </c>
      <c r="J6" s="46">
        <v>7.742460185173905E-2</v>
      </c>
    </row>
    <row r="7" spans="1:10" ht="11.25" customHeight="1" x14ac:dyDescent="0.2">
      <c r="A7" s="52" t="s">
        <v>25</v>
      </c>
      <c r="B7" s="45">
        <v>895398.63</v>
      </c>
      <c r="C7" s="45">
        <v>1138457.0542278106</v>
      </c>
      <c r="D7" s="45">
        <v>943038.77538000012</v>
      </c>
      <c r="E7" s="45">
        <v>1237454.7508097664</v>
      </c>
      <c r="F7" s="45">
        <v>1789756.4065399999</v>
      </c>
      <c r="G7" s="45">
        <v>1533193.4682112725</v>
      </c>
      <c r="H7" s="46">
        <v>0.29235392952988892</v>
      </c>
      <c r="I7" s="46">
        <v>-0.14335075845585099</v>
      </c>
      <c r="J7" s="46">
        <v>7.742460185173905E-2</v>
      </c>
    </row>
    <row r="8" spans="1:10" ht="11.25" customHeight="1" x14ac:dyDescent="0.2">
      <c r="A8" s="53" t="s">
        <v>25</v>
      </c>
      <c r="B8" s="45">
        <v>895398.63</v>
      </c>
      <c r="C8" s="45">
        <v>1138457.0542278106</v>
      </c>
      <c r="D8" s="45">
        <v>943038.77538000012</v>
      </c>
      <c r="E8" s="45">
        <v>1237454.7508097664</v>
      </c>
      <c r="F8" s="45">
        <v>1789756.4065399999</v>
      </c>
      <c r="G8" s="45">
        <v>1533193.4682112725</v>
      </c>
      <c r="H8" s="46">
        <v>0.29235392952988892</v>
      </c>
      <c r="I8" s="46">
        <v>-0.14335075845585099</v>
      </c>
      <c r="J8" s="46">
        <v>7.742460185173905E-2</v>
      </c>
    </row>
    <row r="9" spans="1:10" ht="11.25" customHeight="1" x14ac:dyDescent="0.2">
      <c r="A9" s="54" t="s">
        <v>38</v>
      </c>
      <c r="B9" s="45">
        <v>258971.87999999998</v>
      </c>
      <c r="C9" s="45">
        <v>339928.32302858471</v>
      </c>
      <c r="D9" s="45">
        <v>859795.30611</v>
      </c>
      <c r="E9" s="45">
        <v>1128222.7348934109</v>
      </c>
      <c r="F9" s="45">
        <v>1631771.8821299998</v>
      </c>
      <c r="G9" s="45">
        <v>1397856.1451997329</v>
      </c>
      <c r="H9" s="46">
        <v>0.31229363548533984</v>
      </c>
      <c r="I9" s="46">
        <v>-0.14335075845585099</v>
      </c>
      <c r="J9" s="46">
        <v>4.198018352657451E-2</v>
      </c>
    </row>
    <row r="10" spans="1:10" ht="11.25" customHeight="1" x14ac:dyDescent="0.2">
      <c r="A10" s="55">
        <v>44440</v>
      </c>
      <c r="B10" s="45">
        <v>21356.880000000001</v>
      </c>
      <c r="C10" s="45">
        <v>28033.191879839305</v>
      </c>
      <c r="D10" s="45">
        <v>71024.410860000004</v>
      </c>
      <c r="E10" s="45">
        <v>93198.176932604329</v>
      </c>
      <c r="F10" s="45">
        <v>134794.45137999998</v>
      </c>
      <c r="G10" s="45">
        <v>115471.56453903666</v>
      </c>
      <c r="H10" s="46">
        <v>0.31229351402076322</v>
      </c>
      <c r="I10" s="46">
        <v>-0.14335075845585099</v>
      </c>
      <c r="J10" s="46">
        <v>4.19375370694961E-2</v>
      </c>
    </row>
    <row r="11" spans="1:10" ht="11.25" customHeight="1" x14ac:dyDescent="0.2">
      <c r="A11" s="55">
        <v>44470</v>
      </c>
      <c r="B11" s="45">
        <v>22232.880000000001</v>
      </c>
      <c r="C11" s="45">
        <v>29183.035681309335</v>
      </c>
      <c r="D11" s="45">
        <v>70840.241550000006</v>
      </c>
      <c r="E11" s="45">
        <v>92956.510106634174</v>
      </c>
      <c r="F11" s="45">
        <v>134444.92364999998</v>
      </c>
      <c r="G11" s="45">
        <v>115172.14187423349</v>
      </c>
      <c r="H11" s="46">
        <v>0.31229665185698829</v>
      </c>
      <c r="I11" s="46">
        <v>-0.1433507584558511</v>
      </c>
      <c r="J11" s="46">
        <v>4.3045563500547557E-2</v>
      </c>
    </row>
    <row r="12" spans="1:10" ht="11.25" customHeight="1" x14ac:dyDescent="0.2">
      <c r="A12" s="55">
        <v>44501</v>
      </c>
      <c r="B12" s="45">
        <v>21041.52</v>
      </c>
      <c r="C12" s="45">
        <v>27619.248111310095</v>
      </c>
      <c r="D12" s="45">
        <v>75731.987370000003</v>
      </c>
      <c r="E12" s="45">
        <v>99375.455183705504</v>
      </c>
      <c r="F12" s="45">
        <v>143728.77671000001</v>
      </c>
      <c r="G12" s="45">
        <v>123125.14755668983</v>
      </c>
      <c r="H12" s="46">
        <v>0.31228790550567798</v>
      </c>
      <c r="I12" s="46">
        <v>-0.1433507584558511</v>
      </c>
      <c r="J12" s="46">
        <v>3.9989502837761925E-2</v>
      </c>
    </row>
    <row r="13" spans="1:10" ht="11.25" customHeight="1" x14ac:dyDescent="0.2">
      <c r="A13" s="55">
        <v>44531</v>
      </c>
      <c r="B13" s="45">
        <v>21900</v>
      </c>
      <c r="C13" s="45">
        <v>28746.095036750721</v>
      </c>
      <c r="D13" s="45">
        <v>72229.735110000009</v>
      </c>
      <c r="E13" s="45">
        <v>94779.802480109196</v>
      </c>
      <c r="F13" s="45">
        <v>137081.98913</v>
      </c>
      <c r="G13" s="45">
        <v>117431.18201757777</v>
      </c>
      <c r="H13" s="46">
        <v>0.31229411590829992</v>
      </c>
      <c r="I13" s="46">
        <v>-0.1433507584558511</v>
      </c>
      <c r="J13" s="46">
        <v>4.2149053325349017E-2</v>
      </c>
    </row>
    <row r="14" spans="1:10" ht="11.25" customHeight="1" x14ac:dyDescent="0.2">
      <c r="A14" s="55">
        <v>44562</v>
      </c>
      <c r="B14" s="45">
        <v>21540.84</v>
      </c>
      <c r="C14" s="45">
        <v>28274.659078148012</v>
      </c>
      <c r="D14" s="45">
        <v>97551.074010000011</v>
      </c>
      <c r="E14" s="45">
        <v>128006.44377706225</v>
      </c>
      <c r="F14" s="45">
        <v>185138.36783</v>
      </c>
      <c r="G14" s="45">
        <v>158598.64238229115</v>
      </c>
      <c r="H14" s="46">
        <v>0.31227299648645768</v>
      </c>
      <c r="I14" s="46">
        <v>-0.14335075845585121</v>
      </c>
      <c r="J14" s="46">
        <v>3.5004613390530626E-2</v>
      </c>
    </row>
    <row r="15" spans="1:10" ht="11.25" customHeight="1" x14ac:dyDescent="0.2">
      <c r="A15" s="55">
        <v>44593</v>
      </c>
      <c r="B15" s="45">
        <v>20682.36</v>
      </c>
      <c r="C15" s="45">
        <v>27147.812152707382</v>
      </c>
      <c r="D15" s="45">
        <v>88363.150200000004</v>
      </c>
      <c r="E15" s="45">
        <v>115950.05726826652</v>
      </c>
      <c r="F15" s="45">
        <v>167700.96659999999</v>
      </c>
      <c r="G15" s="45">
        <v>143660.90584411065</v>
      </c>
      <c r="H15" s="46">
        <v>0.31227658212170839</v>
      </c>
      <c r="I15" s="46">
        <v>-0.14335075845585099</v>
      </c>
      <c r="J15" s="46">
        <v>3.6178594144561815E-2</v>
      </c>
    </row>
    <row r="16" spans="1:10" ht="11.25" customHeight="1" x14ac:dyDescent="0.2">
      <c r="A16" s="55">
        <v>44621</v>
      </c>
      <c r="B16" s="45">
        <v>21900</v>
      </c>
      <c r="C16" s="45">
        <v>28746.095036750721</v>
      </c>
      <c r="D16" s="45">
        <v>67358.672160000002</v>
      </c>
      <c r="E16" s="45">
        <v>88387.997449036062</v>
      </c>
      <c r="F16" s="45">
        <v>127837.38928</v>
      </c>
      <c r="G16" s="45">
        <v>109511.80256769611</v>
      </c>
      <c r="H16" s="46">
        <v>0.3122992943007139</v>
      </c>
      <c r="I16" s="46">
        <v>-0.1433507584558511</v>
      </c>
      <c r="J16" s="46">
        <v>4.3988976815787284E-2</v>
      </c>
    </row>
    <row r="17" spans="1:10" ht="11.25" customHeight="1" x14ac:dyDescent="0.2">
      <c r="A17" s="55">
        <v>44652</v>
      </c>
      <c r="B17" s="45">
        <v>21900</v>
      </c>
      <c r="C17" s="45">
        <v>28746.095036750721</v>
      </c>
      <c r="D17" s="45">
        <v>62102.9643</v>
      </c>
      <c r="E17" s="45">
        <v>81491.461664911432</v>
      </c>
      <c r="F17" s="45">
        <v>117862.78689999999</v>
      </c>
      <c r="G17" s="45">
        <v>100967.06700416464</v>
      </c>
      <c r="H17" s="46">
        <v>0.31230555517029734</v>
      </c>
      <c r="I17" s="46">
        <v>-0.1433507584558511</v>
      </c>
      <c r="J17" s="46">
        <v>4.6262788265525101E-2</v>
      </c>
    </row>
    <row r="18" spans="1:10" ht="11.25" customHeight="1" x14ac:dyDescent="0.2">
      <c r="A18" s="55">
        <v>44682</v>
      </c>
      <c r="B18" s="45">
        <v>21917.52</v>
      </c>
      <c r="C18" s="45">
        <v>28769.091912780124</v>
      </c>
      <c r="D18" s="45">
        <v>76526.266050000006</v>
      </c>
      <c r="E18" s="45">
        <v>100417.70705255029</v>
      </c>
      <c r="F18" s="45">
        <v>145236.20715</v>
      </c>
      <c r="G18" s="45">
        <v>124416.4866997964</v>
      </c>
      <c r="H18" s="46">
        <v>0.31229003016722556</v>
      </c>
      <c r="I18" s="46">
        <v>-0.1433507584558511</v>
      </c>
      <c r="J18" s="46">
        <v>4.0722639289398899E-2</v>
      </c>
    </row>
    <row r="19" spans="1:10" ht="11.25" customHeight="1" x14ac:dyDescent="0.2">
      <c r="A19" s="55">
        <v>44713</v>
      </c>
      <c r="B19" s="45">
        <v>21856.2</v>
      </c>
      <c r="C19" s="45">
        <v>28688.602846677222</v>
      </c>
      <c r="D19" s="45">
        <v>55338.465780000006</v>
      </c>
      <c r="E19" s="45">
        <v>72615.09194506974</v>
      </c>
      <c r="F19" s="45">
        <v>105024.70974000001</v>
      </c>
      <c r="G19" s="45">
        <v>89969.337942165381</v>
      </c>
      <c r="H19" s="46">
        <v>0.31231470164604613</v>
      </c>
      <c r="I19" s="46">
        <v>-0.14335075845585121</v>
      </c>
      <c r="J19" s="46">
        <v>4.9685480416535865E-2</v>
      </c>
    </row>
    <row r="20" spans="1:10" ht="11.25" customHeight="1" x14ac:dyDescent="0.2">
      <c r="A20" s="55">
        <v>44743</v>
      </c>
      <c r="B20" s="45">
        <v>21321.84</v>
      </c>
      <c r="C20" s="45">
        <v>27987.198127780503</v>
      </c>
      <c r="D20" s="45">
        <v>61364.16936</v>
      </c>
      <c r="E20" s="45">
        <v>80522.015516730709</v>
      </c>
      <c r="F20" s="45">
        <v>116460.65687999999</v>
      </c>
      <c r="G20" s="45">
        <v>99765.933385985365</v>
      </c>
      <c r="H20" s="46">
        <v>0.31230439689115519</v>
      </c>
      <c r="I20" s="46">
        <v>-0.1433507584558511</v>
      </c>
      <c r="J20" s="46">
        <v>4.5837979429168341E-2</v>
      </c>
    </row>
    <row r="21" spans="1:10" ht="11.25" customHeight="1" x14ac:dyDescent="0.2">
      <c r="A21" s="55">
        <v>44774</v>
      </c>
      <c r="B21" s="45">
        <v>21321.84</v>
      </c>
      <c r="C21" s="45">
        <v>27987.198127780503</v>
      </c>
      <c r="D21" s="45">
        <v>61364.16936</v>
      </c>
      <c r="E21" s="45">
        <v>80522.015516730709</v>
      </c>
      <c r="F21" s="45">
        <v>116460.65687999999</v>
      </c>
      <c r="G21" s="45">
        <v>99765.933385985365</v>
      </c>
      <c r="H21" s="46">
        <v>0.31230439689115519</v>
      </c>
      <c r="I21" s="46">
        <v>-0.1433507584558511</v>
      </c>
      <c r="J21" s="46">
        <v>4.5837979429168341E-2</v>
      </c>
    </row>
    <row r="22" spans="1:10" ht="11.25" customHeight="1" x14ac:dyDescent="0.2">
      <c r="A22" s="54" t="s">
        <v>37</v>
      </c>
      <c r="B22" s="45">
        <v>636426.75</v>
      </c>
      <c r="C22" s="45">
        <v>798528.73119922553</v>
      </c>
      <c r="D22" s="45">
        <v>83243.469270000016</v>
      </c>
      <c r="E22" s="45">
        <v>109232.01591635523</v>
      </c>
      <c r="F22" s="45">
        <v>157984.52441000001</v>
      </c>
      <c r="G22" s="45">
        <v>135337.32301153956</v>
      </c>
      <c r="H22" s="46">
        <v>0.26135655305616368</v>
      </c>
      <c r="I22" s="46">
        <v>-0.14335075845585132</v>
      </c>
      <c r="J22" s="46">
        <v>0.18850616103710371</v>
      </c>
    </row>
    <row r="23" spans="1:10" ht="11.25" customHeight="1" x14ac:dyDescent="0.2">
      <c r="A23" s="55">
        <v>44440</v>
      </c>
      <c r="B23" s="45">
        <v>51895.5</v>
      </c>
      <c r="C23" s="45">
        <v>65113.617191529775</v>
      </c>
      <c r="D23" s="45">
        <v>6979.0215300000009</v>
      </c>
      <c r="E23" s="45">
        <v>9157.8666474474012</v>
      </c>
      <c r="F23" s="45">
        <v>13245.21199</v>
      </c>
      <c r="G23" s="45">
        <v>11346.500805324968</v>
      </c>
      <c r="H23" s="46">
        <v>0.26152165501899716</v>
      </c>
      <c r="I23" s="46">
        <v>-0.1433507584558511</v>
      </c>
      <c r="J23" s="46">
        <v>0.18716446200621162</v>
      </c>
    </row>
    <row r="24" spans="1:10" ht="11.25" customHeight="1" x14ac:dyDescent="0.2">
      <c r="A24" s="55">
        <v>44470</v>
      </c>
      <c r="B24" s="45">
        <v>54309.75</v>
      </c>
      <c r="C24" s="45">
        <v>68142.792174035974</v>
      </c>
      <c r="D24" s="45">
        <v>6257.1681900000003</v>
      </c>
      <c r="E24" s="45">
        <v>8210.6512536679074</v>
      </c>
      <c r="F24" s="45">
        <v>11875.234770000001</v>
      </c>
      <c r="G24" s="45">
        <v>10172.910858879206</v>
      </c>
      <c r="H24" s="46">
        <v>0.26064600460900356</v>
      </c>
      <c r="I24" s="46">
        <v>-0.1433507584558511</v>
      </c>
      <c r="J24" s="46">
        <v>0.19441997167532965</v>
      </c>
    </row>
    <row r="25" spans="1:10" ht="11.25" customHeight="1" x14ac:dyDescent="0.2">
      <c r="A25" s="55">
        <v>44501</v>
      </c>
      <c r="B25" s="45">
        <v>51177.75</v>
      </c>
      <c r="C25" s="45">
        <v>64213.051656190088</v>
      </c>
      <c r="D25" s="45">
        <v>7154.2965000000004</v>
      </c>
      <c r="E25" s="45">
        <v>9387.8623273568937</v>
      </c>
      <c r="F25" s="45">
        <v>13577.859499999999</v>
      </c>
      <c r="G25" s="45">
        <v>11631.463042468016</v>
      </c>
      <c r="H25" s="46">
        <v>0.26175778838047425</v>
      </c>
      <c r="I25" s="46">
        <v>-0.1433507584558511</v>
      </c>
      <c r="J25" s="46">
        <v>0.18526614436146005</v>
      </c>
    </row>
    <row r="26" spans="1:10" ht="11.25" customHeight="1" x14ac:dyDescent="0.2">
      <c r="A26" s="55">
        <v>44531</v>
      </c>
      <c r="B26" s="45">
        <v>53113.5</v>
      </c>
      <c r="C26" s="45">
        <v>66641.849615136511</v>
      </c>
      <c r="D26" s="45">
        <v>7778.9474100000007</v>
      </c>
      <c r="E26" s="45">
        <v>10207.528767759273</v>
      </c>
      <c r="F26" s="45">
        <v>14763.36003</v>
      </c>
      <c r="G26" s="45">
        <v>12647.021172342702</v>
      </c>
      <c r="H26" s="46">
        <v>0.26205106957608137</v>
      </c>
      <c r="I26" s="46">
        <v>-0.14335075845585121</v>
      </c>
      <c r="J26" s="46">
        <v>0.18294156897624791</v>
      </c>
    </row>
    <row r="27" spans="1:10" ht="11.25" customHeight="1" x14ac:dyDescent="0.2">
      <c r="A27" s="55">
        <v>44562</v>
      </c>
      <c r="B27" s="45">
        <v>53091.75</v>
      </c>
      <c r="C27" s="45">
        <v>66614.559750429238</v>
      </c>
      <c r="D27" s="45">
        <v>8718.7120800000012</v>
      </c>
      <c r="E27" s="45">
        <v>11440.687240024714</v>
      </c>
      <c r="F27" s="45">
        <v>16546.90264</v>
      </c>
      <c r="G27" s="45">
        <v>14174.891596460875</v>
      </c>
      <c r="H27" s="46">
        <v>0.26281610529668353</v>
      </c>
      <c r="I27" s="46">
        <v>-0.1433507584558511</v>
      </c>
      <c r="J27" s="46">
        <v>0.17704492636381275</v>
      </c>
    </row>
    <row r="28" spans="1:10" ht="11.25" customHeight="1" x14ac:dyDescent="0.2">
      <c r="A28" s="55">
        <v>44593</v>
      </c>
      <c r="B28" s="45">
        <v>51308.25</v>
      </c>
      <c r="C28" s="45">
        <v>64376.790844433664</v>
      </c>
      <c r="D28" s="45">
        <v>8626.3097699999998</v>
      </c>
      <c r="E28" s="45">
        <v>11319.437000394619</v>
      </c>
      <c r="F28" s="45">
        <v>16371.535910000001</v>
      </c>
      <c r="G28" s="45">
        <v>14024.663820214297</v>
      </c>
      <c r="H28" s="46">
        <v>0.26298129385306224</v>
      </c>
      <c r="I28" s="46">
        <v>-0.14335075845585121</v>
      </c>
      <c r="J28" s="46">
        <v>0.17580241611757152</v>
      </c>
    </row>
    <row r="29" spans="1:10" ht="11.25" customHeight="1" x14ac:dyDescent="0.2">
      <c r="A29" s="55">
        <v>44621</v>
      </c>
      <c r="B29" s="45">
        <v>53874.75</v>
      </c>
      <c r="C29" s="45">
        <v>67596.994879890713</v>
      </c>
      <c r="D29" s="45">
        <v>6877.9366500000006</v>
      </c>
      <c r="E29" s="45">
        <v>9025.2231461866704</v>
      </c>
      <c r="F29" s="45">
        <v>13053.36695</v>
      </c>
      <c r="G29" s="45">
        <v>11182.156897314961</v>
      </c>
      <c r="H29" s="46">
        <v>0.26121530176110141</v>
      </c>
      <c r="I29" s="46">
        <v>-0.1433507584558511</v>
      </c>
      <c r="J29" s="46">
        <v>0.1896635931688988</v>
      </c>
    </row>
    <row r="30" spans="1:10" ht="11.25" customHeight="1" x14ac:dyDescent="0.2">
      <c r="A30" s="55">
        <v>44652</v>
      </c>
      <c r="B30" s="45">
        <v>54483.75</v>
      </c>
      <c r="C30" s="45">
        <v>68361.111091694082</v>
      </c>
      <c r="D30" s="45">
        <v>5796.1449000000002</v>
      </c>
      <c r="E30" s="45">
        <v>7605.696849524169</v>
      </c>
      <c r="F30" s="45">
        <v>11000.2767</v>
      </c>
      <c r="G30" s="45">
        <v>9423.3786918307724</v>
      </c>
      <c r="H30" s="46">
        <v>0.26023457849821585</v>
      </c>
      <c r="I30" s="46">
        <v>-0.14335075845585121</v>
      </c>
      <c r="J30" s="46">
        <v>0.19795147396992285</v>
      </c>
    </row>
    <row r="31" spans="1:10" ht="11.25" customHeight="1" x14ac:dyDescent="0.2">
      <c r="A31" s="55">
        <v>44682</v>
      </c>
      <c r="B31" s="45">
        <v>53505</v>
      </c>
      <c r="C31" s="45">
        <v>67133.067179867241</v>
      </c>
      <c r="D31" s="45">
        <v>7526.7293400000008</v>
      </c>
      <c r="E31" s="45">
        <v>9876.5684116108168</v>
      </c>
      <c r="F31" s="45">
        <v>14284.685220000001</v>
      </c>
      <c r="G31" s="45">
        <v>12236.964759409913</v>
      </c>
      <c r="H31" s="46">
        <v>0.2617967149917575</v>
      </c>
      <c r="I31" s="46">
        <v>-0.14335075845585121</v>
      </c>
      <c r="J31" s="46">
        <v>0.18495550899851487</v>
      </c>
    </row>
    <row r="32" spans="1:10" ht="11.25" customHeight="1" x14ac:dyDescent="0.2">
      <c r="A32" s="55">
        <v>44713</v>
      </c>
      <c r="B32" s="45">
        <v>53657.25</v>
      </c>
      <c r="C32" s="45">
        <v>67324.09623281809</v>
      </c>
      <c r="D32" s="45">
        <v>5554.1623800000007</v>
      </c>
      <c r="E32" s="45">
        <v>7288.1675741597946</v>
      </c>
      <c r="F32" s="45">
        <v>10541.027540000001</v>
      </c>
      <c r="G32" s="45">
        <v>9029.9632472369849</v>
      </c>
      <c r="H32" s="46">
        <v>0.26009937625098556</v>
      </c>
      <c r="I32" s="46">
        <v>-0.14335075845585121</v>
      </c>
      <c r="J32" s="46">
        <v>0.1991297673621919</v>
      </c>
    </row>
    <row r="33" spans="1:10" ht="11.25" customHeight="1" x14ac:dyDescent="0.2">
      <c r="A33" s="55">
        <v>44743</v>
      </c>
      <c r="B33" s="45">
        <v>53004.75</v>
      </c>
      <c r="C33" s="45">
        <v>66505.400291600192</v>
      </c>
      <c r="D33" s="45">
        <v>5987.0202600000002</v>
      </c>
      <c r="E33" s="45">
        <v>7856.1633491114708</v>
      </c>
      <c r="F33" s="45">
        <v>11362.531579999999</v>
      </c>
      <c r="G33" s="45">
        <v>9733.7040600284381</v>
      </c>
      <c r="H33" s="46">
        <v>0.26054131471171194</v>
      </c>
      <c r="I33" s="46">
        <v>-0.14335075845585121</v>
      </c>
      <c r="J33" s="46">
        <v>0.19531095471588733</v>
      </c>
    </row>
    <row r="34" spans="1:10" ht="11.25" customHeight="1" x14ac:dyDescent="0.2">
      <c r="A34" s="55">
        <v>44774</v>
      </c>
      <c r="B34" s="45">
        <v>53004.75</v>
      </c>
      <c r="C34" s="45">
        <v>66505.400291600192</v>
      </c>
      <c r="D34" s="45">
        <v>5987.0202600000002</v>
      </c>
      <c r="E34" s="45">
        <v>7856.1633491114708</v>
      </c>
      <c r="F34" s="45">
        <v>11362.531579999999</v>
      </c>
      <c r="G34" s="45">
        <v>9733.7040600284381</v>
      </c>
      <c r="H34" s="46">
        <v>0.26054131471171194</v>
      </c>
      <c r="I34" s="46">
        <v>-0.14335075845585121</v>
      </c>
      <c r="J34" s="46">
        <v>0.19531095471588733</v>
      </c>
    </row>
    <row r="35" spans="1:10" ht="11.25" customHeight="1" x14ac:dyDescent="0.2">
      <c r="A35" s="48" t="s">
        <v>39</v>
      </c>
      <c r="B35" s="45">
        <v>13228237.150999999</v>
      </c>
      <c r="C35" s="45">
        <v>16711618.494814871</v>
      </c>
      <c r="D35" s="45">
        <v>29113694.25049739</v>
      </c>
      <c r="E35" s="45">
        <v>38038204.244933777</v>
      </c>
      <c r="F35" s="45">
        <v>28849679.383693408</v>
      </c>
      <c r="G35" s="45">
        <v>24714055.962832816</v>
      </c>
      <c r="H35" s="46">
        <v>0.29304027774728447</v>
      </c>
      <c r="I35" s="46">
        <v>-0.14335075845585155</v>
      </c>
      <c r="J35" s="46">
        <v>0.11619722922622033</v>
      </c>
    </row>
    <row r="36" spans="1:10" ht="11.25" customHeight="1" x14ac:dyDescent="0.2">
      <c r="A36" s="49" t="s">
        <v>36</v>
      </c>
      <c r="B36" s="45">
        <v>4104911.7509999974</v>
      </c>
      <c r="C36" s="45">
        <v>5111854.1572288061</v>
      </c>
      <c r="D36" s="45">
        <v>3841461.0636073989</v>
      </c>
      <c r="E36" s="45">
        <v>5153727.7978884922</v>
      </c>
      <c r="F36" s="45">
        <v>5675973.7365333978</v>
      </c>
      <c r="G36" s="45">
        <v>4862318.5964258509</v>
      </c>
      <c r="H36" s="46">
        <v>0.29185758013349461</v>
      </c>
      <c r="I36" s="46">
        <v>-0.14335075845584988</v>
      </c>
      <c r="J36" s="46">
        <v>0.11052089996024028</v>
      </c>
    </row>
    <row r="37" spans="1:10" ht="11.25" customHeight="1" x14ac:dyDescent="0.2">
      <c r="A37" s="50" t="s">
        <v>34</v>
      </c>
      <c r="B37" s="45">
        <v>3864881.73</v>
      </c>
      <c r="C37" s="45">
        <v>4812877.9446787704</v>
      </c>
      <c r="D37" s="45">
        <v>3671324.2288600001</v>
      </c>
      <c r="E37" s="45">
        <v>4925471.1736084009</v>
      </c>
      <c r="F37" s="45">
        <v>5424587.0402599983</v>
      </c>
      <c r="G37" s="45">
        <v>4646968.3737289505</v>
      </c>
      <c r="H37" s="46">
        <v>0.29220846291205782</v>
      </c>
      <c r="I37" s="46">
        <v>-0.14335075845585044</v>
      </c>
      <c r="J37" s="46">
        <v>0.10991028812765125</v>
      </c>
    </row>
    <row r="38" spans="1:10" ht="11.25" customHeight="1" x14ac:dyDescent="0.2">
      <c r="A38" s="51" t="s">
        <v>25</v>
      </c>
      <c r="B38" s="45">
        <v>3864881.73</v>
      </c>
      <c r="C38" s="45">
        <v>4812877.9446787704</v>
      </c>
      <c r="D38" s="45">
        <v>3671324.2288600001</v>
      </c>
      <c r="E38" s="45">
        <v>4925471.1736084009</v>
      </c>
      <c r="F38" s="45">
        <v>5424587.0402599983</v>
      </c>
      <c r="G38" s="45">
        <v>4646968.3737289505</v>
      </c>
      <c r="H38" s="46">
        <v>0.29220846291205782</v>
      </c>
      <c r="I38" s="46">
        <v>-0.14335075845585044</v>
      </c>
      <c r="J38" s="46">
        <v>0.10991028812765125</v>
      </c>
    </row>
    <row r="39" spans="1:10" ht="11.25" customHeight="1" x14ac:dyDescent="0.2">
      <c r="A39" s="52" t="s">
        <v>25</v>
      </c>
      <c r="B39" s="45">
        <v>3864881.73</v>
      </c>
      <c r="C39" s="45">
        <v>4812877.9446787704</v>
      </c>
      <c r="D39" s="45">
        <v>3671324.2288600001</v>
      </c>
      <c r="E39" s="45">
        <v>4925471.1736084009</v>
      </c>
      <c r="F39" s="45">
        <v>5424587.0402599983</v>
      </c>
      <c r="G39" s="45">
        <v>4646968.3737289505</v>
      </c>
      <c r="H39" s="46">
        <v>0.29220846291205782</v>
      </c>
      <c r="I39" s="46">
        <v>-0.14335075845585044</v>
      </c>
      <c r="J39" s="46">
        <v>0.10991028812765125</v>
      </c>
    </row>
    <row r="40" spans="1:10" ht="11.25" customHeight="1" x14ac:dyDescent="0.2">
      <c r="A40" s="53" t="s">
        <v>25</v>
      </c>
      <c r="B40" s="45">
        <v>3864881.73</v>
      </c>
      <c r="C40" s="45">
        <v>4812877.9446787704</v>
      </c>
      <c r="D40" s="45">
        <v>3671324.2288600001</v>
      </c>
      <c r="E40" s="45">
        <v>4925471.1736084009</v>
      </c>
      <c r="F40" s="45">
        <v>5424587.0402599983</v>
      </c>
      <c r="G40" s="45">
        <v>4646968.3737289505</v>
      </c>
      <c r="H40" s="46">
        <v>0.29220846291205782</v>
      </c>
      <c r="I40" s="46">
        <v>-0.14335075845585044</v>
      </c>
      <c r="J40" s="46">
        <v>0.10991028812765125</v>
      </c>
    </row>
    <row r="41" spans="1:10" ht="11.25" customHeight="1" x14ac:dyDescent="0.2">
      <c r="A41" s="54" t="s">
        <v>38</v>
      </c>
      <c r="B41" s="45">
        <v>1080585.45</v>
      </c>
      <c r="C41" s="45">
        <v>1373899.9780304215</v>
      </c>
      <c r="D41" s="45">
        <v>3304986.0570400003</v>
      </c>
      <c r="E41" s="45">
        <v>4433989.6283644121</v>
      </c>
      <c r="F41" s="45">
        <v>4883301.8866399992</v>
      </c>
      <c r="G41" s="45">
        <v>4183276.8574212673</v>
      </c>
      <c r="H41" s="46">
        <v>0.32431761677392257</v>
      </c>
      <c r="I41" s="46">
        <v>-0.14335075845585099</v>
      </c>
      <c r="J41" s="46">
        <v>7.7926738176033128E-2</v>
      </c>
    </row>
    <row r="42" spans="1:10" ht="11.25" customHeight="1" x14ac:dyDescent="0.2">
      <c r="A42" s="55">
        <v>44440</v>
      </c>
      <c r="B42" s="45">
        <v>87422.5</v>
      </c>
      <c r="C42" s="45">
        <v>111152.4968519283</v>
      </c>
      <c r="D42" s="45">
        <v>271586.02708000003</v>
      </c>
      <c r="E42" s="45">
        <v>364361.48488926649</v>
      </c>
      <c r="F42" s="45">
        <v>401283.55628000002</v>
      </c>
      <c r="G42" s="45">
        <v>343759.25413140078</v>
      </c>
      <c r="H42" s="46">
        <v>0.32452002076049058</v>
      </c>
      <c r="I42" s="46">
        <v>-0.1433507584558511</v>
      </c>
      <c r="J42" s="46">
        <v>7.7576965226228367E-2</v>
      </c>
    </row>
    <row r="43" spans="1:10" ht="11.25" customHeight="1" x14ac:dyDescent="0.2">
      <c r="A43" s="55">
        <v>44470</v>
      </c>
      <c r="B43" s="45">
        <v>87971.599999999991</v>
      </c>
      <c r="C43" s="45">
        <v>111850.64476603959</v>
      </c>
      <c r="D43" s="45">
        <v>260502.07293000002</v>
      </c>
      <c r="E43" s="45">
        <v>349491.18380654947</v>
      </c>
      <c r="F43" s="45">
        <v>384906.39363000001</v>
      </c>
      <c r="G43" s="45">
        <v>329729.77016863314</v>
      </c>
      <c r="H43" s="46">
        <v>0.32389292049979801</v>
      </c>
      <c r="I43" s="46">
        <v>-0.1433507584558511</v>
      </c>
      <c r="J43" s="46">
        <v>7.8665258045300668E-2</v>
      </c>
    </row>
    <row r="44" spans="1:10" ht="11.25" customHeight="1" x14ac:dyDescent="0.2">
      <c r="A44" s="55">
        <v>44501</v>
      </c>
      <c r="B44" s="45">
        <v>90688.2</v>
      </c>
      <c r="C44" s="45">
        <v>115304.63970953753</v>
      </c>
      <c r="D44" s="45">
        <v>277673.42953999998</v>
      </c>
      <c r="E44" s="45">
        <v>372528.3814829223</v>
      </c>
      <c r="F44" s="45">
        <v>410278.03414</v>
      </c>
      <c r="G44" s="45">
        <v>351464.36676825542</v>
      </c>
      <c r="H44" s="46">
        <v>0.32433180350964474</v>
      </c>
      <c r="I44" s="46">
        <v>-0.1433507584558511</v>
      </c>
      <c r="J44" s="46">
        <v>7.7902176205659979E-2</v>
      </c>
    </row>
    <row r="45" spans="1:10" ht="11.25" customHeight="1" x14ac:dyDescent="0.2">
      <c r="A45" s="55">
        <v>44531</v>
      </c>
      <c r="B45" s="45">
        <v>90399.2</v>
      </c>
      <c r="C45" s="45">
        <v>114937.19343895264</v>
      </c>
      <c r="D45" s="45">
        <v>276320.90515000001</v>
      </c>
      <c r="E45" s="45">
        <v>370713.826439764</v>
      </c>
      <c r="F45" s="45">
        <v>408279.60365</v>
      </c>
      <c r="G45" s="45">
        <v>349752.41280471825</v>
      </c>
      <c r="H45" s="46">
        <v>0.32430977483514356</v>
      </c>
      <c r="I45" s="46">
        <v>-0.1433507584558511</v>
      </c>
      <c r="J45" s="46">
        <v>7.7940318167297518E-2</v>
      </c>
    </row>
    <row r="46" spans="1:10" ht="11.25" customHeight="1" x14ac:dyDescent="0.2">
      <c r="A46" s="55">
        <v>44562</v>
      </c>
      <c r="B46" s="45">
        <v>91280.65</v>
      </c>
      <c r="C46" s="45">
        <v>116057.90456423655</v>
      </c>
      <c r="D46" s="45">
        <v>288115.98410999996</v>
      </c>
      <c r="E46" s="45">
        <v>386538.17694283969</v>
      </c>
      <c r="F46" s="45">
        <v>425707.49300999998</v>
      </c>
      <c r="G46" s="45">
        <v>364682.00100667751</v>
      </c>
      <c r="H46" s="46">
        <v>0.32472467154612805</v>
      </c>
      <c r="I46" s="46">
        <v>-0.14335075845585121</v>
      </c>
      <c r="J46" s="46">
        <v>7.7224738141836502E-2</v>
      </c>
    </row>
    <row r="47" spans="1:10" ht="11.25" customHeight="1" x14ac:dyDescent="0.2">
      <c r="A47" s="55">
        <v>44593</v>
      </c>
      <c r="B47" s="45">
        <v>90890.5</v>
      </c>
      <c r="C47" s="45">
        <v>115561.85209894695</v>
      </c>
      <c r="D47" s="45">
        <v>270645.68851000001</v>
      </c>
      <c r="E47" s="45">
        <v>363099.9208782324</v>
      </c>
      <c r="F47" s="45">
        <v>399894.15340999997</v>
      </c>
      <c r="G47" s="45">
        <v>342569.02321661601</v>
      </c>
      <c r="H47" s="46">
        <v>0.32396641937806936</v>
      </c>
      <c r="I47" s="46">
        <v>-0.1433507584558511</v>
      </c>
      <c r="J47" s="46">
        <v>7.8536999357031512E-2</v>
      </c>
    </row>
    <row r="48" spans="1:10" ht="11.25" customHeight="1" x14ac:dyDescent="0.2">
      <c r="A48" s="55">
        <v>44621</v>
      </c>
      <c r="B48" s="45">
        <v>95846.849999999991</v>
      </c>
      <c r="C48" s="45">
        <v>121863.55563947777</v>
      </c>
      <c r="D48" s="45">
        <v>305150.61035999999</v>
      </c>
      <c r="E48" s="45">
        <v>409391.93632699014</v>
      </c>
      <c r="F48" s="45">
        <v>450877.10676</v>
      </c>
      <c r="G48" s="45">
        <v>386243.53153557424</v>
      </c>
      <c r="H48" s="46">
        <v>0.32483505379193023</v>
      </c>
      <c r="I48" s="46">
        <v>-0.1433507584558511</v>
      </c>
      <c r="J48" s="46">
        <v>7.7035351112669126E-2</v>
      </c>
    </row>
    <row r="49" spans="1:10" ht="11.25" customHeight="1" x14ac:dyDescent="0.2">
      <c r="A49" s="55">
        <v>44652</v>
      </c>
      <c r="B49" s="45">
        <v>90312.5</v>
      </c>
      <c r="C49" s="45">
        <v>114826.95955777717</v>
      </c>
      <c r="D49" s="45">
        <v>260270.0484</v>
      </c>
      <c r="E49" s="45">
        <v>349179.89826954855</v>
      </c>
      <c r="F49" s="45">
        <v>384563.56439999997</v>
      </c>
      <c r="G49" s="45">
        <v>329436.08576877444</v>
      </c>
      <c r="H49" s="46">
        <v>0.32353096280740523</v>
      </c>
      <c r="I49" s="46">
        <v>-0.1433507584558511</v>
      </c>
      <c r="J49" s="46">
        <v>7.9299651839361829E-2</v>
      </c>
    </row>
    <row r="50" spans="1:10" ht="11.25" customHeight="1" x14ac:dyDescent="0.2">
      <c r="A50" s="55">
        <v>44682</v>
      </c>
      <c r="B50" s="45">
        <v>88072.75</v>
      </c>
      <c r="C50" s="45">
        <v>111979.25096074431</v>
      </c>
      <c r="D50" s="45">
        <v>275561.99725000001</v>
      </c>
      <c r="E50" s="45">
        <v>369695.67093187134</v>
      </c>
      <c r="F50" s="45">
        <v>407158.27475000004</v>
      </c>
      <c r="G50" s="45">
        <v>348791.8272530117</v>
      </c>
      <c r="H50" s="46">
        <v>0.32461192318747978</v>
      </c>
      <c r="I50" s="46">
        <v>-0.14335075845585121</v>
      </c>
      <c r="J50" s="46">
        <v>7.7418613612756815E-2</v>
      </c>
    </row>
    <row r="51" spans="1:10" ht="11.25" customHeight="1" x14ac:dyDescent="0.2">
      <c r="A51" s="55">
        <v>44713</v>
      </c>
      <c r="B51" s="45">
        <v>88260.599999999991</v>
      </c>
      <c r="C51" s="45">
        <v>112218.09103662448</v>
      </c>
      <c r="D51" s="45">
        <v>253142.57037</v>
      </c>
      <c r="E51" s="45">
        <v>339617.62989201734</v>
      </c>
      <c r="F51" s="45">
        <v>374032.31667000003</v>
      </c>
      <c r="G51" s="45">
        <v>320414.50038835639</v>
      </c>
      <c r="H51" s="46">
        <v>0.32346668145746627</v>
      </c>
      <c r="I51" s="46">
        <v>-0.14335075845585121</v>
      </c>
      <c r="J51" s="46">
        <v>7.9412798646681715E-2</v>
      </c>
    </row>
    <row r="52" spans="1:10" ht="11.25" customHeight="1" x14ac:dyDescent="0.2">
      <c r="A52" s="55">
        <v>44743</v>
      </c>
      <c r="B52" s="45">
        <v>89720.049999999988</v>
      </c>
      <c r="C52" s="45">
        <v>114073.69470307816</v>
      </c>
      <c r="D52" s="45">
        <v>283008.36167000001</v>
      </c>
      <c r="E52" s="45">
        <v>379685.7592522052</v>
      </c>
      <c r="F52" s="45">
        <v>418160.69497000001</v>
      </c>
      <c r="G52" s="45">
        <v>358217.04218962468</v>
      </c>
      <c r="H52" s="46">
        <v>0.32471643828547148</v>
      </c>
      <c r="I52" s="46">
        <v>-0.14335075845585121</v>
      </c>
      <c r="J52" s="46">
        <v>7.7238880889927364E-2</v>
      </c>
    </row>
    <row r="53" spans="1:10" ht="11.25" customHeight="1" x14ac:dyDescent="0.2">
      <c r="A53" s="55">
        <v>44774</v>
      </c>
      <c r="B53" s="45">
        <v>89720.049999999988</v>
      </c>
      <c r="C53" s="45">
        <v>114073.69470307816</v>
      </c>
      <c r="D53" s="45">
        <v>283008.36167000001</v>
      </c>
      <c r="E53" s="45">
        <v>379685.7592522052</v>
      </c>
      <c r="F53" s="45">
        <v>418160.69497000001</v>
      </c>
      <c r="G53" s="45">
        <v>358217.04218962468</v>
      </c>
      <c r="H53" s="46">
        <v>0.32471643828547148</v>
      </c>
      <c r="I53" s="46">
        <v>-0.14335075845585121</v>
      </c>
      <c r="J53" s="46">
        <v>7.7238880889927364E-2</v>
      </c>
    </row>
    <row r="54" spans="1:10" ht="11.25" customHeight="1" x14ac:dyDescent="0.2">
      <c r="A54" s="54" t="s">
        <v>37</v>
      </c>
      <c r="B54" s="45">
        <v>2784296.2800000003</v>
      </c>
      <c r="C54" s="45">
        <v>3438977.9666483486</v>
      </c>
      <c r="D54" s="45">
        <v>366338.17181999999</v>
      </c>
      <c r="E54" s="45">
        <v>491481.54524398973</v>
      </c>
      <c r="F54" s="45">
        <v>541285.15362</v>
      </c>
      <c r="G54" s="45">
        <v>463691.5163076811</v>
      </c>
      <c r="H54" s="46">
        <v>0.24751365859719576</v>
      </c>
      <c r="I54" s="46">
        <v>-0.1433507584558511</v>
      </c>
      <c r="J54" s="46">
        <v>0.19020766912835518</v>
      </c>
    </row>
    <row r="55" spans="1:10" ht="11.25" customHeight="1" x14ac:dyDescent="0.2">
      <c r="A55" s="55">
        <v>44440</v>
      </c>
      <c r="B55" s="45">
        <v>226933</v>
      </c>
      <c r="C55" s="45">
        <v>280292.57967668935</v>
      </c>
      <c r="D55" s="45">
        <v>28239.1715</v>
      </c>
      <c r="E55" s="45">
        <v>37885.846228575618</v>
      </c>
      <c r="F55" s="45">
        <v>41724.9565</v>
      </c>
      <c r="G55" s="45">
        <v>35743.652339187604</v>
      </c>
      <c r="H55" s="46">
        <v>0.24691663685303156</v>
      </c>
      <c r="I55" s="46">
        <v>-0.1433507584558511</v>
      </c>
      <c r="J55" s="46">
        <v>0.19206972673865863</v>
      </c>
    </row>
    <row r="56" spans="1:10" ht="11.25" customHeight="1" x14ac:dyDescent="0.2">
      <c r="A56" s="55">
        <v>44470</v>
      </c>
      <c r="B56" s="45">
        <v>226933</v>
      </c>
      <c r="C56" s="45">
        <v>280292.57967668935</v>
      </c>
      <c r="D56" s="45">
        <v>27815.107910000002</v>
      </c>
      <c r="E56" s="45">
        <v>37316.919907140247</v>
      </c>
      <c r="F56" s="45">
        <v>41098.378810000002</v>
      </c>
      <c r="G56" s="45">
        <v>35206.895036280621</v>
      </c>
      <c r="H56" s="46">
        <v>0.24675901300918768</v>
      </c>
      <c r="I56" s="46">
        <v>-0.1433507584558511</v>
      </c>
      <c r="J56" s="46">
        <v>0.19256577467498759</v>
      </c>
    </row>
    <row r="57" spans="1:10" ht="11.25" customHeight="1" x14ac:dyDescent="0.2">
      <c r="A57" s="55">
        <v>44501</v>
      </c>
      <c r="B57" s="45">
        <v>233493.08000000002</v>
      </c>
      <c r="C57" s="45">
        <v>288395.15508919198</v>
      </c>
      <c r="D57" s="45">
        <v>29885.557360000003</v>
      </c>
      <c r="E57" s="45">
        <v>40094.647627896462</v>
      </c>
      <c r="F57" s="45">
        <v>44157.583760000001</v>
      </c>
      <c r="G57" s="45">
        <v>37827.560636426228</v>
      </c>
      <c r="H57" s="46">
        <v>0.24721505893468132</v>
      </c>
      <c r="I57" s="46">
        <v>-0.1433507584558511</v>
      </c>
      <c r="J57" s="46">
        <v>0.19113567182246927</v>
      </c>
    </row>
    <row r="58" spans="1:10" ht="11.25" customHeight="1" x14ac:dyDescent="0.2">
      <c r="A58" s="55">
        <v>44531</v>
      </c>
      <c r="B58" s="45">
        <v>227581.38</v>
      </c>
      <c r="C58" s="45">
        <v>281093.41561862273</v>
      </c>
      <c r="D58" s="45">
        <v>32100.172110000003</v>
      </c>
      <c r="E58" s="45">
        <v>43065.78840212334</v>
      </c>
      <c r="F58" s="45">
        <v>47429.801010000003</v>
      </c>
      <c r="G58" s="45">
        <v>40630.703061806409</v>
      </c>
      <c r="H58" s="46">
        <v>0.24829508059715222</v>
      </c>
      <c r="I58" s="46">
        <v>-0.1433507584558511</v>
      </c>
      <c r="J58" s="46">
        <v>0.18780990470259562</v>
      </c>
    </row>
    <row r="59" spans="1:10" ht="11.25" customHeight="1" x14ac:dyDescent="0.2">
      <c r="A59" s="55">
        <v>44562</v>
      </c>
      <c r="B59" s="45">
        <v>236048.46</v>
      </c>
      <c r="C59" s="45">
        <v>291551.39086034126</v>
      </c>
      <c r="D59" s="45">
        <v>32718.450839999998</v>
      </c>
      <c r="E59" s="45">
        <v>43895.274950309744</v>
      </c>
      <c r="F59" s="45">
        <v>48343.342439999993</v>
      </c>
      <c r="G59" s="45">
        <v>41413.287634935063</v>
      </c>
      <c r="H59" s="46">
        <v>0.24809510501962895</v>
      </c>
      <c r="I59" s="46">
        <v>-0.14335075845585099</v>
      </c>
      <c r="J59" s="46">
        <v>0.18841932592078225</v>
      </c>
    </row>
    <row r="60" spans="1:10" ht="11.25" customHeight="1" x14ac:dyDescent="0.2">
      <c r="A60" s="55">
        <v>44593</v>
      </c>
      <c r="B60" s="45">
        <v>234789.84</v>
      </c>
      <c r="C60" s="45">
        <v>289996.82697305875</v>
      </c>
      <c r="D60" s="45">
        <v>30635.76094</v>
      </c>
      <c r="E60" s="45">
        <v>41101.125366523003</v>
      </c>
      <c r="F60" s="45">
        <v>45266.05154</v>
      </c>
      <c r="G60" s="45">
        <v>38777.128719439352</v>
      </c>
      <c r="H60" s="46">
        <v>0.24742282269307969</v>
      </c>
      <c r="I60" s="46">
        <v>-0.1433507584558511</v>
      </c>
      <c r="J60" s="46">
        <v>0.19048927805625815</v>
      </c>
    </row>
    <row r="61" spans="1:10" ht="11.25" customHeight="1" x14ac:dyDescent="0.2">
      <c r="A61" s="55">
        <v>44621</v>
      </c>
      <c r="B61" s="45">
        <v>235552.64000000001</v>
      </c>
      <c r="C61" s="45">
        <v>290938.98690474511</v>
      </c>
      <c r="D61" s="45">
        <v>33873.133289999998</v>
      </c>
      <c r="E61" s="45">
        <v>45444.404029522811</v>
      </c>
      <c r="F61" s="45">
        <v>50049.450389999998</v>
      </c>
      <c r="G61" s="45">
        <v>42874.823716295003</v>
      </c>
      <c r="H61" s="46">
        <v>0.24851971964908159</v>
      </c>
      <c r="I61" s="46">
        <v>-0.14335075845585121</v>
      </c>
      <c r="J61" s="46">
        <v>0.18712872404291359</v>
      </c>
    </row>
    <row r="62" spans="1:10" ht="11.25" customHeight="1" x14ac:dyDescent="0.2">
      <c r="A62" s="55">
        <v>44652</v>
      </c>
      <c r="B62" s="45">
        <v>235285.66</v>
      </c>
      <c r="C62" s="45">
        <v>290609.2309286549</v>
      </c>
      <c r="D62" s="45">
        <v>27034.167200000004</v>
      </c>
      <c r="E62" s="45">
        <v>36269.205045792609</v>
      </c>
      <c r="F62" s="45">
        <v>39944.495200000005</v>
      </c>
      <c r="G62" s="45">
        <v>34218.421516943898</v>
      </c>
      <c r="H62" s="46">
        <v>0.2461064779721216</v>
      </c>
      <c r="I62" s="46">
        <v>-0.14335075845585121</v>
      </c>
      <c r="J62" s="46">
        <v>0.19463936274138116</v>
      </c>
    </row>
    <row r="63" spans="1:10" ht="11.25" customHeight="1" x14ac:dyDescent="0.2">
      <c r="A63" s="55">
        <v>44682</v>
      </c>
      <c r="B63" s="45">
        <v>231166.54</v>
      </c>
      <c r="C63" s="45">
        <v>285521.56729754864</v>
      </c>
      <c r="D63" s="45">
        <v>32189.57273</v>
      </c>
      <c r="E63" s="45">
        <v>43185.728823961115</v>
      </c>
      <c r="F63" s="45">
        <v>47561.895429999997</v>
      </c>
      <c r="G63" s="45">
        <v>40743.861646511621</v>
      </c>
      <c r="H63" s="46">
        <v>0.24814758508571089</v>
      </c>
      <c r="I63" s="46">
        <v>-0.1433507584558511</v>
      </c>
      <c r="J63" s="46">
        <v>0.18825911678264684</v>
      </c>
    </row>
    <row r="64" spans="1:10" ht="11.25" customHeight="1" x14ac:dyDescent="0.2">
      <c r="A64" s="55">
        <v>44713</v>
      </c>
      <c r="B64" s="45">
        <v>226933</v>
      </c>
      <c r="C64" s="45">
        <v>280292.57967668935</v>
      </c>
      <c r="D64" s="45">
        <v>29248.50994</v>
      </c>
      <c r="E64" s="45">
        <v>39239.980889729908</v>
      </c>
      <c r="F64" s="45">
        <v>43216.310539999999</v>
      </c>
      <c r="G64" s="45">
        <v>37021.219646427402</v>
      </c>
      <c r="H64" s="46">
        <v>0.24728970736903166</v>
      </c>
      <c r="I64" s="46">
        <v>-0.14335075845585121</v>
      </c>
      <c r="J64" s="46">
        <v>0.19090305881723935</v>
      </c>
    </row>
    <row r="65" spans="1:10" ht="11.25" customHeight="1" x14ac:dyDescent="0.2">
      <c r="A65" s="55">
        <v>44743</v>
      </c>
      <c r="B65" s="45">
        <v>234789.84</v>
      </c>
      <c r="C65" s="45">
        <v>289996.82697305875</v>
      </c>
      <c r="D65" s="45">
        <v>31299.284</v>
      </c>
      <c r="E65" s="45">
        <v>41991.311986207431</v>
      </c>
      <c r="F65" s="45">
        <v>46246.443999999996</v>
      </c>
      <c r="G65" s="45">
        <v>39616.981176713954</v>
      </c>
      <c r="H65" s="46">
        <v>0.24765767938439365</v>
      </c>
      <c r="I65" s="46">
        <v>-0.1433507584558511</v>
      </c>
      <c r="J65" s="46">
        <v>0.18976241647886893</v>
      </c>
    </row>
    <row r="66" spans="1:10" ht="11.25" customHeight="1" x14ac:dyDescent="0.2">
      <c r="A66" s="55">
        <v>44774</v>
      </c>
      <c r="B66" s="45">
        <v>234789.84</v>
      </c>
      <c r="C66" s="45">
        <v>289996.82697305875</v>
      </c>
      <c r="D66" s="45">
        <v>31299.284</v>
      </c>
      <c r="E66" s="45">
        <v>41991.311986207431</v>
      </c>
      <c r="F66" s="45">
        <v>46246.443999999996</v>
      </c>
      <c r="G66" s="45">
        <v>39616.981176713954</v>
      </c>
      <c r="H66" s="46">
        <v>0.24765767938439365</v>
      </c>
      <c r="I66" s="46">
        <v>-0.1433507584558511</v>
      </c>
      <c r="J66" s="46">
        <v>0.18976241647886893</v>
      </c>
    </row>
    <row r="67" spans="1:10" ht="11.25" customHeight="1" x14ac:dyDescent="0.2">
      <c r="A67" s="50" t="s">
        <v>48</v>
      </c>
      <c r="B67" s="45">
        <v>240030.02099999995</v>
      </c>
      <c r="C67" s="45">
        <v>298976.21255003713</v>
      </c>
      <c r="D67" s="45">
        <v>170136.83474740002</v>
      </c>
      <c r="E67" s="45">
        <v>228256.62428009184</v>
      </c>
      <c r="F67" s="45">
        <v>251386.69627340004</v>
      </c>
      <c r="G67" s="45">
        <v>215350.22269689743</v>
      </c>
      <c r="H67" s="46">
        <v>0.28541063092339103</v>
      </c>
      <c r="I67" s="46">
        <v>-0.14335075845585121</v>
      </c>
      <c r="J67" s="46">
        <v>0.12248367083618739</v>
      </c>
    </row>
    <row r="68" spans="1:10" ht="11.25" customHeight="1" x14ac:dyDescent="0.2">
      <c r="A68" s="51" t="s">
        <v>49</v>
      </c>
      <c r="B68" s="45">
        <v>240030.02099999995</v>
      </c>
      <c r="C68" s="45">
        <v>298976.21255003713</v>
      </c>
      <c r="D68" s="45">
        <v>170136.83474740002</v>
      </c>
      <c r="E68" s="45">
        <v>228256.62428009184</v>
      </c>
      <c r="F68" s="45">
        <v>251386.69627340004</v>
      </c>
      <c r="G68" s="45">
        <v>215350.22269689743</v>
      </c>
      <c r="H68" s="46">
        <v>0.28541063092339103</v>
      </c>
      <c r="I68" s="46">
        <v>-0.14335075845585121</v>
      </c>
      <c r="J68" s="46">
        <v>0.12248367083618739</v>
      </c>
    </row>
    <row r="69" spans="1:10" ht="11.25" customHeight="1" x14ac:dyDescent="0.2">
      <c r="A69" s="52" t="s">
        <v>25</v>
      </c>
      <c r="B69" s="45">
        <v>240030.02099999995</v>
      </c>
      <c r="C69" s="45">
        <v>298976.21255003713</v>
      </c>
      <c r="D69" s="45">
        <v>170136.83474740002</v>
      </c>
      <c r="E69" s="45">
        <v>228256.62428009184</v>
      </c>
      <c r="F69" s="45">
        <v>251386.69627340004</v>
      </c>
      <c r="G69" s="45">
        <v>215350.22269689743</v>
      </c>
      <c r="H69" s="46">
        <v>0.28541063092339103</v>
      </c>
      <c r="I69" s="46">
        <v>-0.14335075845585121</v>
      </c>
      <c r="J69" s="46">
        <v>0.12248367083618739</v>
      </c>
    </row>
    <row r="70" spans="1:10" ht="11.25" customHeight="1" x14ac:dyDescent="0.2">
      <c r="A70" s="53" t="s">
        <v>25</v>
      </c>
      <c r="B70" s="45">
        <v>240030.02099999995</v>
      </c>
      <c r="C70" s="45">
        <v>298976.21255003713</v>
      </c>
      <c r="D70" s="45">
        <v>170136.83474740002</v>
      </c>
      <c r="E70" s="45">
        <v>228256.62428009184</v>
      </c>
      <c r="F70" s="45">
        <v>251386.69627340004</v>
      </c>
      <c r="G70" s="45">
        <v>215350.22269689743</v>
      </c>
      <c r="H70" s="46">
        <v>0.28541063092339103</v>
      </c>
      <c r="I70" s="46">
        <v>-0.14335075845585121</v>
      </c>
      <c r="J70" s="46">
        <v>0.12248367083618739</v>
      </c>
    </row>
    <row r="71" spans="1:10" ht="11.25" customHeight="1" x14ac:dyDescent="0.2">
      <c r="A71" s="54" t="s">
        <v>38</v>
      </c>
      <c r="B71" s="45">
        <v>69052.214999999982</v>
      </c>
      <c r="C71" s="45">
        <v>87795.774662199983</v>
      </c>
      <c r="D71" s="45">
        <v>150923.14001420003</v>
      </c>
      <c r="E71" s="45">
        <v>202479.41321195522</v>
      </c>
      <c r="F71" s="45">
        <v>222997.3868722</v>
      </c>
      <c r="G71" s="45">
        <v>191030.54233039726</v>
      </c>
      <c r="H71" s="46">
        <v>0.31958049507599218</v>
      </c>
      <c r="I71" s="46">
        <v>-0.14335075845585121</v>
      </c>
      <c r="J71" s="46">
        <v>8.6535772280053713E-2</v>
      </c>
    </row>
    <row r="72" spans="1:10" ht="11.25" customHeight="1" x14ac:dyDescent="0.2">
      <c r="A72" s="55">
        <v>44440</v>
      </c>
      <c r="B72" s="45">
        <v>6202.6624999999995</v>
      </c>
      <c r="C72" s="45">
        <v>7886.3155824281366</v>
      </c>
      <c r="D72" s="45">
        <v>12432.215236599997</v>
      </c>
      <c r="E72" s="45">
        <v>16679.136451803566</v>
      </c>
      <c r="F72" s="45">
        <v>18369.293870599995</v>
      </c>
      <c r="G72" s="45">
        <v>15736.041661951069</v>
      </c>
      <c r="H72" s="46">
        <v>0.31825131248292071</v>
      </c>
      <c r="I72" s="46">
        <v>-0.1433507584558511</v>
      </c>
      <c r="J72" s="46">
        <v>8.9106766771701373E-2</v>
      </c>
    </row>
    <row r="73" spans="1:10" ht="11.25" customHeight="1" x14ac:dyDescent="0.2">
      <c r="A73" s="55">
        <v>44470</v>
      </c>
      <c r="B73" s="45">
        <v>5490.2774999999992</v>
      </c>
      <c r="C73" s="45">
        <v>6980.56052543639</v>
      </c>
      <c r="D73" s="45">
        <v>12356.190255</v>
      </c>
      <c r="E73" s="45">
        <v>16577.140868738115</v>
      </c>
      <c r="F73" s="45">
        <v>18256.962704999998</v>
      </c>
      <c r="G73" s="45">
        <v>15639.813254138062</v>
      </c>
      <c r="H73" s="46">
        <v>0.32002039381571223</v>
      </c>
      <c r="I73" s="46">
        <v>-0.1433507584558511</v>
      </c>
      <c r="J73" s="46">
        <v>8.5700559445191837E-2</v>
      </c>
    </row>
    <row r="74" spans="1:10" ht="11.25" customHeight="1" x14ac:dyDescent="0.2">
      <c r="A74" s="55">
        <v>44501</v>
      </c>
      <c r="B74" s="45">
        <v>5490.2774999999992</v>
      </c>
      <c r="C74" s="45">
        <v>6980.56052543639</v>
      </c>
      <c r="D74" s="45">
        <v>12458.977393800002</v>
      </c>
      <c r="E74" s="45">
        <v>16715.040726559797</v>
      </c>
      <c r="F74" s="45">
        <v>18408.836455800003</v>
      </c>
      <c r="G74" s="45">
        <v>15769.915787571348</v>
      </c>
      <c r="H74" s="46">
        <v>0.32014400554203948</v>
      </c>
      <c r="I74" s="46">
        <v>-0.14335075845585121</v>
      </c>
      <c r="J74" s="46">
        <v>8.5467239192734024E-2</v>
      </c>
    </row>
    <row r="75" spans="1:10" ht="11.25" customHeight="1" x14ac:dyDescent="0.2">
      <c r="A75" s="55">
        <v>44531</v>
      </c>
      <c r="B75" s="45">
        <v>5490.2774999999992</v>
      </c>
      <c r="C75" s="45">
        <v>6980.56052543639</v>
      </c>
      <c r="D75" s="45">
        <v>12388.8332684</v>
      </c>
      <c r="E75" s="45">
        <v>16620.934936354784</v>
      </c>
      <c r="F75" s="45">
        <v>18305.1945844</v>
      </c>
      <c r="G75" s="45">
        <v>15681.13105704432</v>
      </c>
      <c r="H75" s="46">
        <v>0.3200598042887608</v>
      </c>
      <c r="I75" s="46">
        <v>-0.14335075845585121</v>
      </c>
      <c r="J75" s="46">
        <v>8.5626106009956571E-2</v>
      </c>
    </row>
    <row r="76" spans="1:10" ht="11.25" customHeight="1" x14ac:dyDescent="0.2">
      <c r="A76" s="55">
        <v>44562</v>
      </c>
      <c r="B76" s="45">
        <v>5490.2774999999992</v>
      </c>
      <c r="C76" s="45">
        <v>6980.56052543639</v>
      </c>
      <c r="D76" s="45">
        <v>12856.744870400002</v>
      </c>
      <c r="E76" s="45">
        <v>17248.688020468406</v>
      </c>
      <c r="F76" s="45">
        <v>18996.560166400002</v>
      </c>
      <c r="G76" s="45">
        <v>16273.388858494351</v>
      </c>
      <c r="H76" s="46">
        <v>0.32060930960627321</v>
      </c>
      <c r="I76" s="46">
        <v>-0.14335075845585121</v>
      </c>
      <c r="J76" s="46">
        <v>8.4594317229367721E-2</v>
      </c>
    </row>
    <row r="77" spans="1:10" ht="11.25" customHeight="1" x14ac:dyDescent="0.2">
      <c r="A77" s="55">
        <v>44593</v>
      </c>
      <c r="B77" s="45">
        <v>5490.2774999999992</v>
      </c>
      <c r="C77" s="45">
        <v>6980.56052543639</v>
      </c>
      <c r="D77" s="45">
        <v>12627.7323978</v>
      </c>
      <c r="E77" s="45">
        <v>16941.443478207333</v>
      </c>
      <c r="F77" s="45">
        <v>18658.181419799999</v>
      </c>
      <c r="G77" s="45">
        <v>15983.516961864801</v>
      </c>
      <c r="H77" s="46">
        <v>0.32034390855192552</v>
      </c>
      <c r="I77" s="46">
        <v>-0.1433507584558511</v>
      </c>
      <c r="J77" s="46">
        <v>8.5091183610710885E-2</v>
      </c>
    </row>
    <row r="78" spans="1:10" ht="11.25" customHeight="1" x14ac:dyDescent="0.2">
      <c r="A78" s="55">
        <v>44621</v>
      </c>
      <c r="B78" s="45">
        <v>5490.2774999999992</v>
      </c>
      <c r="C78" s="45">
        <v>6980.56052543639</v>
      </c>
      <c r="D78" s="45">
        <v>13657.308381800001</v>
      </c>
      <c r="E78" s="45">
        <v>18322.728952905425</v>
      </c>
      <c r="F78" s="45">
        <v>20179.437563800002</v>
      </c>
      <c r="G78" s="45">
        <v>17286.699883816778</v>
      </c>
      <c r="H78" s="46">
        <v>0.32148719084179067</v>
      </c>
      <c r="I78" s="46">
        <v>-0.14335075845585121</v>
      </c>
      <c r="J78" s="46">
        <v>8.297007072178153E-2</v>
      </c>
    </row>
    <row r="79" spans="1:10" ht="11.25" customHeight="1" x14ac:dyDescent="0.2">
      <c r="A79" s="55">
        <v>44652</v>
      </c>
      <c r="B79" s="45">
        <v>5490.2774999999992</v>
      </c>
      <c r="C79" s="45">
        <v>6980.56052543639</v>
      </c>
      <c r="D79" s="45">
        <v>11683.0452946</v>
      </c>
      <c r="E79" s="45">
        <v>15674.045448277391</v>
      </c>
      <c r="F79" s="45">
        <v>17262.353348600001</v>
      </c>
      <c r="G79" s="45">
        <v>14787.781903345289</v>
      </c>
      <c r="H79" s="46">
        <v>0.31917429402988451</v>
      </c>
      <c r="I79" s="46">
        <v>-0.14335075845585121</v>
      </c>
      <c r="J79" s="46">
        <v>8.7313857911653026E-2</v>
      </c>
    </row>
    <row r="80" spans="1:10" ht="11.25" customHeight="1" x14ac:dyDescent="0.2">
      <c r="A80" s="55">
        <v>44682</v>
      </c>
      <c r="B80" s="45">
        <v>6104.4024999999992</v>
      </c>
      <c r="C80" s="45">
        <v>7761.3838504292744</v>
      </c>
      <c r="D80" s="45">
        <v>11118.738788800001</v>
      </c>
      <c r="E80" s="45">
        <v>14916.968368146918</v>
      </c>
      <c r="F80" s="45">
        <v>16428.558900799999</v>
      </c>
      <c r="G80" s="45">
        <v>14073.512522033696</v>
      </c>
      <c r="H80" s="46">
        <v>0.31673728028484827</v>
      </c>
      <c r="I80" s="46">
        <v>-0.1433507584558511</v>
      </c>
      <c r="J80" s="46">
        <v>9.2125049657015179E-2</v>
      </c>
    </row>
    <row r="81" spans="1:10" ht="11.25" customHeight="1" x14ac:dyDescent="0.2">
      <c r="A81" s="55">
        <v>44713</v>
      </c>
      <c r="B81" s="45">
        <v>6104.4024999999992</v>
      </c>
      <c r="C81" s="45">
        <v>7761.3838504292744</v>
      </c>
      <c r="D81" s="45">
        <v>11640.941773400002</v>
      </c>
      <c r="E81" s="45">
        <v>15617.559105189572</v>
      </c>
      <c r="F81" s="45">
        <v>17200.143039400002</v>
      </c>
      <c r="G81" s="45">
        <v>14734.489489152882</v>
      </c>
      <c r="H81" s="46">
        <v>0.31746911163980762</v>
      </c>
      <c r="I81" s="46">
        <v>-0.14335075845585121</v>
      </c>
      <c r="J81" s="46">
        <v>9.0653912009158288E-2</v>
      </c>
    </row>
    <row r="82" spans="1:10" ht="11.25" customHeight="1" x14ac:dyDescent="0.2">
      <c r="A82" s="55">
        <v>44743</v>
      </c>
      <c r="B82" s="45">
        <v>6104.4024999999992</v>
      </c>
      <c r="C82" s="45">
        <v>7761.3838504292744</v>
      </c>
      <c r="D82" s="45">
        <v>13851.2061768</v>
      </c>
      <c r="E82" s="45">
        <v>18582.863427651962</v>
      </c>
      <c r="F82" s="45">
        <v>20465.932408799999</v>
      </c>
      <c r="G82" s="45">
        <v>17532.125475492336</v>
      </c>
      <c r="H82" s="46">
        <v>0.32014250754017581</v>
      </c>
      <c r="I82" s="46">
        <v>-0.1433507584558511</v>
      </c>
      <c r="J82" s="46">
        <v>8.5470063119497119E-2</v>
      </c>
    </row>
    <row r="83" spans="1:10" ht="11.25" customHeight="1" x14ac:dyDescent="0.2">
      <c r="A83" s="55">
        <v>44774</v>
      </c>
      <c r="B83" s="45">
        <v>6104.4024999999992</v>
      </c>
      <c r="C83" s="45">
        <v>7761.3838504292744</v>
      </c>
      <c r="D83" s="45">
        <v>13851.2061768</v>
      </c>
      <c r="E83" s="45">
        <v>18582.863427651962</v>
      </c>
      <c r="F83" s="45">
        <v>20465.932408799999</v>
      </c>
      <c r="G83" s="45">
        <v>17532.125475492336</v>
      </c>
      <c r="H83" s="46">
        <v>0.32014250754017581</v>
      </c>
      <c r="I83" s="46">
        <v>-0.1433507584558511</v>
      </c>
      <c r="J83" s="46">
        <v>8.5470063119497119E-2</v>
      </c>
    </row>
    <row r="84" spans="1:10" ht="11.25" customHeight="1" x14ac:dyDescent="0.2">
      <c r="A84" s="54" t="s">
        <v>37</v>
      </c>
      <c r="B84" s="45">
        <v>170977.80599999998</v>
      </c>
      <c r="C84" s="45">
        <v>211180.43788783715</v>
      </c>
      <c r="D84" s="45">
        <v>19213.694733200002</v>
      </c>
      <c r="E84" s="45">
        <v>25777.211068136628</v>
      </c>
      <c r="F84" s="45">
        <v>28389.3094012</v>
      </c>
      <c r="G84" s="45">
        <v>24319.680366500153</v>
      </c>
      <c r="H84" s="46">
        <v>0.24588979025081237</v>
      </c>
      <c r="I84" s="46">
        <v>-0.14335075845585121</v>
      </c>
      <c r="J84" s="46">
        <v>0.19533516762894632</v>
      </c>
    </row>
    <row r="85" spans="1:10" ht="11.25" customHeight="1" x14ac:dyDescent="0.2">
      <c r="A85" s="55">
        <v>44440</v>
      </c>
      <c r="B85" s="45">
        <v>16436.433000000001</v>
      </c>
      <c r="C85" s="45">
        <v>20301.191128011644</v>
      </c>
      <c r="D85" s="45">
        <v>1566.949873</v>
      </c>
      <c r="E85" s="45">
        <v>2102.2295904242128</v>
      </c>
      <c r="F85" s="45">
        <v>2315.2561430000001</v>
      </c>
      <c r="G85" s="45">
        <v>1983.3624188813815</v>
      </c>
      <c r="H85" s="46">
        <v>0.2444006149552409</v>
      </c>
      <c r="I85" s="46">
        <v>-0.1433507584558511</v>
      </c>
      <c r="J85" s="46">
        <v>0.20021735304779797</v>
      </c>
    </row>
    <row r="86" spans="1:10" ht="11.25" customHeight="1" x14ac:dyDescent="0.2">
      <c r="A86" s="55">
        <v>44470</v>
      </c>
      <c r="B86" s="45">
        <v>13064.857</v>
      </c>
      <c r="C86" s="45">
        <v>16136.844229957975</v>
      </c>
      <c r="D86" s="45">
        <v>1665.2198324000001</v>
      </c>
      <c r="E86" s="45">
        <v>2234.0691725704796</v>
      </c>
      <c r="F86" s="45">
        <v>2460.4555083999999</v>
      </c>
      <c r="G86" s="45">
        <v>2107.747345123983</v>
      </c>
      <c r="H86" s="46">
        <v>0.24717023621493528</v>
      </c>
      <c r="I86" s="46">
        <v>-0.14335075845585121</v>
      </c>
      <c r="J86" s="46">
        <v>0.19127554293641014</v>
      </c>
    </row>
    <row r="87" spans="1:10" ht="11.25" customHeight="1" x14ac:dyDescent="0.2">
      <c r="A87" s="55">
        <v>44501</v>
      </c>
      <c r="B87" s="45">
        <v>13000.018999999998</v>
      </c>
      <c r="C87" s="45">
        <v>16056.760635764633</v>
      </c>
      <c r="D87" s="45">
        <v>1536.1819152</v>
      </c>
      <c r="E87" s="45">
        <v>2060.9511089369598</v>
      </c>
      <c r="F87" s="45">
        <v>2269.7947632</v>
      </c>
      <c r="G87" s="45">
        <v>1944.4179623561611</v>
      </c>
      <c r="H87" s="46">
        <v>0.24638561687438787</v>
      </c>
      <c r="I87" s="46">
        <v>-0.1433507584558511</v>
      </c>
      <c r="J87" s="46">
        <v>0.19374835570395388</v>
      </c>
    </row>
    <row r="88" spans="1:10" ht="11.25" customHeight="1" x14ac:dyDescent="0.2">
      <c r="A88" s="55">
        <v>44531</v>
      </c>
      <c r="B88" s="45">
        <v>12513.733999999999</v>
      </c>
      <c r="C88" s="45">
        <v>15456.133679314584</v>
      </c>
      <c r="D88" s="45">
        <v>1827.7530610000001</v>
      </c>
      <c r="E88" s="45">
        <v>2452.1247520613133</v>
      </c>
      <c r="F88" s="45">
        <v>2700.6074509999999</v>
      </c>
      <c r="G88" s="45">
        <v>2313.4733246076271</v>
      </c>
      <c r="H88" s="46">
        <v>0.24870303582920061</v>
      </c>
      <c r="I88" s="46">
        <v>-0.1433507584558511</v>
      </c>
      <c r="J88" s="46">
        <v>0.18657549644174454</v>
      </c>
    </row>
    <row r="89" spans="1:10" ht="11.25" customHeight="1" x14ac:dyDescent="0.2">
      <c r="A89" s="55">
        <v>44562</v>
      </c>
      <c r="B89" s="45">
        <v>12546.153</v>
      </c>
      <c r="C89" s="45">
        <v>15496.175476411254</v>
      </c>
      <c r="D89" s="45">
        <v>1590.7289872000001</v>
      </c>
      <c r="E89" s="45">
        <v>2134.1317963381839</v>
      </c>
      <c r="F89" s="45">
        <v>2350.3911152000001</v>
      </c>
      <c r="G89" s="45">
        <v>2013.4607661681864</v>
      </c>
      <c r="H89" s="46">
        <v>0.24711427093417759</v>
      </c>
      <c r="I89" s="46">
        <v>-0.1433507584558511</v>
      </c>
      <c r="J89" s="46">
        <v>0.19145039430796706</v>
      </c>
    </row>
    <row r="90" spans="1:10" ht="11.25" customHeight="1" x14ac:dyDescent="0.2">
      <c r="A90" s="55">
        <v>44593</v>
      </c>
      <c r="B90" s="45">
        <v>13129.695</v>
      </c>
      <c r="C90" s="45">
        <v>16216.927824151313</v>
      </c>
      <c r="D90" s="45">
        <v>1533.710251</v>
      </c>
      <c r="E90" s="45">
        <v>2057.6351090390917</v>
      </c>
      <c r="F90" s="45">
        <v>2266.1427409999997</v>
      </c>
      <c r="G90" s="45">
        <v>1941.2894603084285</v>
      </c>
      <c r="H90" s="46">
        <v>0.24627005940138869</v>
      </c>
      <c r="I90" s="46">
        <v>-0.1433507584558511</v>
      </c>
      <c r="J90" s="46">
        <v>0.19411648811012361</v>
      </c>
    </row>
    <row r="91" spans="1:10" ht="11.25" customHeight="1" x14ac:dyDescent="0.2">
      <c r="A91" s="55">
        <v>44621</v>
      </c>
      <c r="B91" s="45">
        <v>13453.885</v>
      </c>
      <c r="C91" s="45">
        <v>16617.345795118013</v>
      </c>
      <c r="D91" s="45">
        <v>1804.4000957999999</v>
      </c>
      <c r="E91" s="45">
        <v>2420.7942702676642</v>
      </c>
      <c r="F91" s="45">
        <v>2666.1021378</v>
      </c>
      <c r="G91" s="45">
        <v>2283.9143742256038</v>
      </c>
      <c r="H91" s="46">
        <v>0.24772475713054543</v>
      </c>
      <c r="I91" s="46">
        <v>-0.14335075845585121</v>
      </c>
      <c r="J91" s="46">
        <v>0.18955555700348947</v>
      </c>
    </row>
    <row r="92" spans="1:10" ht="11.25" customHeight="1" x14ac:dyDescent="0.2">
      <c r="A92" s="55">
        <v>44652</v>
      </c>
      <c r="B92" s="45">
        <v>12384.057999999999</v>
      </c>
      <c r="C92" s="45">
        <v>15295.966490927905</v>
      </c>
      <c r="D92" s="45">
        <v>1478.1404214000002</v>
      </c>
      <c r="E92" s="45">
        <v>1983.0822837490957</v>
      </c>
      <c r="F92" s="45">
        <v>2184.0352074000002</v>
      </c>
      <c r="G92" s="45">
        <v>1870.952103924928</v>
      </c>
      <c r="H92" s="46">
        <v>0.24648690268364537</v>
      </c>
      <c r="I92" s="46">
        <v>-0.14335075845585121</v>
      </c>
      <c r="J92" s="46">
        <v>0.19342652747067368</v>
      </c>
    </row>
    <row r="93" spans="1:10" ht="11.25" customHeight="1" x14ac:dyDescent="0.2">
      <c r="A93" s="55">
        <v>44682</v>
      </c>
      <c r="B93" s="45">
        <v>16112.243</v>
      </c>
      <c r="C93" s="45">
        <v>19900.773157044943</v>
      </c>
      <c r="D93" s="45">
        <v>1349.8695723999999</v>
      </c>
      <c r="E93" s="45">
        <v>1810.9933235321555</v>
      </c>
      <c r="F93" s="45">
        <v>1994.5078484000001</v>
      </c>
      <c r="G93" s="45">
        <v>1708.5936355857123</v>
      </c>
      <c r="H93" s="46">
        <v>0.24336424877330987</v>
      </c>
      <c r="I93" s="46">
        <v>-0.1433507584558511</v>
      </c>
      <c r="J93" s="46">
        <v>0.20372190080479724</v>
      </c>
    </row>
    <row r="94" spans="1:10" ht="11.25" customHeight="1" x14ac:dyDescent="0.2">
      <c r="A94" s="55">
        <v>44713</v>
      </c>
      <c r="B94" s="45">
        <v>16112.243</v>
      </c>
      <c r="C94" s="45">
        <v>19900.773157044943</v>
      </c>
      <c r="D94" s="45">
        <v>1346.2046910000001</v>
      </c>
      <c r="E94" s="45">
        <v>1806.0764960973859</v>
      </c>
      <c r="F94" s="45">
        <v>1989.0927810000001</v>
      </c>
      <c r="G94" s="45">
        <v>1703.9548222045919</v>
      </c>
      <c r="H94" s="46">
        <v>0.24334362581000946</v>
      </c>
      <c r="I94" s="46">
        <v>-0.1433507584558511</v>
      </c>
      <c r="J94" s="46">
        <v>0.20379255716439371</v>
      </c>
    </row>
    <row r="95" spans="1:10" ht="11.25" customHeight="1" x14ac:dyDescent="0.2">
      <c r="A95" s="55">
        <v>44743</v>
      </c>
      <c r="B95" s="45">
        <v>16112.243</v>
      </c>
      <c r="C95" s="45">
        <v>19900.773157044943</v>
      </c>
      <c r="D95" s="45">
        <v>1757.2680164000001</v>
      </c>
      <c r="E95" s="45">
        <v>2357.5615825600444</v>
      </c>
      <c r="F95" s="45">
        <v>2596.4618523999998</v>
      </c>
      <c r="G95" s="45">
        <v>2224.2570765567757</v>
      </c>
      <c r="H95" s="46">
        <v>0.24560401900069229</v>
      </c>
      <c r="I95" s="46">
        <v>-0.1433507584558511</v>
      </c>
      <c r="J95" s="46">
        <v>0.19625839304639281</v>
      </c>
    </row>
    <row r="96" spans="1:10" ht="11.25" customHeight="1" x14ac:dyDescent="0.2">
      <c r="A96" s="55">
        <v>44774</v>
      </c>
      <c r="B96" s="45">
        <v>16112.243</v>
      </c>
      <c r="C96" s="45">
        <v>19900.773157044943</v>
      </c>
      <c r="D96" s="45">
        <v>1757.2680164000001</v>
      </c>
      <c r="E96" s="45">
        <v>2357.5615825600444</v>
      </c>
      <c r="F96" s="45">
        <v>2596.4618523999998</v>
      </c>
      <c r="G96" s="45">
        <v>2224.2570765567757</v>
      </c>
      <c r="H96" s="46">
        <v>0.24560401900069229</v>
      </c>
      <c r="I96" s="46">
        <v>-0.1433507584558511</v>
      </c>
      <c r="J96" s="46">
        <v>0.19625839304639281</v>
      </c>
    </row>
    <row r="97" spans="1:10" ht="11.25" customHeight="1" x14ac:dyDescent="0.2">
      <c r="A97" s="49" t="s">
        <v>40</v>
      </c>
      <c r="B97" s="45">
        <v>9123325.3999999985</v>
      </c>
      <c r="C97" s="45">
        <v>11599764.337586068</v>
      </c>
      <c r="D97" s="45">
        <v>25272233.186889995</v>
      </c>
      <c r="E97" s="45">
        <v>32884476.447045237</v>
      </c>
      <c r="F97" s="45">
        <v>23173705.647160005</v>
      </c>
      <c r="G97" s="45">
        <v>19851737.366406973</v>
      </c>
      <c r="H97" s="46">
        <v>0.29331351523933824</v>
      </c>
      <c r="I97" s="46">
        <v>-0.14335075845585132</v>
      </c>
      <c r="J97" s="46">
        <v>0.11754039255179527</v>
      </c>
    </row>
    <row r="98" spans="1:10" ht="11.25" customHeight="1" x14ac:dyDescent="0.2">
      <c r="A98" s="50" t="s">
        <v>41</v>
      </c>
      <c r="B98" s="45">
        <v>294057.49999999994</v>
      </c>
      <c r="C98" s="45">
        <v>373876.58032012254</v>
      </c>
      <c r="D98" s="45">
        <v>927590.69358000008</v>
      </c>
      <c r="E98" s="45">
        <v>1200121.0723073694</v>
      </c>
      <c r="F98" s="45">
        <v>755243.41578999988</v>
      </c>
      <c r="G98" s="45">
        <v>646978.69931771583</v>
      </c>
      <c r="H98" s="46">
        <v>0.28842138096643311</v>
      </c>
      <c r="I98" s="46">
        <v>-0.14335075845585088</v>
      </c>
      <c r="J98" s="46">
        <v>0.12346895571730077</v>
      </c>
    </row>
    <row r="99" spans="1:10" ht="11.25" customHeight="1" x14ac:dyDescent="0.2">
      <c r="A99" s="51" t="s">
        <v>25</v>
      </c>
      <c r="B99" s="45">
        <v>294057.49999999994</v>
      </c>
      <c r="C99" s="45">
        <v>373876.58032012254</v>
      </c>
      <c r="D99" s="45">
        <v>927590.69358000008</v>
      </c>
      <c r="E99" s="45">
        <v>1200121.0723073694</v>
      </c>
      <c r="F99" s="45">
        <v>755243.41578999988</v>
      </c>
      <c r="G99" s="45">
        <v>646978.69931771583</v>
      </c>
      <c r="H99" s="46">
        <v>0.28842138096643311</v>
      </c>
      <c r="I99" s="46">
        <v>-0.14335075845585088</v>
      </c>
      <c r="J99" s="46">
        <v>0.12346895571730077</v>
      </c>
    </row>
    <row r="100" spans="1:10" ht="11.25" customHeight="1" x14ac:dyDescent="0.2">
      <c r="A100" s="52" t="s">
        <v>25</v>
      </c>
      <c r="B100" s="45">
        <v>294057.49999999994</v>
      </c>
      <c r="C100" s="45">
        <v>373876.58032012254</v>
      </c>
      <c r="D100" s="45">
        <v>927590.69358000008</v>
      </c>
      <c r="E100" s="45">
        <v>1200121.0723073694</v>
      </c>
      <c r="F100" s="45">
        <v>755243.41578999988</v>
      </c>
      <c r="G100" s="45">
        <v>646978.69931771583</v>
      </c>
      <c r="H100" s="46">
        <v>0.28842138096643311</v>
      </c>
      <c r="I100" s="46">
        <v>-0.14335075845585088</v>
      </c>
      <c r="J100" s="46">
        <v>0.12346895571730077</v>
      </c>
    </row>
    <row r="101" spans="1:10" ht="11.25" customHeight="1" x14ac:dyDescent="0.2">
      <c r="A101" s="53" t="s">
        <v>25</v>
      </c>
      <c r="B101" s="45">
        <v>294057.49999999994</v>
      </c>
      <c r="C101" s="45">
        <v>373876.58032012254</v>
      </c>
      <c r="D101" s="45">
        <v>927590.69358000008</v>
      </c>
      <c r="E101" s="45">
        <v>1200121.0723073694</v>
      </c>
      <c r="F101" s="45">
        <v>755243.41578999988</v>
      </c>
      <c r="G101" s="45">
        <v>646978.69931771583</v>
      </c>
      <c r="H101" s="46">
        <v>0.28842138096643311</v>
      </c>
      <c r="I101" s="46">
        <v>-0.14335075845585088</v>
      </c>
      <c r="J101" s="46">
        <v>0.12346895571730077</v>
      </c>
    </row>
    <row r="102" spans="1:10" ht="11.25" customHeight="1" x14ac:dyDescent="0.2">
      <c r="A102" s="54" t="s">
        <v>38</v>
      </c>
      <c r="B102" s="45">
        <v>0</v>
      </c>
      <c r="C102" s="45">
        <v>0</v>
      </c>
      <c r="D102" s="45">
        <v>469978.87800000008</v>
      </c>
      <c r="E102" s="45">
        <v>630526.55431433255</v>
      </c>
      <c r="F102" s="45">
        <v>694420.09799999988</v>
      </c>
      <c r="G102" s="45">
        <v>594874.45026471349</v>
      </c>
      <c r="H102" s="46">
        <v>0.34160615259465432</v>
      </c>
      <c r="I102" s="46">
        <v>-0.14335075845585099</v>
      </c>
      <c r="J102" s="46">
        <v>5.2389283945098564E-2</v>
      </c>
    </row>
    <row r="103" spans="1:10" ht="11.25" customHeight="1" x14ac:dyDescent="0.2">
      <c r="A103" s="55">
        <v>44440</v>
      </c>
      <c r="B103" s="45">
        <v>0</v>
      </c>
      <c r="C103" s="45">
        <v>0</v>
      </c>
      <c r="D103" s="45">
        <v>36526.318829999997</v>
      </c>
      <c r="E103" s="45">
        <v>49003.934073961987</v>
      </c>
      <c r="F103" s="45">
        <v>53969.680529999998</v>
      </c>
      <c r="G103" s="45">
        <v>46233.085892404517</v>
      </c>
      <c r="H103" s="46">
        <v>0.34160615259465477</v>
      </c>
      <c r="I103" s="46">
        <v>-0.1433507584558511</v>
      </c>
      <c r="J103" s="46">
        <v>5.2389283945098786E-2</v>
      </c>
    </row>
    <row r="104" spans="1:10" ht="11.25" customHeight="1" x14ac:dyDescent="0.2">
      <c r="A104" s="55">
        <v>44470</v>
      </c>
      <c r="B104" s="45">
        <v>0</v>
      </c>
      <c r="C104" s="45">
        <v>0</v>
      </c>
      <c r="D104" s="45">
        <v>37549.620450000002</v>
      </c>
      <c r="E104" s="45">
        <v>50376.801823314061</v>
      </c>
      <c r="F104" s="45">
        <v>55481.665949999995</v>
      </c>
      <c r="G104" s="45">
        <v>47528.327055673326</v>
      </c>
      <c r="H104" s="46">
        <v>0.34160615259465454</v>
      </c>
      <c r="I104" s="46">
        <v>-0.1433507584558511</v>
      </c>
      <c r="J104" s="46">
        <v>5.2389283945098786E-2</v>
      </c>
    </row>
    <row r="105" spans="1:10" ht="11.25" customHeight="1" x14ac:dyDescent="0.2">
      <c r="A105" s="55">
        <v>44501</v>
      </c>
      <c r="B105" s="45">
        <v>0</v>
      </c>
      <c r="C105" s="45">
        <v>0</v>
      </c>
      <c r="D105" s="45">
        <v>40226.924210000005</v>
      </c>
      <c r="E105" s="45">
        <v>53968.689020094869</v>
      </c>
      <c r="F105" s="45">
        <v>59437.53211</v>
      </c>
      <c r="G105" s="45">
        <v>50917.116801287499</v>
      </c>
      <c r="H105" s="46">
        <v>0.34160615259465454</v>
      </c>
      <c r="I105" s="46">
        <v>-0.1433507584558511</v>
      </c>
      <c r="J105" s="46">
        <v>5.2389283945098786E-2</v>
      </c>
    </row>
    <row r="106" spans="1:10" ht="11.25" customHeight="1" x14ac:dyDescent="0.2">
      <c r="A106" s="55">
        <v>44531</v>
      </c>
      <c r="B106" s="45">
        <v>0</v>
      </c>
      <c r="C106" s="45">
        <v>0</v>
      </c>
      <c r="D106" s="45">
        <v>43023.277679999999</v>
      </c>
      <c r="E106" s="45">
        <v>57720.294040276283</v>
      </c>
      <c r="F106" s="45">
        <v>63569.300880000003</v>
      </c>
      <c r="G106" s="45">
        <v>54456.593384343796</v>
      </c>
      <c r="H106" s="46">
        <v>0.34160615259465477</v>
      </c>
      <c r="I106" s="46">
        <v>-0.1433507584558511</v>
      </c>
      <c r="J106" s="46">
        <v>5.2389283945098786E-2</v>
      </c>
    </row>
    <row r="107" spans="1:10" ht="11.25" customHeight="1" x14ac:dyDescent="0.2">
      <c r="A107" s="55">
        <v>44562</v>
      </c>
      <c r="B107" s="45">
        <v>0</v>
      </c>
      <c r="C107" s="45">
        <v>0</v>
      </c>
      <c r="D107" s="45">
        <v>44898.423950000004</v>
      </c>
      <c r="E107" s="45">
        <v>60236.001813123192</v>
      </c>
      <c r="F107" s="45">
        <v>66339.934450000001</v>
      </c>
      <c r="G107" s="45">
        <v>56830.054530681053</v>
      </c>
      <c r="H107" s="46">
        <v>0.34160615259465432</v>
      </c>
      <c r="I107" s="46">
        <v>-0.1433507584558511</v>
      </c>
      <c r="J107" s="46">
        <v>5.2389283945098564E-2</v>
      </c>
    </row>
    <row r="108" spans="1:10" ht="11.25" customHeight="1" x14ac:dyDescent="0.2">
      <c r="A108" s="55">
        <v>44593</v>
      </c>
      <c r="B108" s="45">
        <v>0</v>
      </c>
      <c r="C108" s="45">
        <v>0</v>
      </c>
      <c r="D108" s="45">
        <v>40558.957750000001</v>
      </c>
      <c r="E108" s="45">
        <v>54414.147260226644</v>
      </c>
      <c r="F108" s="45">
        <v>59928.130249999995</v>
      </c>
      <c r="G108" s="45">
        <v>51337.387325821466</v>
      </c>
      <c r="H108" s="46">
        <v>0.34160615259465454</v>
      </c>
      <c r="I108" s="46">
        <v>-0.14335075845585099</v>
      </c>
      <c r="J108" s="46">
        <v>5.2389283945098564E-2</v>
      </c>
    </row>
    <row r="109" spans="1:10" ht="11.25" customHeight="1" x14ac:dyDescent="0.2">
      <c r="A109" s="55">
        <v>44621</v>
      </c>
      <c r="B109" s="45">
        <v>0</v>
      </c>
      <c r="C109" s="45">
        <v>0</v>
      </c>
      <c r="D109" s="45">
        <v>41816.006630000003</v>
      </c>
      <c r="E109" s="45">
        <v>56100.611771746873</v>
      </c>
      <c r="F109" s="45">
        <v>61785.490330000001</v>
      </c>
      <c r="G109" s="45">
        <v>52928.493429627844</v>
      </c>
      <c r="H109" s="46">
        <v>0.34160615259465454</v>
      </c>
      <c r="I109" s="46">
        <v>-0.1433507584558511</v>
      </c>
      <c r="J109" s="46">
        <v>5.2389283945098564E-2</v>
      </c>
    </row>
    <row r="110" spans="1:10" ht="11.25" customHeight="1" x14ac:dyDescent="0.2">
      <c r="A110" s="55">
        <v>44652</v>
      </c>
      <c r="B110" s="45">
        <v>0</v>
      </c>
      <c r="C110" s="45">
        <v>0</v>
      </c>
      <c r="D110" s="45">
        <v>37637.93303</v>
      </c>
      <c r="E110" s="45">
        <v>50495.28252399357</v>
      </c>
      <c r="F110" s="45">
        <v>55612.152729999994</v>
      </c>
      <c r="G110" s="45">
        <v>47640.108456791866</v>
      </c>
      <c r="H110" s="46">
        <v>0.34160615259465454</v>
      </c>
      <c r="I110" s="46">
        <v>-0.1433507584558511</v>
      </c>
      <c r="J110" s="46">
        <v>5.2389283945098786E-2</v>
      </c>
    </row>
    <row r="111" spans="1:10" ht="11.25" customHeight="1" x14ac:dyDescent="0.2">
      <c r="A111" s="55">
        <v>44682</v>
      </c>
      <c r="B111" s="45">
        <v>0</v>
      </c>
      <c r="C111" s="45">
        <v>0</v>
      </c>
      <c r="D111" s="45">
        <v>36729.510300000002</v>
      </c>
      <c r="E111" s="45">
        <v>49276.537000268734</v>
      </c>
      <c r="F111" s="45">
        <v>54269.907299999999</v>
      </c>
      <c r="G111" s="45">
        <v>46490.274927216262</v>
      </c>
      <c r="H111" s="46">
        <v>0.34160615259465454</v>
      </c>
      <c r="I111" s="46">
        <v>-0.14335075845585121</v>
      </c>
      <c r="J111" s="46">
        <v>5.2389283945098342E-2</v>
      </c>
    </row>
    <row r="112" spans="1:10" ht="11.25" customHeight="1" x14ac:dyDescent="0.2">
      <c r="A112" s="55">
        <v>44713</v>
      </c>
      <c r="B112" s="45">
        <v>0</v>
      </c>
      <c r="C112" s="45">
        <v>0</v>
      </c>
      <c r="D112" s="45">
        <v>34629.50243</v>
      </c>
      <c r="E112" s="45">
        <v>46459.153521379536</v>
      </c>
      <c r="F112" s="45">
        <v>51167.028129999999</v>
      </c>
      <c r="G112" s="45">
        <v>43832.19583963263</v>
      </c>
      <c r="H112" s="46">
        <v>0.34160615259465432</v>
      </c>
      <c r="I112" s="46">
        <v>-0.1433507584558511</v>
      </c>
      <c r="J112" s="46">
        <v>5.2389283945098564E-2</v>
      </c>
    </row>
    <row r="113" spans="1:10" ht="11.25" customHeight="1" x14ac:dyDescent="0.2">
      <c r="A113" s="55">
        <v>44743</v>
      </c>
      <c r="B113" s="45">
        <v>0</v>
      </c>
      <c r="C113" s="45">
        <v>0</v>
      </c>
      <c r="D113" s="45">
        <v>38191.201370000002</v>
      </c>
      <c r="E113" s="45">
        <v>51237.550732973403</v>
      </c>
      <c r="F113" s="45">
        <v>56429.637670000004</v>
      </c>
      <c r="G113" s="45">
        <v>48340.406310616636</v>
      </c>
      <c r="H113" s="46">
        <v>0.34160615259465454</v>
      </c>
      <c r="I113" s="46">
        <v>-0.1433507584558511</v>
      </c>
      <c r="J113" s="46">
        <v>5.2389283945098564E-2</v>
      </c>
    </row>
    <row r="114" spans="1:10" ht="11.25" customHeight="1" x14ac:dyDescent="0.2">
      <c r="A114" s="55">
        <v>44774</v>
      </c>
      <c r="B114" s="45">
        <v>0</v>
      </c>
      <c r="C114" s="45">
        <v>0</v>
      </c>
      <c r="D114" s="45">
        <v>38191.201370000002</v>
      </c>
      <c r="E114" s="45">
        <v>51237.550732973403</v>
      </c>
      <c r="F114" s="45">
        <v>56429.637670000004</v>
      </c>
      <c r="G114" s="45">
        <v>48340.406310616636</v>
      </c>
      <c r="H114" s="46">
        <v>0.34160615259465454</v>
      </c>
      <c r="I114" s="46">
        <v>-0.1433507584558511</v>
      </c>
      <c r="J114" s="46">
        <v>5.2389283945098564E-2</v>
      </c>
    </row>
    <row r="115" spans="1:10" ht="11.25" customHeight="1" x14ac:dyDescent="0.2">
      <c r="A115" s="54" t="s">
        <v>25</v>
      </c>
      <c r="B115" s="45">
        <v>294057.49999999994</v>
      </c>
      <c r="C115" s="45">
        <v>373876.58032012254</v>
      </c>
      <c r="D115" s="45">
        <v>0</v>
      </c>
      <c r="E115" s="45">
        <v>0</v>
      </c>
      <c r="F115" s="45">
        <v>0</v>
      </c>
      <c r="G115" s="45">
        <v>0</v>
      </c>
      <c r="H115" s="46">
        <v>0.27144038264666803</v>
      </c>
      <c r="I115" s="46">
        <v>0</v>
      </c>
      <c r="J115" s="46">
        <v>0.27144038264666803</v>
      </c>
    </row>
    <row r="116" spans="1:10" ht="11.25" customHeight="1" x14ac:dyDescent="0.2">
      <c r="A116" s="55">
        <v>44440</v>
      </c>
      <c r="B116" s="45">
        <v>23726.899999999998</v>
      </c>
      <c r="C116" s="45">
        <v>30167.338815019219</v>
      </c>
      <c r="D116" s="45">
        <v>0</v>
      </c>
      <c r="E116" s="45">
        <v>0</v>
      </c>
      <c r="F116" s="45">
        <v>0</v>
      </c>
      <c r="G116" s="45">
        <v>0</v>
      </c>
      <c r="H116" s="46">
        <v>0.27144038264666781</v>
      </c>
      <c r="I116" s="46">
        <v>0</v>
      </c>
      <c r="J116" s="46">
        <v>0.27144038264666781</v>
      </c>
    </row>
    <row r="117" spans="1:10" ht="11.25" customHeight="1" x14ac:dyDescent="0.2">
      <c r="A117" s="55">
        <v>44470</v>
      </c>
      <c r="B117" s="45">
        <v>23929.199999999997</v>
      </c>
      <c r="C117" s="45">
        <v>30424.551204428641</v>
      </c>
      <c r="D117" s="45">
        <v>0</v>
      </c>
      <c r="E117" s="45">
        <v>0</v>
      </c>
      <c r="F117" s="45">
        <v>0</v>
      </c>
      <c r="G117" s="45">
        <v>0</v>
      </c>
      <c r="H117" s="46">
        <v>0.27144038264666781</v>
      </c>
      <c r="I117" s="46">
        <v>0</v>
      </c>
      <c r="J117" s="46">
        <v>0.27144038264666781</v>
      </c>
    </row>
    <row r="118" spans="1:10" ht="11.25" customHeight="1" x14ac:dyDescent="0.2">
      <c r="A118" s="55">
        <v>44501</v>
      </c>
      <c r="B118" s="45">
        <v>24463.85</v>
      </c>
      <c r="C118" s="45">
        <v>31104.326805010682</v>
      </c>
      <c r="D118" s="45">
        <v>0</v>
      </c>
      <c r="E118" s="45">
        <v>0</v>
      </c>
      <c r="F118" s="45">
        <v>0</v>
      </c>
      <c r="G118" s="45">
        <v>0</v>
      </c>
      <c r="H118" s="46">
        <v>0.27144038264666781</v>
      </c>
      <c r="I118" s="46">
        <v>0</v>
      </c>
      <c r="J118" s="46">
        <v>0.27144038264666781</v>
      </c>
    </row>
    <row r="119" spans="1:10" ht="11.25" customHeight="1" x14ac:dyDescent="0.2">
      <c r="A119" s="55">
        <v>44531</v>
      </c>
      <c r="B119" s="45">
        <v>25157.449999999997</v>
      </c>
      <c r="C119" s="45">
        <v>31986.197854414411</v>
      </c>
      <c r="D119" s="45">
        <v>0</v>
      </c>
      <c r="E119" s="45">
        <v>0</v>
      </c>
      <c r="F119" s="45">
        <v>0</v>
      </c>
      <c r="G119" s="45">
        <v>0</v>
      </c>
      <c r="H119" s="46">
        <v>0.27144038264666781</v>
      </c>
      <c r="I119" s="46">
        <v>0</v>
      </c>
      <c r="J119" s="46">
        <v>0.27144038264666781</v>
      </c>
    </row>
    <row r="120" spans="1:10" ht="11.25" customHeight="1" x14ac:dyDescent="0.2">
      <c r="A120" s="55">
        <v>44562</v>
      </c>
      <c r="B120" s="45">
        <v>25692.1</v>
      </c>
      <c r="C120" s="45">
        <v>32665.973454996452</v>
      </c>
      <c r="D120" s="45">
        <v>0</v>
      </c>
      <c r="E120" s="45">
        <v>0</v>
      </c>
      <c r="F120" s="45">
        <v>0</v>
      </c>
      <c r="G120" s="45">
        <v>0</v>
      </c>
      <c r="H120" s="46">
        <v>0.27144038264666781</v>
      </c>
      <c r="I120" s="46">
        <v>0</v>
      </c>
      <c r="J120" s="46">
        <v>0.27144038264666781</v>
      </c>
    </row>
    <row r="121" spans="1:10" ht="11.25" customHeight="1" x14ac:dyDescent="0.2">
      <c r="A121" s="55">
        <v>44593</v>
      </c>
      <c r="B121" s="45">
        <v>25359.75</v>
      </c>
      <c r="C121" s="45">
        <v>32243.41024382383</v>
      </c>
      <c r="D121" s="45">
        <v>0</v>
      </c>
      <c r="E121" s="45">
        <v>0</v>
      </c>
      <c r="F121" s="45">
        <v>0</v>
      </c>
      <c r="G121" s="45">
        <v>0</v>
      </c>
      <c r="H121" s="46">
        <v>0.27144038264666759</v>
      </c>
      <c r="I121" s="46">
        <v>0</v>
      </c>
      <c r="J121" s="46">
        <v>0.27144038264666759</v>
      </c>
    </row>
    <row r="122" spans="1:10" ht="11.25" customHeight="1" x14ac:dyDescent="0.2">
      <c r="A122" s="55">
        <v>44621</v>
      </c>
      <c r="B122" s="45">
        <v>24911.8</v>
      </c>
      <c r="C122" s="45">
        <v>31673.868524417256</v>
      </c>
      <c r="D122" s="45">
        <v>0</v>
      </c>
      <c r="E122" s="45">
        <v>0</v>
      </c>
      <c r="F122" s="45">
        <v>0</v>
      </c>
      <c r="G122" s="45">
        <v>0</v>
      </c>
      <c r="H122" s="46">
        <v>0.27144038264666781</v>
      </c>
      <c r="I122" s="46">
        <v>0</v>
      </c>
      <c r="J122" s="46">
        <v>0.27144038264666781</v>
      </c>
    </row>
    <row r="123" spans="1:10" ht="11.25" customHeight="1" x14ac:dyDescent="0.2">
      <c r="A123" s="55">
        <v>44652</v>
      </c>
      <c r="B123" s="45">
        <v>24709.5</v>
      </c>
      <c r="C123" s="45">
        <v>31416.656135007834</v>
      </c>
      <c r="D123" s="45">
        <v>0</v>
      </c>
      <c r="E123" s="45">
        <v>0</v>
      </c>
      <c r="F123" s="45">
        <v>0</v>
      </c>
      <c r="G123" s="45">
        <v>0</v>
      </c>
      <c r="H123" s="46">
        <v>0.27144038264666759</v>
      </c>
      <c r="I123" s="46">
        <v>0</v>
      </c>
      <c r="J123" s="46">
        <v>0.27144038264666759</v>
      </c>
    </row>
    <row r="124" spans="1:10" ht="11.25" customHeight="1" x14ac:dyDescent="0.2">
      <c r="A124" s="55">
        <v>44682</v>
      </c>
      <c r="B124" s="45">
        <v>23640.199999999997</v>
      </c>
      <c r="C124" s="45">
        <v>30057.104933843755</v>
      </c>
      <c r="D124" s="45">
        <v>0</v>
      </c>
      <c r="E124" s="45">
        <v>0</v>
      </c>
      <c r="F124" s="45">
        <v>0</v>
      </c>
      <c r="G124" s="45">
        <v>0</v>
      </c>
      <c r="H124" s="46">
        <v>0.27144038264666781</v>
      </c>
      <c r="I124" s="46">
        <v>0</v>
      </c>
      <c r="J124" s="46">
        <v>0.27144038264666781</v>
      </c>
    </row>
    <row r="125" spans="1:10" ht="11.25" customHeight="1" x14ac:dyDescent="0.2">
      <c r="A125" s="55">
        <v>44713</v>
      </c>
      <c r="B125" s="45">
        <v>23799.149999999998</v>
      </c>
      <c r="C125" s="45">
        <v>30259.20038266544</v>
      </c>
      <c r="D125" s="45">
        <v>0</v>
      </c>
      <c r="E125" s="45">
        <v>0</v>
      </c>
      <c r="F125" s="45">
        <v>0</v>
      </c>
      <c r="G125" s="45">
        <v>0</v>
      </c>
      <c r="H125" s="46">
        <v>0.27144038264666781</v>
      </c>
      <c r="I125" s="46">
        <v>0</v>
      </c>
      <c r="J125" s="46">
        <v>0.27144038264666781</v>
      </c>
    </row>
    <row r="126" spans="1:10" ht="11.25" customHeight="1" x14ac:dyDescent="0.2">
      <c r="A126" s="55">
        <v>44743</v>
      </c>
      <c r="B126" s="45">
        <v>24333.8</v>
      </c>
      <c r="C126" s="45">
        <v>30938.975983247481</v>
      </c>
      <c r="D126" s="45">
        <v>0</v>
      </c>
      <c r="E126" s="45">
        <v>0</v>
      </c>
      <c r="F126" s="45">
        <v>0</v>
      </c>
      <c r="G126" s="45">
        <v>0</v>
      </c>
      <c r="H126" s="46">
        <v>0.27144038264666759</v>
      </c>
      <c r="I126" s="46">
        <v>0</v>
      </c>
      <c r="J126" s="46">
        <v>0.27144038264666759</v>
      </c>
    </row>
    <row r="127" spans="1:10" ht="11.25" customHeight="1" x14ac:dyDescent="0.2">
      <c r="A127" s="55">
        <v>44774</v>
      </c>
      <c r="B127" s="45">
        <v>24333.8</v>
      </c>
      <c r="C127" s="45">
        <v>30938.975983247481</v>
      </c>
      <c r="D127" s="45">
        <v>0</v>
      </c>
      <c r="E127" s="45">
        <v>0</v>
      </c>
      <c r="F127" s="45">
        <v>0</v>
      </c>
      <c r="G127" s="45">
        <v>0</v>
      </c>
      <c r="H127" s="46">
        <v>0.27144038264666759</v>
      </c>
      <c r="I127" s="46">
        <v>0</v>
      </c>
      <c r="J127" s="46">
        <v>0.27144038264666759</v>
      </c>
    </row>
    <row r="128" spans="1:10" ht="11.25" customHeight="1" x14ac:dyDescent="0.2">
      <c r="A128" s="54" t="s">
        <v>37</v>
      </c>
      <c r="B128" s="45">
        <v>0</v>
      </c>
      <c r="C128" s="45">
        <v>0</v>
      </c>
      <c r="D128" s="45">
        <v>457611.81557999994</v>
      </c>
      <c r="E128" s="45">
        <v>569594.51799303712</v>
      </c>
      <c r="F128" s="45">
        <v>60823.317790000001</v>
      </c>
      <c r="G128" s="45">
        <v>52104.249053002233</v>
      </c>
      <c r="H128" s="46">
        <v>0.24471112545707485</v>
      </c>
      <c r="I128" s="46">
        <v>-0.14335075845585121</v>
      </c>
      <c r="J128" s="46">
        <v>0.19918332502813141</v>
      </c>
    </row>
    <row r="129" spans="1:10" ht="11.25" customHeight="1" x14ac:dyDescent="0.2">
      <c r="A129" s="55">
        <v>44440</v>
      </c>
      <c r="B129" s="45">
        <v>0</v>
      </c>
      <c r="C129" s="45">
        <v>0</v>
      </c>
      <c r="D129" s="45">
        <v>34371.761940000004</v>
      </c>
      <c r="E129" s="45">
        <v>42782.914488280046</v>
      </c>
      <c r="F129" s="45">
        <v>4568.5109700000003</v>
      </c>
      <c r="G129" s="45">
        <v>3913.6114574366238</v>
      </c>
      <c r="H129" s="46">
        <v>0.24471112545707463</v>
      </c>
      <c r="I129" s="46">
        <v>-0.14335075845585121</v>
      </c>
      <c r="J129" s="46">
        <v>0.19918332502813119</v>
      </c>
    </row>
    <row r="130" spans="1:10" ht="11.25" customHeight="1" x14ac:dyDescent="0.2">
      <c r="A130" s="55">
        <v>44470</v>
      </c>
      <c r="B130" s="45">
        <v>0</v>
      </c>
      <c r="C130" s="45">
        <v>0</v>
      </c>
      <c r="D130" s="45">
        <v>35732.480940000001</v>
      </c>
      <c r="E130" s="45">
        <v>44476.616566200879</v>
      </c>
      <c r="F130" s="45">
        <v>4749.3704699999998</v>
      </c>
      <c r="G130" s="45">
        <v>4068.544610937678</v>
      </c>
      <c r="H130" s="46">
        <v>0.24471112545707485</v>
      </c>
      <c r="I130" s="46">
        <v>-0.1433507584558511</v>
      </c>
      <c r="J130" s="46">
        <v>0.19918332502813163</v>
      </c>
    </row>
    <row r="131" spans="1:10" ht="11.25" customHeight="1" x14ac:dyDescent="0.2">
      <c r="A131" s="55">
        <v>44501</v>
      </c>
      <c r="B131" s="45">
        <v>0</v>
      </c>
      <c r="C131" s="45">
        <v>0</v>
      </c>
      <c r="D131" s="45">
        <v>40355.901720000002</v>
      </c>
      <c r="E131" s="45">
        <v>50231.4398487363</v>
      </c>
      <c r="F131" s="45">
        <v>5363.8908599999995</v>
      </c>
      <c r="G131" s="45">
        <v>4594.9730369445924</v>
      </c>
      <c r="H131" s="46">
        <v>0.24471112545707463</v>
      </c>
      <c r="I131" s="46">
        <v>-0.1433507584558511</v>
      </c>
      <c r="J131" s="46">
        <v>0.19918332502813141</v>
      </c>
    </row>
    <row r="132" spans="1:10" ht="11.25" customHeight="1" x14ac:dyDescent="0.2">
      <c r="A132" s="55">
        <v>44531</v>
      </c>
      <c r="B132" s="45">
        <v>0</v>
      </c>
      <c r="C132" s="45">
        <v>0</v>
      </c>
      <c r="D132" s="45">
        <v>44233.446900000003</v>
      </c>
      <c r="E132" s="45">
        <v>55057.863473744757</v>
      </c>
      <c r="F132" s="45">
        <v>5879.2734499999997</v>
      </c>
      <c r="G132" s="45">
        <v>5036.4751417731513</v>
      </c>
      <c r="H132" s="46">
        <v>0.24471112545707485</v>
      </c>
      <c r="I132" s="46">
        <v>-0.1433507584558511</v>
      </c>
      <c r="J132" s="46">
        <v>0.19918332502813141</v>
      </c>
    </row>
    <row r="133" spans="1:10" ht="11.25" customHeight="1" x14ac:dyDescent="0.2">
      <c r="A133" s="55">
        <v>44562</v>
      </c>
      <c r="B133" s="45">
        <v>0</v>
      </c>
      <c r="C133" s="45">
        <v>0</v>
      </c>
      <c r="D133" s="45">
        <v>44307.026519999999</v>
      </c>
      <c r="E133" s="45">
        <v>55149.44884536566</v>
      </c>
      <c r="F133" s="45">
        <v>5889.0532599999997</v>
      </c>
      <c r="G133" s="45">
        <v>5044.8530085920975</v>
      </c>
      <c r="H133" s="46">
        <v>0.24471112545707485</v>
      </c>
      <c r="I133" s="46">
        <v>-0.1433507584558511</v>
      </c>
      <c r="J133" s="46">
        <v>0.19918332502813163</v>
      </c>
    </row>
    <row r="134" spans="1:10" ht="11.25" customHeight="1" x14ac:dyDescent="0.2">
      <c r="A134" s="55">
        <v>44593</v>
      </c>
      <c r="B134" s="45">
        <v>0</v>
      </c>
      <c r="C134" s="45">
        <v>0</v>
      </c>
      <c r="D134" s="45">
        <v>40521.203880000001</v>
      </c>
      <c r="E134" s="45">
        <v>50437.19328635039</v>
      </c>
      <c r="F134" s="45">
        <v>5385.8619399999998</v>
      </c>
      <c r="G134" s="45">
        <v>4613.794545962498</v>
      </c>
      <c r="H134" s="46">
        <v>0.24471112545707485</v>
      </c>
      <c r="I134" s="46">
        <v>-0.1433507584558511</v>
      </c>
      <c r="J134" s="46">
        <v>0.19918332502813141</v>
      </c>
    </row>
    <row r="135" spans="1:10" ht="11.25" customHeight="1" x14ac:dyDescent="0.2">
      <c r="A135" s="55">
        <v>44621</v>
      </c>
      <c r="B135" s="45">
        <v>0</v>
      </c>
      <c r="C135" s="45">
        <v>0</v>
      </c>
      <c r="D135" s="45">
        <v>41239.865100000003</v>
      </c>
      <c r="E135" s="45">
        <v>51331.718902318942</v>
      </c>
      <c r="F135" s="45">
        <v>5481.3825500000003</v>
      </c>
      <c r="G135" s="45">
        <v>4695.6222040708326</v>
      </c>
      <c r="H135" s="46">
        <v>0.24471112545707485</v>
      </c>
      <c r="I135" s="46">
        <v>-0.14335075845585121</v>
      </c>
      <c r="J135" s="46">
        <v>0.19918332502813141</v>
      </c>
    </row>
    <row r="136" spans="1:10" ht="11.25" customHeight="1" x14ac:dyDescent="0.2">
      <c r="A136" s="55">
        <v>44652</v>
      </c>
      <c r="B136" s="45">
        <v>0</v>
      </c>
      <c r="C136" s="45">
        <v>0</v>
      </c>
      <c r="D136" s="45">
        <v>33962.5383</v>
      </c>
      <c r="E136" s="45">
        <v>42273.549270772011</v>
      </c>
      <c r="F136" s="45">
        <v>4514.1191500000004</v>
      </c>
      <c r="G136" s="45">
        <v>3867.0167460874181</v>
      </c>
      <c r="H136" s="46">
        <v>0.24471112545707485</v>
      </c>
      <c r="I136" s="46">
        <v>-0.14335075845585121</v>
      </c>
      <c r="J136" s="46">
        <v>0.19918332502813163</v>
      </c>
    </row>
    <row r="137" spans="1:10" ht="11.25" customHeight="1" x14ac:dyDescent="0.2">
      <c r="A137" s="55">
        <v>44682</v>
      </c>
      <c r="B137" s="45">
        <v>0</v>
      </c>
      <c r="C137" s="45">
        <v>0</v>
      </c>
      <c r="D137" s="45">
        <v>36005.632680000002</v>
      </c>
      <c r="E137" s="45">
        <v>44816.611575916839</v>
      </c>
      <c r="F137" s="45">
        <v>4785.67634</v>
      </c>
      <c r="G137" s="45">
        <v>4099.6460069367786</v>
      </c>
      <c r="H137" s="46">
        <v>0.24471112545707485</v>
      </c>
      <c r="I137" s="46">
        <v>-0.1433507584558511</v>
      </c>
      <c r="J137" s="46">
        <v>0.19918332502813163</v>
      </c>
    </row>
    <row r="138" spans="1:10" ht="11.25" customHeight="1" x14ac:dyDescent="0.2">
      <c r="A138" s="55">
        <v>44713</v>
      </c>
      <c r="B138" s="45">
        <v>0</v>
      </c>
      <c r="C138" s="45">
        <v>0</v>
      </c>
      <c r="D138" s="45">
        <v>34511.865600000005</v>
      </c>
      <c r="E138" s="45">
        <v>42957.303072599309</v>
      </c>
      <c r="F138" s="45">
        <v>4587.1328000000003</v>
      </c>
      <c r="G138" s="45">
        <v>3929.5638339822881</v>
      </c>
      <c r="H138" s="46">
        <v>0.24471112545707485</v>
      </c>
      <c r="I138" s="46">
        <v>-0.1433507584558511</v>
      </c>
      <c r="J138" s="46">
        <v>0.19918332502813163</v>
      </c>
    </row>
    <row r="139" spans="1:10" ht="11.25" customHeight="1" x14ac:dyDescent="0.2">
      <c r="A139" s="55">
        <v>44743</v>
      </c>
      <c r="B139" s="45">
        <v>0</v>
      </c>
      <c r="C139" s="45">
        <v>0</v>
      </c>
      <c r="D139" s="45">
        <v>36185.046000000002</v>
      </c>
      <c r="E139" s="45">
        <v>45039.929331376021</v>
      </c>
      <c r="F139" s="45">
        <v>4809.5230000000001</v>
      </c>
      <c r="G139" s="45">
        <v>4120.0742301391392</v>
      </c>
      <c r="H139" s="46">
        <v>0.24471112545707463</v>
      </c>
      <c r="I139" s="46">
        <v>-0.14335075845585121</v>
      </c>
      <c r="J139" s="46">
        <v>0.19918332502813119</v>
      </c>
    </row>
    <row r="140" spans="1:10" ht="11.25" customHeight="1" x14ac:dyDescent="0.2">
      <c r="A140" s="55">
        <v>44774</v>
      </c>
      <c r="B140" s="45">
        <v>0</v>
      </c>
      <c r="C140" s="45">
        <v>0</v>
      </c>
      <c r="D140" s="45">
        <v>36185.046000000002</v>
      </c>
      <c r="E140" s="45">
        <v>45039.929331376021</v>
      </c>
      <c r="F140" s="45">
        <v>4809.5230000000001</v>
      </c>
      <c r="G140" s="45">
        <v>4120.0742301391392</v>
      </c>
      <c r="H140" s="46">
        <v>0.24471112545707463</v>
      </c>
      <c r="I140" s="46">
        <v>-0.14335075845585121</v>
      </c>
      <c r="J140" s="46">
        <v>0.19918332502813119</v>
      </c>
    </row>
    <row r="141" spans="1:10" ht="11.25" customHeight="1" x14ac:dyDescent="0.2">
      <c r="A141" s="50" t="s">
        <v>50</v>
      </c>
      <c r="B141" s="45">
        <v>16516.349999999999</v>
      </c>
      <c r="C141" s="45">
        <v>20999.554363926291</v>
      </c>
      <c r="D141" s="45">
        <v>28378.970809999999</v>
      </c>
      <c r="E141" s="45">
        <v>36787.552699484011</v>
      </c>
      <c r="F141" s="45">
        <v>24087.40409</v>
      </c>
      <c r="G141" s="45">
        <v>20634.456444465934</v>
      </c>
      <c r="H141" s="46">
        <v>0.2871521134233388</v>
      </c>
      <c r="I141" s="46">
        <v>-0.14335075845585099</v>
      </c>
      <c r="J141" s="46">
        <v>0.13682901946188908</v>
      </c>
    </row>
    <row r="142" spans="1:10" ht="11.25" customHeight="1" x14ac:dyDescent="0.2">
      <c r="A142" s="51" t="s">
        <v>25</v>
      </c>
      <c r="B142" s="45">
        <v>16516.349999999999</v>
      </c>
      <c r="C142" s="45">
        <v>20999.554363926291</v>
      </c>
      <c r="D142" s="45">
        <v>28378.970809999999</v>
      </c>
      <c r="E142" s="45">
        <v>36787.552699484011</v>
      </c>
      <c r="F142" s="45">
        <v>24087.40409</v>
      </c>
      <c r="G142" s="45">
        <v>20634.456444465934</v>
      </c>
      <c r="H142" s="46">
        <v>0.2871521134233388</v>
      </c>
      <c r="I142" s="46">
        <v>-0.14335075845585099</v>
      </c>
      <c r="J142" s="46">
        <v>0.13682901946188908</v>
      </c>
    </row>
    <row r="143" spans="1:10" ht="11.25" customHeight="1" x14ac:dyDescent="0.2">
      <c r="A143" s="52" t="s">
        <v>25</v>
      </c>
      <c r="B143" s="45">
        <v>16516.349999999999</v>
      </c>
      <c r="C143" s="45">
        <v>20999.554363926291</v>
      </c>
      <c r="D143" s="45">
        <v>28378.970809999999</v>
      </c>
      <c r="E143" s="45">
        <v>36787.552699484011</v>
      </c>
      <c r="F143" s="45">
        <v>24087.40409</v>
      </c>
      <c r="G143" s="45">
        <v>20634.456444465934</v>
      </c>
      <c r="H143" s="46">
        <v>0.2871521134233388</v>
      </c>
      <c r="I143" s="46">
        <v>-0.14335075845585099</v>
      </c>
      <c r="J143" s="46">
        <v>0.13682901946188908</v>
      </c>
    </row>
    <row r="144" spans="1:10" ht="11.25" customHeight="1" x14ac:dyDescent="0.2">
      <c r="A144" s="53" t="s">
        <v>25</v>
      </c>
      <c r="B144" s="45">
        <v>16516.349999999999</v>
      </c>
      <c r="C144" s="45">
        <v>20999.554363926291</v>
      </c>
      <c r="D144" s="45">
        <v>28378.970809999999</v>
      </c>
      <c r="E144" s="45">
        <v>36787.552699484011</v>
      </c>
      <c r="F144" s="45">
        <v>24087.40409</v>
      </c>
      <c r="G144" s="45">
        <v>20634.456444465934</v>
      </c>
      <c r="H144" s="46">
        <v>0.2871521134233388</v>
      </c>
      <c r="I144" s="46">
        <v>-0.14335075845585099</v>
      </c>
      <c r="J144" s="46">
        <v>0.13682901946188908</v>
      </c>
    </row>
    <row r="145" spans="1:10" ht="11.25" customHeight="1" x14ac:dyDescent="0.2">
      <c r="A145" s="54" t="s">
        <v>38</v>
      </c>
      <c r="B145" s="45">
        <v>0</v>
      </c>
      <c r="C145" s="45">
        <v>0</v>
      </c>
      <c r="D145" s="45">
        <v>15108.432770000001</v>
      </c>
      <c r="E145" s="45">
        <v>20269.566360294699</v>
      </c>
      <c r="F145" s="45">
        <v>22323.555070000002</v>
      </c>
      <c r="G145" s="45">
        <v>19123.45651928454</v>
      </c>
      <c r="H145" s="46">
        <v>0.34160615259465432</v>
      </c>
      <c r="I145" s="46">
        <v>-0.14335075845585121</v>
      </c>
      <c r="J145" s="46">
        <v>5.2389283945098564E-2</v>
      </c>
    </row>
    <row r="146" spans="1:10" ht="11.25" customHeight="1" x14ac:dyDescent="0.2">
      <c r="A146" s="55">
        <v>44440</v>
      </c>
      <c r="B146" s="45">
        <v>0</v>
      </c>
      <c r="C146" s="45">
        <v>0</v>
      </c>
      <c r="D146" s="45">
        <v>1057.4842100000001</v>
      </c>
      <c r="E146" s="45">
        <v>1418.7273224076978</v>
      </c>
      <c r="F146" s="45">
        <v>1562.4921099999999</v>
      </c>
      <c r="G146" s="45">
        <v>1338.5076809502168</v>
      </c>
      <c r="H146" s="46">
        <v>0.34160615259465454</v>
      </c>
      <c r="I146" s="46">
        <v>-0.1433507584558511</v>
      </c>
      <c r="J146" s="46">
        <v>5.2389283945098786E-2</v>
      </c>
    </row>
    <row r="147" spans="1:10" ht="11.25" customHeight="1" x14ac:dyDescent="0.2">
      <c r="A147" s="55">
        <v>44470</v>
      </c>
      <c r="B147" s="45">
        <v>0</v>
      </c>
      <c r="C147" s="45">
        <v>0</v>
      </c>
      <c r="D147" s="45">
        <v>1095.5656100000001</v>
      </c>
      <c r="E147" s="45">
        <v>1469.8175629471159</v>
      </c>
      <c r="F147" s="45">
        <v>1618.7595100000001</v>
      </c>
      <c r="G147" s="45">
        <v>1386.709106483878</v>
      </c>
      <c r="H147" s="46">
        <v>0.34160615259465454</v>
      </c>
      <c r="I147" s="46">
        <v>-0.14335075845585121</v>
      </c>
      <c r="J147" s="46">
        <v>5.2389283945098564E-2</v>
      </c>
    </row>
    <row r="148" spans="1:10" ht="11.25" customHeight="1" x14ac:dyDescent="0.2">
      <c r="A148" s="55">
        <v>44501</v>
      </c>
      <c r="B148" s="45">
        <v>0</v>
      </c>
      <c r="C148" s="45">
        <v>0</v>
      </c>
      <c r="D148" s="45">
        <v>1296.30899</v>
      </c>
      <c r="E148" s="45">
        <v>1739.1361166477627</v>
      </c>
      <c r="F148" s="45">
        <v>1915.3690900000001</v>
      </c>
      <c r="G148" s="45">
        <v>1640.7994782256067</v>
      </c>
      <c r="H148" s="46">
        <v>0.34160615259465477</v>
      </c>
      <c r="I148" s="46">
        <v>-0.14335075845585121</v>
      </c>
      <c r="J148" s="46">
        <v>5.2389283945098564E-2</v>
      </c>
    </row>
    <row r="149" spans="1:10" ht="11.25" customHeight="1" x14ac:dyDescent="0.2">
      <c r="A149" s="55">
        <v>44531</v>
      </c>
      <c r="B149" s="45">
        <v>0</v>
      </c>
      <c r="C149" s="45">
        <v>0</v>
      </c>
      <c r="D149" s="45">
        <v>1431.4072900000001</v>
      </c>
      <c r="E149" s="45">
        <v>1920.3848271328411</v>
      </c>
      <c r="F149" s="45">
        <v>2114.9843900000001</v>
      </c>
      <c r="G149" s="45">
        <v>1811.7997735712145</v>
      </c>
      <c r="H149" s="46">
        <v>0.34160615259465454</v>
      </c>
      <c r="I149" s="46">
        <v>-0.1433507584558511</v>
      </c>
      <c r="J149" s="46">
        <v>5.2389283945098786E-2</v>
      </c>
    </row>
    <row r="150" spans="1:10" ht="11.25" customHeight="1" x14ac:dyDescent="0.2">
      <c r="A150" s="55">
        <v>44562</v>
      </c>
      <c r="B150" s="45">
        <v>0</v>
      </c>
      <c r="C150" s="45">
        <v>0</v>
      </c>
      <c r="D150" s="45">
        <v>1768.9717000000003</v>
      </c>
      <c r="E150" s="45">
        <v>2373.2633164858257</v>
      </c>
      <c r="F150" s="45">
        <v>2613.7547000000004</v>
      </c>
      <c r="G150" s="45">
        <v>2239.0709813374547</v>
      </c>
      <c r="H150" s="46">
        <v>0.34160615259465454</v>
      </c>
      <c r="I150" s="46">
        <v>-0.1433507584558511</v>
      </c>
      <c r="J150" s="46">
        <v>5.2389283945098564E-2</v>
      </c>
    </row>
    <row r="151" spans="1:10" ht="11.25" customHeight="1" x14ac:dyDescent="0.2">
      <c r="A151" s="55">
        <v>44593</v>
      </c>
      <c r="B151" s="45">
        <v>0</v>
      </c>
      <c r="C151" s="45">
        <v>0</v>
      </c>
      <c r="D151" s="45">
        <v>1432.586</v>
      </c>
      <c r="E151" s="45">
        <v>1921.966191720966</v>
      </c>
      <c r="F151" s="45">
        <v>2116.7260000000001</v>
      </c>
      <c r="G151" s="45">
        <v>1813.2917224567802</v>
      </c>
      <c r="H151" s="46">
        <v>0.34160615259465477</v>
      </c>
      <c r="I151" s="46">
        <v>-0.1433507584558511</v>
      </c>
      <c r="J151" s="46">
        <v>5.2389283945098786E-2</v>
      </c>
    </row>
    <row r="152" spans="1:10" ht="11.25" customHeight="1" x14ac:dyDescent="0.2">
      <c r="A152" s="55">
        <v>44621</v>
      </c>
      <c r="B152" s="45">
        <v>0</v>
      </c>
      <c r="C152" s="45">
        <v>0</v>
      </c>
      <c r="D152" s="45">
        <v>1546.55819</v>
      </c>
      <c r="E152" s="45">
        <v>2074.8719830496525</v>
      </c>
      <c r="F152" s="45">
        <v>2285.1262899999997</v>
      </c>
      <c r="G152" s="45">
        <v>1957.5517031610946</v>
      </c>
      <c r="H152" s="46">
        <v>0.34160615259465432</v>
      </c>
      <c r="I152" s="46">
        <v>-0.1433507584558511</v>
      </c>
      <c r="J152" s="46">
        <v>5.2389283945098564E-2</v>
      </c>
    </row>
    <row r="153" spans="1:10" ht="11.25" customHeight="1" x14ac:dyDescent="0.2">
      <c r="A153" s="55">
        <v>44652</v>
      </c>
      <c r="B153" s="45">
        <v>0</v>
      </c>
      <c r="C153" s="45">
        <v>0</v>
      </c>
      <c r="D153" s="45">
        <v>1109.0754400000001</v>
      </c>
      <c r="E153" s="45">
        <v>1487.9424339956236</v>
      </c>
      <c r="F153" s="45">
        <v>1638.7210399999999</v>
      </c>
      <c r="G153" s="45">
        <v>1403.8091360184387</v>
      </c>
      <c r="H153" s="46">
        <v>0.34160615259465432</v>
      </c>
      <c r="I153" s="46">
        <v>-0.1433507584558511</v>
      </c>
      <c r="J153" s="46">
        <v>5.2389283945098564E-2</v>
      </c>
    </row>
    <row r="154" spans="1:10" ht="11.25" customHeight="1" x14ac:dyDescent="0.2">
      <c r="A154" s="55">
        <v>44682</v>
      </c>
      <c r="B154" s="45">
        <v>0</v>
      </c>
      <c r="C154" s="45">
        <v>0</v>
      </c>
      <c r="D154" s="45">
        <v>1057.9375599999998</v>
      </c>
      <c r="E154" s="45">
        <v>1419.3355395569765</v>
      </c>
      <c r="F154" s="45">
        <v>1563.1619599999999</v>
      </c>
      <c r="G154" s="45">
        <v>1339.081507444665</v>
      </c>
      <c r="H154" s="46">
        <v>0.34160615259465477</v>
      </c>
      <c r="I154" s="46">
        <v>-0.14335075845585121</v>
      </c>
      <c r="J154" s="46">
        <v>5.2389283945098564E-2</v>
      </c>
    </row>
    <row r="155" spans="1:10" ht="11.25" customHeight="1" x14ac:dyDescent="0.2">
      <c r="A155" s="55">
        <v>44713</v>
      </c>
      <c r="B155" s="45">
        <v>0</v>
      </c>
      <c r="C155" s="45">
        <v>0</v>
      </c>
      <c r="D155" s="45">
        <v>1110.1634799999999</v>
      </c>
      <c r="E155" s="45">
        <v>1489.4021551538929</v>
      </c>
      <c r="F155" s="45">
        <v>1640.3286799999998</v>
      </c>
      <c r="G155" s="45">
        <v>1405.1863196051149</v>
      </c>
      <c r="H155" s="46">
        <v>0.34160615259465477</v>
      </c>
      <c r="I155" s="46">
        <v>-0.14335075845585099</v>
      </c>
      <c r="J155" s="46">
        <v>5.2389283945098786E-2</v>
      </c>
    </row>
    <row r="156" spans="1:10" ht="11.25" customHeight="1" x14ac:dyDescent="0.2">
      <c r="A156" s="55">
        <v>44743</v>
      </c>
      <c r="B156" s="45">
        <v>0</v>
      </c>
      <c r="C156" s="45">
        <v>0</v>
      </c>
      <c r="D156" s="45">
        <v>1101.18715</v>
      </c>
      <c r="E156" s="45">
        <v>1477.3594555981726</v>
      </c>
      <c r="F156" s="45">
        <v>1627.06565</v>
      </c>
      <c r="G156" s="45">
        <v>1393.8245550150375</v>
      </c>
      <c r="H156" s="46">
        <v>0.34160615259465454</v>
      </c>
      <c r="I156" s="46">
        <v>-0.14335075845585121</v>
      </c>
      <c r="J156" s="46">
        <v>5.2389283945098564E-2</v>
      </c>
    </row>
    <row r="157" spans="1:10" ht="11.25" customHeight="1" x14ac:dyDescent="0.2">
      <c r="A157" s="55">
        <v>44774</v>
      </c>
      <c r="B157" s="45">
        <v>0</v>
      </c>
      <c r="C157" s="45">
        <v>0</v>
      </c>
      <c r="D157" s="45">
        <v>1101.18715</v>
      </c>
      <c r="E157" s="45">
        <v>1477.3594555981726</v>
      </c>
      <c r="F157" s="45">
        <v>1627.06565</v>
      </c>
      <c r="G157" s="45">
        <v>1393.8245550150375</v>
      </c>
      <c r="H157" s="46">
        <v>0.34160615259465454</v>
      </c>
      <c r="I157" s="46">
        <v>-0.14335075845585121</v>
      </c>
      <c r="J157" s="46">
        <v>5.2389283945098564E-2</v>
      </c>
    </row>
    <row r="158" spans="1:10" ht="11.25" customHeight="1" x14ac:dyDescent="0.2">
      <c r="A158" s="54" t="s">
        <v>25</v>
      </c>
      <c r="B158" s="45">
        <v>16516.349999999999</v>
      </c>
      <c r="C158" s="45">
        <v>20999.554363926291</v>
      </c>
      <c r="D158" s="45">
        <v>0</v>
      </c>
      <c r="E158" s="45">
        <v>0</v>
      </c>
      <c r="F158" s="45">
        <v>0</v>
      </c>
      <c r="G158" s="45">
        <v>0</v>
      </c>
      <c r="H158" s="46">
        <v>0.27144038264666781</v>
      </c>
      <c r="I158" s="46">
        <v>0</v>
      </c>
      <c r="J158" s="46">
        <v>0.27144038264666781</v>
      </c>
    </row>
    <row r="159" spans="1:10" ht="11.25" customHeight="1" x14ac:dyDescent="0.2">
      <c r="A159" s="55">
        <v>44440</v>
      </c>
      <c r="B159" s="45">
        <v>1372.75</v>
      </c>
      <c r="C159" s="45">
        <v>1745.3697852782132</v>
      </c>
      <c r="D159" s="45">
        <v>0</v>
      </c>
      <c r="E159" s="45">
        <v>0</v>
      </c>
      <c r="F159" s="45">
        <v>0</v>
      </c>
      <c r="G159" s="45">
        <v>0</v>
      </c>
      <c r="H159" s="46">
        <v>0.27144038264666781</v>
      </c>
      <c r="I159" s="46">
        <v>0</v>
      </c>
      <c r="J159" s="46">
        <v>0.27144038264666781</v>
      </c>
    </row>
    <row r="160" spans="1:10" ht="11.25" customHeight="1" x14ac:dyDescent="0.2">
      <c r="A160" s="55">
        <v>44470</v>
      </c>
      <c r="B160" s="45">
        <v>1372.75</v>
      </c>
      <c r="C160" s="45">
        <v>1745.3697852782132</v>
      </c>
      <c r="D160" s="45">
        <v>0</v>
      </c>
      <c r="E160" s="45">
        <v>0</v>
      </c>
      <c r="F160" s="45">
        <v>0</v>
      </c>
      <c r="G160" s="45">
        <v>0</v>
      </c>
      <c r="H160" s="46">
        <v>0.27144038264666781</v>
      </c>
      <c r="I160" s="46">
        <v>0</v>
      </c>
      <c r="J160" s="46">
        <v>0.27144038264666781</v>
      </c>
    </row>
    <row r="161" spans="1:10" ht="11.25" customHeight="1" x14ac:dyDescent="0.2">
      <c r="A161" s="55">
        <v>44501</v>
      </c>
      <c r="B161" s="45">
        <v>1372.75</v>
      </c>
      <c r="C161" s="45">
        <v>1745.3697852782132</v>
      </c>
      <c r="D161" s="45">
        <v>0</v>
      </c>
      <c r="E161" s="45">
        <v>0</v>
      </c>
      <c r="F161" s="45">
        <v>0</v>
      </c>
      <c r="G161" s="45">
        <v>0</v>
      </c>
      <c r="H161" s="46">
        <v>0.27144038264666781</v>
      </c>
      <c r="I161" s="46">
        <v>0</v>
      </c>
      <c r="J161" s="46">
        <v>0.27144038264666781</v>
      </c>
    </row>
    <row r="162" spans="1:10" ht="11.25" customHeight="1" x14ac:dyDescent="0.2">
      <c r="A162" s="55">
        <v>44531</v>
      </c>
      <c r="B162" s="45">
        <v>1372.75</v>
      </c>
      <c r="C162" s="45">
        <v>1745.3697852782132</v>
      </c>
      <c r="D162" s="45">
        <v>0</v>
      </c>
      <c r="E162" s="45">
        <v>0</v>
      </c>
      <c r="F162" s="45">
        <v>0</v>
      </c>
      <c r="G162" s="45">
        <v>0</v>
      </c>
      <c r="H162" s="46">
        <v>0.27144038264666781</v>
      </c>
      <c r="I162" s="46">
        <v>0</v>
      </c>
      <c r="J162" s="46">
        <v>0.27144038264666781</v>
      </c>
    </row>
    <row r="163" spans="1:10" ht="11.25" customHeight="1" x14ac:dyDescent="0.2">
      <c r="A163" s="55">
        <v>44562</v>
      </c>
      <c r="B163" s="45">
        <v>1372.75</v>
      </c>
      <c r="C163" s="45">
        <v>1745.3697852782132</v>
      </c>
      <c r="D163" s="45">
        <v>0</v>
      </c>
      <c r="E163" s="45">
        <v>0</v>
      </c>
      <c r="F163" s="45">
        <v>0</v>
      </c>
      <c r="G163" s="45">
        <v>0</v>
      </c>
      <c r="H163" s="46">
        <v>0.27144038264666781</v>
      </c>
      <c r="I163" s="46">
        <v>0</v>
      </c>
      <c r="J163" s="46">
        <v>0.27144038264666781</v>
      </c>
    </row>
    <row r="164" spans="1:10" ht="11.25" customHeight="1" x14ac:dyDescent="0.2">
      <c r="A164" s="55">
        <v>44593</v>
      </c>
      <c r="B164" s="45">
        <v>1401.6499999999999</v>
      </c>
      <c r="C164" s="45">
        <v>1782.1144123367017</v>
      </c>
      <c r="D164" s="45">
        <v>0</v>
      </c>
      <c r="E164" s="45">
        <v>0</v>
      </c>
      <c r="F164" s="45">
        <v>0</v>
      </c>
      <c r="G164" s="45">
        <v>0</v>
      </c>
      <c r="H164" s="46">
        <v>0.27144038264666781</v>
      </c>
      <c r="I164" s="46">
        <v>0</v>
      </c>
      <c r="J164" s="46">
        <v>0.27144038264666781</v>
      </c>
    </row>
    <row r="165" spans="1:10" ht="11.25" customHeight="1" x14ac:dyDescent="0.2">
      <c r="A165" s="55">
        <v>44621</v>
      </c>
      <c r="B165" s="45">
        <v>1387.1999999999998</v>
      </c>
      <c r="C165" s="45">
        <v>1763.7420988074573</v>
      </c>
      <c r="D165" s="45">
        <v>0</v>
      </c>
      <c r="E165" s="45">
        <v>0</v>
      </c>
      <c r="F165" s="45">
        <v>0</v>
      </c>
      <c r="G165" s="45">
        <v>0</v>
      </c>
      <c r="H165" s="46">
        <v>0.27144038264666781</v>
      </c>
      <c r="I165" s="46">
        <v>0</v>
      </c>
      <c r="J165" s="46">
        <v>0.27144038264666781</v>
      </c>
    </row>
    <row r="166" spans="1:10" ht="11.25" customHeight="1" x14ac:dyDescent="0.2">
      <c r="A166" s="55">
        <v>44652</v>
      </c>
      <c r="B166" s="45">
        <v>1372.75</v>
      </c>
      <c r="C166" s="45">
        <v>1745.3697852782132</v>
      </c>
      <c r="D166" s="45">
        <v>0</v>
      </c>
      <c r="E166" s="45">
        <v>0</v>
      </c>
      <c r="F166" s="45">
        <v>0</v>
      </c>
      <c r="G166" s="45">
        <v>0</v>
      </c>
      <c r="H166" s="46">
        <v>0.27144038264666781</v>
      </c>
      <c r="I166" s="46">
        <v>0</v>
      </c>
      <c r="J166" s="46">
        <v>0.27144038264666781</v>
      </c>
    </row>
    <row r="167" spans="1:10" ht="11.25" customHeight="1" x14ac:dyDescent="0.2">
      <c r="A167" s="55">
        <v>44682</v>
      </c>
      <c r="B167" s="45">
        <v>1372.75</v>
      </c>
      <c r="C167" s="45">
        <v>1745.3697852782132</v>
      </c>
      <c r="D167" s="45">
        <v>0</v>
      </c>
      <c r="E167" s="45">
        <v>0</v>
      </c>
      <c r="F167" s="45">
        <v>0</v>
      </c>
      <c r="G167" s="45">
        <v>0</v>
      </c>
      <c r="H167" s="46">
        <v>0.27144038264666781</v>
      </c>
      <c r="I167" s="46">
        <v>0</v>
      </c>
      <c r="J167" s="46">
        <v>0.27144038264666781</v>
      </c>
    </row>
    <row r="168" spans="1:10" ht="11.25" customHeight="1" x14ac:dyDescent="0.2">
      <c r="A168" s="55">
        <v>44713</v>
      </c>
      <c r="B168" s="45">
        <v>1372.75</v>
      </c>
      <c r="C168" s="45">
        <v>1745.3697852782132</v>
      </c>
      <c r="D168" s="45">
        <v>0</v>
      </c>
      <c r="E168" s="45">
        <v>0</v>
      </c>
      <c r="F168" s="45">
        <v>0</v>
      </c>
      <c r="G168" s="45">
        <v>0</v>
      </c>
      <c r="H168" s="46">
        <v>0.27144038264666781</v>
      </c>
      <c r="I168" s="46">
        <v>0</v>
      </c>
      <c r="J168" s="46">
        <v>0.27144038264666781</v>
      </c>
    </row>
    <row r="169" spans="1:10" ht="11.25" customHeight="1" x14ac:dyDescent="0.2">
      <c r="A169" s="55">
        <v>44743</v>
      </c>
      <c r="B169" s="45">
        <v>1372.75</v>
      </c>
      <c r="C169" s="45">
        <v>1745.3697852782132</v>
      </c>
      <c r="D169" s="45">
        <v>0</v>
      </c>
      <c r="E169" s="45">
        <v>0</v>
      </c>
      <c r="F169" s="45">
        <v>0</v>
      </c>
      <c r="G169" s="45">
        <v>0</v>
      </c>
      <c r="H169" s="46">
        <v>0.27144038264666781</v>
      </c>
      <c r="I169" s="46">
        <v>0</v>
      </c>
      <c r="J169" s="46">
        <v>0.27144038264666781</v>
      </c>
    </row>
    <row r="170" spans="1:10" ht="11.25" customHeight="1" x14ac:dyDescent="0.2">
      <c r="A170" s="55">
        <v>44774</v>
      </c>
      <c r="B170" s="45">
        <v>1372.75</v>
      </c>
      <c r="C170" s="45">
        <v>1745.3697852782132</v>
      </c>
      <c r="D170" s="45">
        <v>0</v>
      </c>
      <c r="E170" s="45">
        <v>0</v>
      </c>
      <c r="F170" s="45">
        <v>0</v>
      </c>
      <c r="G170" s="45">
        <v>0</v>
      </c>
      <c r="H170" s="46">
        <v>0.27144038264666781</v>
      </c>
      <c r="I170" s="46">
        <v>0</v>
      </c>
      <c r="J170" s="46">
        <v>0.27144038264666781</v>
      </c>
    </row>
    <row r="171" spans="1:10" ht="11.25" customHeight="1" x14ac:dyDescent="0.2">
      <c r="A171" s="54" t="s">
        <v>37</v>
      </c>
      <c r="B171" s="45">
        <v>0</v>
      </c>
      <c r="C171" s="45">
        <v>0</v>
      </c>
      <c r="D171" s="45">
        <v>13270.538040000001</v>
      </c>
      <c r="E171" s="45">
        <v>16517.986339189323</v>
      </c>
      <c r="F171" s="45">
        <v>1763.8490199999999</v>
      </c>
      <c r="G171" s="45">
        <v>1510.9999251813902</v>
      </c>
      <c r="H171" s="46">
        <v>0.24471112545707463</v>
      </c>
      <c r="I171" s="46">
        <v>-0.1433507584558511</v>
      </c>
      <c r="J171" s="46">
        <v>0.19918332502813141</v>
      </c>
    </row>
    <row r="172" spans="1:10" ht="11.25" customHeight="1" x14ac:dyDescent="0.2">
      <c r="A172" s="55">
        <v>44440</v>
      </c>
      <c r="B172" s="45">
        <v>0</v>
      </c>
      <c r="C172" s="45">
        <v>0</v>
      </c>
      <c r="D172" s="45">
        <v>1111.75782</v>
      </c>
      <c r="E172" s="45">
        <v>1383.817327367904</v>
      </c>
      <c r="F172" s="45">
        <v>147.76891000000001</v>
      </c>
      <c r="G172" s="45">
        <v>126.5861246753056</v>
      </c>
      <c r="H172" s="46">
        <v>0.24471112545707485</v>
      </c>
      <c r="I172" s="46">
        <v>-0.1433507584558511</v>
      </c>
      <c r="J172" s="46">
        <v>0.19918332502813141</v>
      </c>
    </row>
    <row r="173" spans="1:10" ht="11.25" customHeight="1" x14ac:dyDescent="0.2">
      <c r="A173" s="55">
        <v>44470</v>
      </c>
      <c r="B173" s="45">
        <v>0</v>
      </c>
      <c r="C173" s="45">
        <v>0</v>
      </c>
      <c r="D173" s="45">
        <v>1033.1385</v>
      </c>
      <c r="E173" s="45">
        <v>1285.9589850880341</v>
      </c>
      <c r="F173" s="45">
        <v>137.31924999999998</v>
      </c>
      <c r="G173" s="45">
        <v>117.63443136191135</v>
      </c>
      <c r="H173" s="46">
        <v>0.24471112545707485</v>
      </c>
      <c r="I173" s="46">
        <v>-0.1433507584558511</v>
      </c>
      <c r="J173" s="46">
        <v>0.19918332502813141</v>
      </c>
    </row>
    <row r="174" spans="1:10" ht="11.25" customHeight="1" x14ac:dyDescent="0.2">
      <c r="A174" s="55">
        <v>44501</v>
      </c>
      <c r="B174" s="45">
        <v>0</v>
      </c>
      <c r="C174" s="45">
        <v>0</v>
      </c>
      <c r="D174" s="45">
        <v>1093.6149</v>
      </c>
      <c r="E174" s="45">
        <v>1361.2346329956263</v>
      </c>
      <c r="F174" s="45">
        <v>145.35745</v>
      </c>
      <c r="G174" s="45">
        <v>124.52034929529154</v>
      </c>
      <c r="H174" s="46">
        <v>0.24471112545707463</v>
      </c>
      <c r="I174" s="46">
        <v>-0.1433507584558511</v>
      </c>
      <c r="J174" s="46">
        <v>0.19918332502813141</v>
      </c>
    </row>
    <row r="175" spans="1:10" ht="11.25" customHeight="1" x14ac:dyDescent="0.2">
      <c r="A175" s="55">
        <v>44531</v>
      </c>
      <c r="B175" s="45">
        <v>0</v>
      </c>
      <c r="C175" s="45">
        <v>0</v>
      </c>
      <c r="D175" s="45">
        <v>1192.3930200000002</v>
      </c>
      <c r="E175" s="45">
        <v>1484.1848579113605</v>
      </c>
      <c r="F175" s="45">
        <v>158.48651000000001</v>
      </c>
      <c r="G175" s="45">
        <v>135.76734858647916</v>
      </c>
      <c r="H175" s="46">
        <v>0.24471112545707485</v>
      </c>
      <c r="I175" s="46">
        <v>-0.14335075845585121</v>
      </c>
      <c r="J175" s="46">
        <v>0.19918332502813141</v>
      </c>
    </row>
    <row r="176" spans="1:10" ht="11.25" customHeight="1" x14ac:dyDescent="0.2">
      <c r="A176" s="55">
        <v>44562</v>
      </c>
      <c r="B176" s="45">
        <v>0</v>
      </c>
      <c r="C176" s="45">
        <v>0</v>
      </c>
      <c r="D176" s="45">
        <v>1194.4089000000001</v>
      </c>
      <c r="E176" s="45">
        <v>1486.6940461749468</v>
      </c>
      <c r="F176" s="45">
        <v>158.75445000000002</v>
      </c>
      <c r="G176" s="45">
        <v>135.99687918425852</v>
      </c>
      <c r="H176" s="46">
        <v>0.24471112545707485</v>
      </c>
      <c r="I176" s="46">
        <v>-0.1433507584558511</v>
      </c>
      <c r="J176" s="46">
        <v>0.19918332502813119</v>
      </c>
    </row>
    <row r="177" spans="1:10" ht="11.25" customHeight="1" x14ac:dyDescent="0.2">
      <c r="A177" s="55">
        <v>44593</v>
      </c>
      <c r="B177" s="45">
        <v>0</v>
      </c>
      <c r="C177" s="45">
        <v>0</v>
      </c>
      <c r="D177" s="45">
        <v>1112.7657600000002</v>
      </c>
      <c r="E177" s="45">
        <v>1385.0719214996973</v>
      </c>
      <c r="F177" s="45">
        <v>147.90288000000001</v>
      </c>
      <c r="G177" s="45">
        <v>126.70088997419528</v>
      </c>
      <c r="H177" s="46">
        <v>0.24471112545707463</v>
      </c>
      <c r="I177" s="46">
        <v>-0.1433507584558511</v>
      </c>
      <c r="J177" s="46">
        <v>0.19918332502813119</v>
      </c>
    </row>
    <row r="178" spans="1:10" ht="11.25" customHeight="1" x14ac:dyDescent="0.2">
      <c r="A178" s="55">
        <v>44621</v>
      </c>
      <c r="B178" s="45">
        <v>0</v>
      </c>
      <c r="C178" s="45">
        <v>0</v>
      </c>
      <c r="D178" s="45">
        <v>1294.19496</v>
      </c>
      <c r="E178" s="45">
        <v>1610.8988652224741</v>
      </c>
      <c r="F178" s="45">
        <v>172.01748000000001</v>
      </c>
      <c r="G178" s="45">
        <v>147.3586437743358</v>
      </c>
      <c r="H178" s="46">
        <v>0.24471112545707485</v>
      </c>
      <c r="I178" s="46">
        <v>-0.1433507584558511</v>
      </c>
      <c r="J178" s="46">
        <v>0.19918332502813163</v>
      </c>
    </row>
    <row r="179" spans="1:10" ht="11.25" customHeight="1" x14ac:dyDescent="0.2">
      <c r="A179" s="55">
        <v>44652</v>
      </c>
      <c r="B179" s="45">
        <v>0</v>
      </c>
      <c r="C179" s="45">
        <v>0</v>
      </c>
      <c r="D179" s="45">
        <v>1035.1543799999999</v>
      </c>
      <c r="E179" s="45">
        <v>1288.4681733516204</v>
      </c>
      <c r="F179" s="45">
        <v>137.58718999999999</v>
      </c>
      <c r="G179" s="45">
        <v>117.8639619596907</v>
      </c>
      <c r="H179" s="46">
        <v>0.24471112545707485</v>
      </c>
      <c r="I179" s="46">
        <v>-0.1433507584558511</v>
      </c>
      <c r="J179" s="46">
        <v>0.19918332502813141</v>
      </c>
    </row>
    <row r="180" spans="1:10" ht="11.25" customHeight="1" x14ac:dyDescent="0.2">
      <c r="A180" s="55">
        <v>44682</v>
      </c>
      <c r="B180" s="45">
        <v>0</v>
      </c>
      <c r="C180" s="45">
        <v>0</v>
      </c>
      <c r="D180" s="45">
        <v>1094.6228400000002</v>
      </c>
      <c r="E180" s="45">
        <v>1362.4892271274198</v>
      </c>
      <c r="F180" s="45">
        <v>145.49142000000001</v>
      </c>
      <c r="G180" s="45">
        <v>124.63511459418122</v>
      </c>
      <c r="H180" s="46">
        <v>0.24471112545707485</v>
      </c>
      <c r="I180" s="46">
        <v>-0.1433507584558511</v>
      </c>
      <c r="J180" s="46">
        <v>0.19918332502813141</v>
      </c>
    </row>
    <row r="181" spans="1:10" ht="11.25" customHeight="1" x14ac:dyDescent="0.2">
      <c r="A181" s="55">
        <v>44713</v>
      </c>
      <c r="B181" s="45">
        <v>0</v>
      </c>
      <c r="C181" s="45">
        <v>0</v>
      </c>
      <c r="D181" s="45">
        <v>1022.0511600000001</v>
      </c>
      <c r="E181" s="45">
        <v>1272.1584496383089</v>
      </c>
      <c r="F181" s="45">
        <v>135.84558000000001</v>
      </c>
      <c r="G181" s="45">
        <v>116.37201307412499</v>
      </c>
      <c r="H181" s="46">
        <v>0.24471112545707463</v>
      </c>
      <c r="I181" s="46">
        <v>-0.14335075845585121</v>
      </c>
      <c r="J181" s="46">
        <v>0.19918332502813119</v>
      </c>
    </row>
    <row r="182" spans="1:10" ht="11.25" customHeight="1" x14ac:dyDescent="0.2">
      <c r="A182" s="55">
        <v>44743</v>
      </c>
      <c r="B182" s="45">
        <v>0</v>
      </c>
      <c r="C182" s="45">
        <v>0</v>
      </c>
      <c r="D182" s="45">
        <v>1043.2178999999999</v>
      </c>
      <c r="E182" s="45">
        <v>1298.504926405966</v>
      </c>
      <c r="F182" s="45">
        <v>138.65894999999998</v>
      </c>
      <c r="G182" s="45">
        <v>118.78208435080805</v>
      </c>
      <c r="H182" s="46">
        <v>0.24471112545707485</v>
      </c>
      <c r="I182" s="46">
        <v>-0.1433507584558511</v>
      </c>
      <c r="J182" s="46">
        <v>0.19918332502813141</v>
      </c>
    </row>
    <row r="183" spans="1:10" ht="11.25" customHeight="1" x14ac:dyDescent="0.2">
      <c r="A183" s="55">
        <v>44774</v>
      </c>
      <c r="B183" s="45">
        <v>0</v>
      </c>
      <c r="C183" s="45">
        <v>0</v>
      </c>
      <c r="D183" s="45">
        <v>1043.2178999999999</v>
      </c>
      <c r="E183" s="45">
        <v>1298.504926405966</v>
      </c>
      <c r="F183" s="45">
        <v>138.65894999999998</v>
      </c>
      <c r="G183" s="45">
        <v>118.78208435080805</v>
      </c>
      <c r="H183" s="46">
        <v>0.24471112545707485</v>
      </c>
      <c r="I183" s="46">
        <v>-0.1433507584558511</v>
      </c>
      <c r="J183" s="46">
        <v>0.19918332502813141</v>
      </c>
    </row>
    <row r="184" spans="1:10" ht="11.25" customHeight="1" x14ac:dyDescent="0.2">
      <c r="A184" s="50" t="s">
        <v>34</v>
      </c>
      <c r="B184" s="45">
        <v>8756425.4499999993</v>
      </c>
      <c r="C184" s="45">
        <v>11133272.924765017</v>
      </c>
      <c r="D184" s="45">
        <v>24267291.043229997</v>
      </c>
      <c r="E184" s="45">
        <v>31584199.049099777</v>
      </c>
      <c r="F184" s="45">
        <v>22354391.078870002</v>
      </c>
      <c r="G184" s="45">
        <v>19149872.162895277</v>
      </c>
      <c r="H184" s="46">
        <v>0.29353920485061269</v>
      </c>
      <c r="I184" s="46">
        <v>-0.14335075845585099</v>
      </c>
      <c r="J184" s="46">
        <v>0.11718054027417524</v>
      </c>
    </row>
    <row r="185" spans="1:10" ht="11.25" customHeight="1" x14ac:dyDescent="0.2">
      <c r="A185" s="51" t="s">
        <v>25</v>
      </c>
      <c r="B185" s="45">
        <v>8756425.4499999993</v>
      </c>
      <c r="C185" s="45">
        <v>11133272.924765017</v>
      </c>
      <c r="D185" s="45">
        <v>24267291.043229997</v>
      </c>
      <c r="E185" s="45">
        <v>31584199.049099777</v>
      </c>
      <c r="F185" s="45">
        <v>22354391.078870002</v>
      </c>
      <c r="G185" s="45">
        <v>19149872.162895277</v>
      </c>
      <c r="H185" s="46">
        <v>0.29353920485061269</v>
      </c>
      <c r="I185" s="46">
        <v>-0.14335075845585099</v>
      </c>
      <c r="J185" s="46">
        <v>0.11718054027417524</v>
      </c>
    </row>
    <row r="186" spans="1:10" ht="11.25" customHeight="1" x14ac:dyDescent="0.2">
      <c r="A186" s="52" t="s">
        <v>25</v>
      </c>
      <c r="B186" s="45">
        <v>8756425.4499999993</v>
      </c>
      <c r="C186" s="45">
        <v>11133272.924765017</v>
      </c>
      <c r="D186" s="45">
        <v>24267291.043229997</v>
      </c>
      <c r="E186" s="45">
        <v>31584199.049099777</v>
      </c>
      <c r="F186" s="45">
        <v>22354391.078870002</v>
      </c>
      <c r="G186" s="45">
        <v>19149872.162895277</v>
      </c>
      <c r="H186" s="46">
        <v>0.29353920485061269</v>
      </c>
      <c r="I186" s="46">
        <v>-0.14335075845585099</v>
      </c>
      <c r="J186" s="46">
        <v>0.11718054027417524</v>
      </c>
    </row>
    <row r="187" spans="1:10" ht="11.25" customHeight="1" x14ac:dyDescent="0.2">
      <c r="A187" s="53" t="s">
        <v>25</v>
      </c>
      <c r="B187" s="45">
        <v>8756425.4499999993</v>
      </c>
      <c r="C187" s="45">
        <v>11133272.924765017</v>
      </c>
      <c r="D187" s="45">
        <v>24267291.043229997</v>
      </c>
      <c r="E187" s="45">
        <v>31584199.049099777</v>
      </c>
      <c r="F187" s="45">
        <v>22354391.078870002</v>
      </c>
      <c r="G187" s="45">
        <v>19149872.162895277</v>
      </c>
      <c r="H187" s="46">
        <v>0.29353920485061269</v>
      </c>
      <c r="I187" s="46">
        <v>-0.14335075845585099</v>
      </c>
      <c r="J187" s="46">
        <v>0.11718054027417524</v>
      </c>
    </row>
    <row r="188" spans="1:10" ht="11.25" customHeight="1" x14ac:dyDescent="0.2">
      <c r="A188" s="54" t="s">
        <v>38</v>
      </c>
      <c r="B188" s="45">
        <v>0</v>
      </c>
      <c r="C188" s="45">
        <v>0</v>
      </c>
      <c r="D188" s="45">
        <v>14226033.508710001</v>
      </c>
      <c r="E188" s="45">
        <v>19085734.082303062</v>
      </c>
      <c r="F188" s="45">
        <v>21019760.771609999</v>
      </c>
      <c r="G188" s="45">
        <v>18006562.122439161</v>
      </c>
      <c r="H188" s="46">
        <v>0.34160615259465477</v>
      </c>
      <c r="I188" s="46">
        <v>-0.1433507584558511</v>
      </c>
      <c r="J188" s="46">
        <v>5.2389283945098564E-2</v>
      </c>
    </row>
    <row r="189" spans="1:10" ht="11.25" customHeight="1" x14ac:dyDescent="0.2">
      <c r="A189" s="55">
        <v>44440</v>
      </c>
      <c r="B189" s="45">
        <v>0</v>
      </c>
      <c r="C189" s="45">
        <v>0</v>
      </c>
      <c r="D189" s="45">
        <v>1166626.68111</v>
      </c>
      <c r="E189" s="45">
        <v>1565153.5331582581</v>
      </c>
      <c r="F189" s="45">
        <v>1723756.22001</v>
      </c>
      <c r="G189" s="45">
        <v>1476654.4584785756</v>
      </c>
      <c r="H189" s="46">
        <v>0.34160615259465454</v>
      </c>
      <c r="I189" s="46">
        <v>-0.1433507584558511</v>
      </c>
      <c r="J189" s="46">
        <v>5.2389283945098564E-2</v>
      </c>
    </row>
    <row r="190" spans="1:10" ht="11.25" customHeight="1" x14ac:dyDescent="0.2">
      <c r="A190" s="55">
        <v>44470</v>
      </c>
      <c r="B190" s="45">
        <v>0</v>
      </c>
      <c r="C190" s="45">
        <v>0</v>
      </c>
      <c r="D190" s="45">
        <v>1198682.3342500001</v>
      </c>
      <c r="E190" s="45">
        <v>1608159.5946363222</v>
      </c>
      <c r="F190" s="45">
        <v>1771120.24175</v>
      </c>
      <c r="G190" s="45">
        <v>1517228.8117786271</v>
      </c>
      <c r="H190" s="46">
        <v>0.34160615259465454</v>
      </c>
      <c r="I190" s="46">
        <v>-0.1433507584558511</v>
      </c>
      <c r="J190" s="46">
        <v>5.2389283945098564E-2</v>
      </c>
    </row>
    <row r="191" spans="1:10" ht="11.25" customHeight="1" x14ac:dyDescent="0.2">
      <c r="A191" s="55">
        <v>44501</v>
      </c>
      <c r="B191" s="45">
        <v>0</v>
      </c>
      <c r="C191" s="45">
        <v>0</v>
      </c>
      <c r="D191" s="45">
        <v>1201520.93994</v>
      </c>
      <c r="E191" s="45">
        <v>1611967.8854948166</v>
      </c>
      <c r="F191" s="45">
        <v>1775314.4405400001</v>
      </c>
      <c r="G191" s="45">
        <v>1520821.768990966</v>
      </c>
      <c r="H191" s="46">
        <v>0.34160615259465477</v>
      </c>
      <c r="I191" s="46">
        <v>-0.1433507584558511</v>
      </c>
      <c r="J191" s="46">
        <v>5.2389283945098786E-2</v>
      </c>
    </row>
    <row r="192" spans="1:10" ht="11.25" customHeight="1" x14ac:dyDescent="0.2">
      <c r="A192" s="55">
        <v>44531</v>
      </c>
      <c r="B192" s="45">
        <v>0</v>
      </c>
      <c r="C192" s="45">
        <v>0</v>
      </c>
      <c r="D192" s="45">
        <v>1111038.9895200001</v>
      </c>
      <c r="E192" s="45">
        <v>1490576.7441125801</v>
      </c>
      <c r="F192" s="45">
        <v>1641622.2943200001</v>
      </c>
      <c r="G192" s="45">
        <v>1406294.4933311937</v>
      </c>
      <c r="H192" s="46">
        <v>0.34160615259465454</v>
      </c>
      <c r="I192" s="46">
        <v>-0.1433507584558511</v>
      </c>
      <c r="J192" s="46">
        <v>5.2389283945098786E-2</v>
      </c>
    </row>
    <row r="193" spans="1:10" ht="11.25" customHeight="1" x14ac:dyDescent="0.2">
      <c r="A193" s="55">
        <v>44562</v>
      </c>
      <c r="B193" s="45">
        <v>0</v>
      </c>
      <c r="C193" s="45">
        <v>0</v>
      </c>
      <c r="D193" s="45">
        <v>1115932.44942</v>
      </c>
      <c r="E193" s="45">
        <v>1497141.8400218952</v>
      </c>
      <c r="F193" s="45">
        <v>1648852.6552200001</v>
      </c>
      <c r="G193" s="45">
        <v>1412488.376512269</v>
      </c>
      <c r="H193" s="46">
        <v>0.34160615259465477</v>
      </c>
      <c r="I193" s="46">
        <v>-0.1433507584558511</v>
      </c>
      <c r="J193" s="46">
        <v>5.2389283945098564E-2</v>
      </c>
    </row>
    <row r="194" spans="1:10" ht="11.25" customHeight="1" x14ac:dyDescent="0.2">
      <c r="A194" s="55">
        <v>44593</v>
      </c>
      <c r="B194" s="45">
        <v>0</v>
      </c>
      <c r="C194" s="45">
        <v>0</v>
      </c>
      <c r="D194" s="45">
        <v>1144060.5501700002</v>
      </c>
      <c r="E194" s="45">
        <v>1534878.6730488976</v>
      </c>
      <c r="F194" s="45">
        <v>1690413.49847</v>
      </c>
      <c r="G194" s="45">
        <v>1448091.4413603167</v>
      </c>
      <c r="H194" s="46">
        <v>0.34160615259465454</v>
      </c>
      <c r="I194" s="46">
        <v>-0.1433507584558511</v>
      </c>
      <c r="J194" s="46">
        <v>5.2389283945098564E-2</v>
      </c>
    </row>
    <row r="195" spans="1:10" ht="11.25" customHeight="1" x14ac:dyDescent="0.2">
      <c r="A195" s="55">
        <v>44621</v>
      </c>
      <c r="B195" s="45">
        <v>0</v>
      </c>
      <c r="C195" s="45">
        <v>0</v>
      </c>
      <c r="D195" s="45">
        <v>1325211.2312100001</v>
      </c>
      <c r="E195" s="45">
        <v>1777911.5412788736</v>
      </c>
      <c r="F195" s="45">
        <v>1958073.76911</v>
      </c>
      <c r="G195" s="45">
        <v>1677382.4091955745</v>
      </c>
      <c r="H195" s="46">
        <v>0.34160615259465454</v>
      </c>
      <c r="I195" s="46">
        <v>-0.1433507584558511</v>
      </c>
      <c r="J195" s="46">
        <v>5.2389283945098786E-2</v>
      </c>
    </row>
    <row r="196" spans="1:10" ht="11.25" customHeight="1" x14ac:dyDescent="0.2">
      <c r="A196" s="55">
        <v>44652</v>
      </c>
      <c r="B196" s="45">
        <v>0</v>
      </c>
      <c r="C196" s="45">
        <v>0</v>
      </c>
      <c r="D196" s="45">
        <v>1207388.5583200001</v>
      </c>
      <c r="E196" s="45">
        <v>1619839.9184145019</v>
      </c>
      <c r="F196" s="45">
        <v>1783984.17512</v>
      </c>
      <c r="G196" s="45">
        <v>1528248.6905433121</v>
      </c>
      <c r="H196" s="46">
        <v>0.34160615259465454</v>
      </c>
      <c r="I196" s="46">
        <v>-0.1433507584558511</v>
      </c>
      <c r="J196" s="46">
        <v>5.2389283945098564E-2</v>
      </c>
    </row>
    <row r="197" spans="1:10" ht="11.25" customHeight="1" x14ac:dyDescent="0.2">
      <c r="A197" s="55">
        <v>44682</v>
      </c>
      <c r="B197" s="45">
        <v>0</v>
      </c>
      <c r="C197" s="45">
        <v>0</v>
      </c>
      <c r="D197" s="45">
        <v>1253550.8314</v>
      </c>
      <c r="E197" s="45">
        <v>1681771.5079963845</v>
      </c>
      <c r="F197" s="45">
        <v>1852191.5174</v>
      </c>
      <c r="G197" s="45">
        <v>1586678.4585752161</v>
      </c>
      <c r="H197" s="46">
        <v>0.34160615259465454</v>
      </c>
      <c r="I197" s="46">
        <v>-0.14335075845585121</v>
      </c>
      <c r="J197" s="46">
        <v>5.2389283945098564E-2</v>
      </c>
    </row>
    <row r="198" spans="1:10" ht="11.25" customHeight="1" x14ac:dyDescent="0.2">
      <c r="A198" s="55">
        <v>44713</v>
      </c>
      <c r="B198" s="45">
        <v>0</v>
      </c>
      <c r="C198" s="45">
        <v>0</v>
      </c>
      <c r="D198" s="45">
        <v>1177709.45655</v>
      </c>
      <c r="E198" s="45">
        <v>1580022.252876387</v>
      </c>
      <c r="F198" s="45">
        <v>1740131.64105</v>
      </c>
      <c r="G198" s="45">
        <v>1490682.4504924577</v>
      </c>
      <c r="H198" s="46">
        <v>0.34160615259465454</v>
      </c>
      <c r="I198" s="46">
        <v>-0.1433507584558511</v>
      </c>
      <c r="J198" s="46">
        <v>5.2389283945098564E-2</v>
      </c>
    </row>
    <row r="199" spans="1:10" ht="11.25" customHeight="1" x14ac:dyDescent="0.2">
      <c r="A199" s="55">
        <v>44743</v>
      </c>
      <c r="B199" s="45">
        <v>0</v>
      </c>
      <c r="C199" s="45">
        <v>0</v>
      </c>
      <c r="D199" s="45">
        <v>1162155.7434100001</v>
      </c>
      <c r="E199" s="45">
        <v>1559155.2956320709</v>
      </c>
      <c r="F199" s="45">
        <v>1717150.15931</v>
      </c>
      <c r="G199" s="45">
        <v>1470995.3815903259</v>
      </c>
      <c r="H199" s="46">
        <v>0.34160615259465454</v>
      </c>
      <c r="I199" s="46">
        <v>-0.14335075845585121</v>
      </c>
      <c r="J199" s="46">
        <v>5.2389283945098564E-2</v>
      </c>
    </row>
    <row r="200" spans="1:10" ht="11.25" customHeight="1" x14ac:dyDescent="0.2">
      <c r="A200" s="55">
        <v>44774</v>
      </c>
      <c r="B200" s="45">
        <v>0</v>
      </c>
      <c r="C200" s="45">
        <v>0</v>
      </c>
      <c r="D200" s="45">
        <v>1162155.7434100001</v>
      </c>
      <c r="E200" s="45">
        <v>1559155.2956320709</v>
      </c>
      <c r="F200" s="45">
        <v>1717150.15931</v>
      </c>
      <c r="G200" s="45">
        <v>1470995.3815903259</v>
      </c>
      <c r="H200" s="46">
        <v>0.34160615259465454</v>
      </c>
      <c r="I200" s="46">
        <v>-0.14335075845585121</v>
      </c>
      <c r="J200" s="46">
        <v>5.2389283945098564E-2</v>
      </c>
    </row>
    <row r="201" spans="1:10" ht="11.25" customHeight="1" x14ac:dyDescent="0.2">
      <c r="A201" s="54" t="s">
        <v>25</v>
      </c>
      <c r="B201" s="45">
        <v>8756425.4499999993</v>
      </c>
      <c r="C201" s="45">
        <v>11133272.924765017</v>
      </c>
      <c r="D201" s="45">
        <v>0</v>
      </c>
      <c r="E201" s="45">
        <v>0</v>
      </c>
      <c r="F201" s="45">
        <v>0</v>
      </c>
      <c r="G201" s="45">
        <v>0</v>
      </c>
      <c r="H201" s="46">
        <v>0.27144038264666759</v>
      </c>
      <c r="I201" s="46">
        <v>0</v>
      </c>
      <c r="J201" s="46">
        <v>0.27144038264666759</v>
      </c>
    </row>
    <row r="202" spans="1:10" ht="11.25" customHeight="1" x14ac:dyDescent="0.2">
      <c r="A202" s="55">
        <v>44440</v>
      </c>
      <c r="B202" s="45">
        <v>722312.14999999991</v>
      </c>
      <c r="C202" s="45">
        <v>918376.83638633718</v>
      </c>
      <c r="D202" s="45">
        <v>0</v>
      </c>
      <c r="E202" s="45">
        <v>0</v>
      </c>
      <c r="F202" s="45">
        <v>0</v>
      </c>
      <c r="G202" s="45">
        <v>0</v>
      </c>
      <c r="H202" s="46">
        <v>0.27144038264666781</v>
      </c>
      <c r="I202" s="46">
        <v>0</v>
      </c>
      <c r="J202" s="46">
        <v>0.27144038264666781</v>
      </c>
    </row>
    <row r="203" spans="1:10" ht="11.25" customHeight="1" x14ac:dyDescent="0.2">
      <c r="A203" s="55">
        <v>44470</v>
      </c>
      <c r="B203" s="45">
        <v>728092.14999999991</v>
      </c>
      <c r="C203" s="45">
        <v>925725.761798035</v>
      </c>
      <c r="D203" s="45">
        <v>0</v>
      </c>
      <c r="E203" s="45">
        <v>0</v>
      </c>
      <c r="F203" s="45">
        <v>0</v>
      </c>
      <c r="G203" s="45">
        <v>0</v>
      </c>
      <c r="H203" s="46">
        <v>0.27144038264666781</v>
      </c>
      <c r="I203" s="46">
        <v>0</v>
      </c>
      <c r="J203" s="46">
        <v>0.27144038264666781</v>
      </c>
    </row>
    <row r="204" spans="1:10" ht="11.25" customHeight="1" x14ac:dyDescent="0.2">
      <c r="A204" s="55">
        <v>44501</v>
      </c>
      <c r="B204" s="45">
        <v>719306.54999999993</v>
      </c>
      <c r="C204" s="45">
        <v>914555.39517225442</v>
      </c>
      <c r="D204" s="45">
        <v>0</v>
      </c>
      <c r="E204" s="45">
        <v>0</v>
      </c>
      <c r="F204" s="45">
        <v>0</v>
      </c>
      <c r="G204" s="45">
        <v>0</v>
      </c>
      <c r="H204" s="46">
        <v>0.27144038264666781</v>
      </c>
      <c r="I204" s="46">
        <v>0</v>
      </c>
      <c r="J204" s="46">
        <v>0.27144038264666781</v>
      </c>
    </row>
    <row r="205" spans="1:10" ht="11.25" customHeight="1" x14ac:dyDescent="0.2">
      <c r="A205" s="55">
        <v>44531</v>
      </c>
      <c r="B205" s="45">
        <v>720693.75</v>
      </c>
      <c r="C205" s="45">
        <v>916319.13727106189</v>
      </c>
      <c r="D205" s="45">
        <v>0</v>
      </c>
      <c r="E205" s="45">
        <v>0</v>
      </c>
      <c r="F205" s="45">
        <v>0</v>
      </c>
      <c r="G205" s="45">
        <v>0</v>
      </c>
      <c r="H205" s="46">
        <v>0.27144038264666781</v>
      </c>
      <c r="I205" s="46">
        <v>0</v>
      </c>
      <c r="J205" s="46">
        <v>0.27144038264666781</v>
      </c>
    </row>
    <row r="206" spans="1:10" ht="11.25" customHeight="1" x14ac:dyDescent="0.2">
      <c r="A206" s="55">
        <v>44562</v>
      </c>
      <c r="B206" s="45">
        <v>721170.6</v>
      </c>
      <c r="C206" s="45">
        <v>916925.42361752689</v>
      </c>
      <c r="D206" s="45">
        <v>0</v>
      </c>
      <c r="E206" s="45">
        <v>0</v>
      </c>
      <c r="F206" s="45">
        <v>0</v>
      </c>
      <c r="G206" s="45">
        <v>0</v>
      </c>
      <c r="H206" s="46">
        <v>0.27144038264666759</v>
      </c>
      <c r="I206" s="46">
        <v>0</v>
      </c>
      <c r="J206" s="46">
        <v>0.27144038264666759</v>
      </c>
    </row>
    <row r="207" spans="1:10" ht="11.25" customHeight="1" x14ac:dyDescent="0.2">
      <c r="A207" s="55">
        <v>44593</v>
      </c>
      <c r="B207" s="45">
        <v>736256.39999999991</v>
      </c>
      <c r="C207" s="45">
        <v>936106.11894205806</v>
      </c>
      <c r="D207" s="45">
        <v>0</v>
      </c>
      <c r="E207" s="45">
        <v>0</v>
      </c>
      <c r="F207" s="45">
        <v>0</v>
      </c>
      <c r="G207" s="45">
        <v>0</v>
      </c>
      <c r="H207" s="46">
        <v>0.27144038264666781</v>
      </c>
      <c r="I207" s="46">
        <v>0</v>
      </c>
      <c r="J207" s="46">
        <v>0.27144038264666781</v>
      </c>
    </row>
    <row r="208" spans="1:10" ht="11.25" customHeight="1" x14ac:dyDescent="0.2">
      <c r="A208" s="55">
        <v>44621</v>
      </c>
      <c r="B208" s="45">
        <v>741920.79999999993</v>
      </c>
      <c r="C208" s="45">
        <v>943308.06584552175</v>
      </c>
      <c r="D208" s="45">
        <v>0</v>
      </c>
      <c r="E208" s="45">
        <v>0</v>
      </c>
      <c r="F208" s="45">
        <v>0</v>
      </c>
      <c r="G208" s="45">
        <v>0</v>
      </c>
      <c r="H208" s="46">
        <v>0.27144038264666781</v>
      </c>
      <c r="I208" s="46">
        <v>0</v>
      </c>
      <c r="J208" s="46">
        <v>0.27144038264666781</v>
      </c>
    </row>
    <row r="209" spans="1:10" ht="11.25" customHeight="1" x14ac:dyDescent="0.2">
      <c r="A209" s="55">
        <v>44652</v>
      </c>
      <c r="B209" s="45">
        <v>738929.64999999991</v>
      </c>
      <c r="C209" s="45">
        <v>939504.99694496824</v>
      </c>
      <c r="D209" s="45">
        <v>0</v>
      </c>
      <c r="E209" s="45">
        <v>0</v>
      </c>
      <c r="F209" s="45">
        <v>0</v>
      </c>
      <c r="G209" s="45">
        <v>0</v>
      </c>
      <c r="H209" s="46">
        <v>0.27144038264666781</v>
      </c>
      <c r="I209" s="46">
        <v>0</v>
      </c>
      <c r="J209" s="46">
        <v>0.27144038264666781</v>
      </c>
    </row>
    <row r="210" spans="1:10" ht="11.25" customHeight="1" x14ac:dyDescent="0.2">
      <c r="A210" s="55">
        <v>44682</v>
      </c>
      <c r="B210" s="45">
        <v>736054.1</v>
      </c>
      <c r="C210" s="45">
        <v>935848.90655264864</v>
      </c>
      <c r="D210" s="45">
        <v>0</v>
      </c>
      <c r="E210" s="45">
        <v>0</v>
      </c>
      <c r="F210" s="45">
        <v>0</v>
      </c>
      <c r="G210" s="45">
        <v>0</v>
      </c>
      <c r="H210" s="46">
        <v>0.27144038264666781</v>
      </c>
      <c r="I210" s="46">
        <v>0</v>
      </c>
      <c r="J210" s="46">
        <v>0.27144038264666781</v>
      </c>
    </row>
    <row r="211" spans="1:10" ht="11.25" customHeight="1" x14ac:dyDescent="0.2">
      <c r="A211" s="55">
        <v>44713</v>
      </c>
      <c r="B211" s="45">
        <v>726835</v>
      </c>
      <c r="C211" s="45">
        <v>924127.37052099069</v>
      </c>
      <c r="D211" s="45">
        <v>0</v>
      </c>
      <c r="E211" s="45">
        <v>0</v>
      </c>
      <c r="F211" s="45">
        <v>0</v>
      </c>
      <c r="G211" s="45">
        <v>0</v>
      </c>
      <c r="H211" s="46">
        <v>0.27144038264666759</v>
      </c>
      <c r="I211" s="46">
        <v>0</v>
      </c>
      <c r="J211" s="46">
        <v>0.27144038264666759</v>
      </c>
    </row>
    <row r="212" spans="1:10" ht="11.25" customHeight="1" x14ac:dyDescent="0.2">
      <c r="A212" s="55">
        <v>44743</v>
      </c>
      <c r="B212" s="45">
        <v>732427.14999999991</v>
      </c>
      <c r="C212" s="45">
        <v>931237.45585680823</v>
      </c>
      <c r="D212" s="45">
        <v>0</v>
      </c>
      <c r="E212" s="45">
        <v>0</v>
      </c>
      <c r="F212" s="45">
        <v>0</v>
      </c>
      <c r="G212" s="45">
        <v>0</v>
      </c>
      <c r="H212" s="46">
        <v>0.27144038264666781</v>
      </c>
      <c r="I212" s="46">
        <v>0</v>
      </c>
      <c r="J212" s="46">
        <v>0.27144038264666781</v>
      </c>
    </row>
    <row r="213" spans="1:10" ht="11.25" customHeight="1" x14ac:dyDescent="0.2">
      <c r="A213" s="55">
        <v>44774</v>
      </c>
      <c r="B213" s="45">
        <v>732427.14999999991</v>
      </c>
      <c r="C213" s="45">
        <v>931237.45585680823</v>
      </c>
      <c r="D213" s="45">
        <v>0</v>
      </c>
      <c r="E213" s="45">
        <v>0</v>
      </c>
      <c r="F213" s="45">
        <v>0</v>
      </c>
      <c r="G213" s="45">
        <v>0</v>
      </c>
      <c r="H213" s="46">
        <v>0.27144038264666781</v>
      </c>
      <c r="I213" s="46">
        <v>0</v>
      </c>
      <c r="J213" s="46">
        <v>0.27144038264666781</v>
      </c>
    </row>
    <row r="214" spans="1:10" ht="11.25" customHeight="1" x14ac:dyDescent="0.2">
      <c r="A214" s="54" t="s">
        <v>37</v>
      </c>
      <c r="B214" s="45">
        <v>0</v>
      </c>
      <c r="C214" s="45">
        <v>0</v>
      </c>
      <c r="D214" s="45">
        <v>10041257.53452</v>
      </c>
      <c r="E214" s="45">
        <v>12498464.966796722</v>
      </c>
      <c r="F214" s="45">
        <v>1334630.3072599999</v>
      </c>
      <c r="G214" s="45">
        <v>1143310.0404561134</v>
      </c>
      <c r="H214" s="46">
        <v>0.24471112545707485</v>
      </c>
      <c r="I214" s="46">
        <v>-0.14335075845585099</v>
      </c>
      <c r="J214" s="46">
        <v>0.19918332502813163</v>
      </c>
    </row>
    <row r="215" spans="1:10" ht="11.25" customHeight="1" x14ac:dyDescent="0.2">
      <c r="A215" s="55">
        <v>44440</v>
      </c>
      <c r="B215" s="45">
        <v>0</v>
      </c>
      <c r="C215" s="45">
        <v>0</v>
      </c>
      <c r="D215" s="45">
        <v>818215.45380000002</v>
      </c>
      <c r="E215" s="45">
        <v>1018441.8783657692</v>
      </c>
      <c r="F215" s="45">
        <v>108752.8269</v>
      </c>
      <c r="G215" s="45">
        <v>93163.026679667106</v>
      </c>
      <c r="H215" s="46">
        <v>0.24471112545707485</v>
      </c>
      <c r="I215" s="46">
        <v>-0.14335075845585121</v>
      </c>
      <c r="J215" s="46">
        <v>0.19918332502813141</v>
      </c>
    </row>
    <row r="216" spans="1:10" ht="11.25" customHeight="1" x14ac:dyDescent="0.2">
      <c r="A216" s="55">
        <v>44470</v>
      </c>
      <c r="B216" s="45">
        <v>0</v>
      </c>
      <c r="C216" s="45">
        <v>0</v>
      </c>
      <c r="D216" s="45">
        <v>796269.57617999997</v>
      </c>
      <c r="E216" s="45">
        <v>991125.60033423582</v>
      </c>
      <c r="F216" s="45">
        <v>105835.89808999999</v>
      </c>
      <c r="G216" s="45">
        <v>90664.241826942321</v>
      </c>
      <c r="H216" s="46">
        <v>0.24471112545707485</v>
      </c>
      <c r="I216" s="46">
        <v>-0.1433507584558511</v>
      </c>
      <c r="J216" s="46">
        <v>0.19918332502813141</v>
      </c>
    </row>
    <row r="217" spans="1:10" ht="11.25" customHeight="1" x14ac:dyDescent="0.2">
      <c r="A217" s="55">
        <v>44501</v>
      </c>
      <c r="B217" s="45">
        <v>0</v>
      </c>
      <c r="C217" s="45">
        <v>0</v>
      </c>
      <c r="D217" s="45">
        <v>812135.55972000014</v>
      </c>
      <c r="E217" s="45">
        <v>1010874.1665627927</v>
      </c>
      <c r="F217" s="45">
        <v>107944.71986000001</v>
      </c>
      <c r="G217" s="45">
        <v>92470.762396764636</v>
      </c>
      <c r="H217" s="46">
        <v>0.24471112545707485</v>
      </c>
      <c r="I217" s="46">
        <v>-0.1433507584558511</v>
      </c>
      <c r="J217" s="46">
        <v>0.19918332502813141</v>
      </c>
    </row>
    <row r="218" spans="1:10" ht="11.25" customHeight="1" x14ac:dyDescent="0.2">
      <c r="A218" s="55">
        <v>44531</v>
      </c>
      <c r="B218" s="45">
        <v>0</v>
      </c>
      <c r="C218" s="45">
        <v>0</v>
      </c>
      <c r="D218" s="45">
        <v>829852.12110000011</v>
      </c>
      <c r="E218" s="45">
        <v>1032926.1676173218</v>
      </c>
      <c r="F218" s="45">
        <v>110299.51055000001</v>
      </c>
      <c r="G218" s="45">
        <v>94487.992055348353</v>
      </c>
      <c r="H218" s="46">
        <v>0.24471112545707485</v>
      </c>
      <c r="I218" s="46">
        <v>-0.1433507584558511</v>
      </c>
      <c r="J218" s="46">
        <v>0.19918332502813141</v>
      </c>
    </row>
    <row r="219" spans="1:10" ht="11.25" customHeight="1" x14ac:dyDescent="0.2">
      <c r="A219" s="55">
        <v>44562</v>
      </c>
      <c r="B219" s="45">
        <v>0</v>
      </c>
      <c r="C219" s="45">
        <v>0</v>
      </c>
      <c r="D219" s="45">
        <v>784748.82198000001</v>
      </c>
      <c r="E219" s="45">
        <v>976785.58940783946</v>
      </c>
      <c r="F219" s="45">
        <v>104304.62099</v>
      </c>
      <c r="G219" s="45">
        <v>89352.474460633413</v>
      </c>
      <c r="H219" s="46">
        <v>0.24471112545707485</v>
      </c>
      <c r="I219" s="46">
        <v>-0.1433507584558511</v>
      </c>
      <c r="J219" s="46">
        <v>0.19918332502813141</v>
      </c>
    </row>
    <row r="220" spans="1:10" ht="11.25" customHeight="1" x14ac:dyDescent="0.2">
      <c r="A220" s="55">
        <v>44593</v>
      </c>
      <c r="B220" s="45">
        <v>0</v>
      </c>
      <c r="C220" s="45">
        <v>0</v>
      </c>
      <c r="D220" s="45">
        <v>785034.06900000002</v>
      </c>
      <c r="E220" s="45">
        <v>977140.63954713696</v>
      </c>
      <c r="F220" s="45">
        <v>104342.53450000001</v>
      </c>
      <c r="G220" s="45">
        <v>89384.953040219189</v>
      </c>
      <c r="H220" s="46">
        <v>0.24471112545707485</v>
      </c>
      <c r="I220" s="46">
        <v>-0.14335075845585121</v>
      </c>
      <c r="J220" s="46">
        <v>0.19918332502813163</v>
      </c>
    </row>
    <row r="221" spans="1:10" ht="11.25" customHeight="1" x14ac:dyDescent="0.2">
      <c r="A221" s="55">
        <v>44621</v>
      </c>
      <c r="B221" s="45">
        <v>0</v>
      </c>
      <c r="C221" s="45">
        <v>0</v>
      </c>
      <c r="D221" s="45">
        <v>867377.72730000003</v>
      </c>
      <c r="E221" s="45">
        <v>1079634.7071439826</v>
      </c>
      <c r="F221" s="45">
        <v>115287.21364999999</v>
      </c>
      <c r="G221" s="45">
        <v>98760.704133010746</v>
      </c>
      <c r="H221" s="46">
        <v>0.24471112545707463</v>
      </c>
      <c r="I221" s="46">
        <v>-0.1433507584558511</v>
      </c>
      <c r="J221" s="46">
        <v>0.19918332502813141</v>
      </c>
    </row>
    <row r="222" spans="1:10" ht="11.25" customHeight="1" x14ac:dyDescent="0.2">
      <c r="A222" s="55">
        <v>44652</v>
      </c>
      <c r="B222" s="45">
        <v>0</v>
      </c>
      <c r="C222" s="45">
        <v>0</v>
      </c>
      <c r="D222" s="45">
        <v>776542.17449999996</v>
      </c>
      <c r="E222" s="45">
        <v>966570.68398677919</v>
      </c>
      <c r="F222" s="45">
        <v>103213.83725</v>
      </c>
      <c r="G222" s="45">
        <v>88418.055397073709</v>
      </c>
      <c r="H222" s="46">
        <v>0.24471112545707485</v>
      </c>
      <c r="I222" s="46">
        <v>-0.14335075845585121</v>
      </c>
      <c r="J222" s="46">
        <v>0.19918332502813141</v>
      </c>
    </row>
    <row r="223" spans="1:10" ht="11.25" customHeight="1" x14ac:dyDescent="0.2">
      <c r="A223" s="55">
        <v>44682</v>
      </c>
      <c r="B223" s="45">
        <v>0</v>
      </c>
      <c r="C223" s="45">
        <v>0</v>
      </c>
      <c r="D223" s="45">
        <v>894787.64766000013</v>
      </c>
      <c r="E223" s="45">
        <v>1113752.1399639673</v>
      </c>
      <c r="F223" s="45">
        <v>118930.39383</v>
      </c>
      <c r="G223" s="45">
        <v>101881.63167101642</v>
      </c>
      <c r="H223" s="46">
        <v>0.24471112545707485</v>
      </c>
      <c r="I223" s="46">
        <v>-0.1433507584558511</v>
      </c>
      <c r="J223" s="46">
        <v>0.19918332502813141</v>
      </c>
    </row>
    <row r="224" spans="1:10" ht="11.25" customHeight="1" x14ac:dyDescent="0.2">
      <c r="A224" s="55">
        <v>44713</v>
      </c>
      <c r="B224" s="45">
        <v>0</v>
      </c>
      <c r="C224" s="45">
        <v>0</v>
      </c>
      <c r="D224" s="45">
        <v>874458.50580000004</v>
      </c>
      <c r="E224" s="45">
        <v>1088448.23091983</v>
      </c>
      <c r="F224" s="45">
        <v>116228.35290000001</v>
      </c>
      <c r="G224" s="45">
        <v>99566.930357710677</v>
      </c>
      <c r="H224" s="46">
        <v>0.24471112545707485</v>
      </c>
      <c r="I224" s="46">
        <v>-0.14335075845585121</v>
      </c>
      <c r="J224" s="46">
        <v>0.19918332502813141</v>
      </c>
    </row>
    <row r="225" spans="1:10" ht="11.25" customHeight="1" x14ac:dyDescent="0.2">
      <c r="A225" s="55">
        <v>44743</v>
      </c>
      <c r="B225" s="45">
        <v>0</v>
      </c>
      <c r="C225" s="45">
        <v>0</v>
      </c>
      <c r="D225" s="45">
        <v>900917.93874000013</v>
      </c>
      <c r="E225" s="45">
        <v>1121382.5814735335</v>
      </c>
      <c r="F225" s="45">
        <v>119745.19937</v>
      </c>
      <c r="G225" s="45">
        <v>102579.6342188634</v>
      </c>
      <c r="H225" s="46">
        <v>0.24471112545707485</v>
      </c>
      <c r="I225" s="46">
        <v>-0.1433507584558511</v>
      </c>
      <c r="J225" s="46">
        <v>0.19918332502813141</v>
      </c>
    </row>
    <row r="226" spans="1:10" ht="11.25" customHeight="1" x14ac:dyDescent="0.2">
      <c r="A226" s="55">
        <v>44774</v>
      </c>
      <c r="B226" s="45">
        <v>0</v>
      </c>
      <c r="C226" s="45">
        <v>0</v>
      </c>
      <c r="D226" s="45">
        <v>900917.93874000013</v>
      </c>
      <c r="E226" s="45">
        <v>1121382.5814735335</v>
      </c>
      <c r="F226" s="45">
        <v>119745.19937</v>
      </c>
      <c r="G226" s="45">
        <v>102579.6342188634</v>
      </c>
      <c r="H226" s="46">
        <v>0.24471112545707485</v>
      </c>
      <c r="I226" s="46">
        <v>-0.1433507584558511</v>
      </c>
      <c r="J226" s="46">
        <v>0.19918332502813141</v>
      </c>
    </row>
    <row r="227" spans="1:10" ht="11.25" customHeight="1" x14ac:dyDescent="0.2">
      <c r="A227" s="50" t="s">
        <v>44</v>
      </c>
      <c r="B227" s="45">
        <v>56326.1</v>
      </c>
      <c r="C227" s="45">
        <v>71615.278136994471</v>
      </c>
      <c r="D227" s="45">
        <v>48972.479270000011</v>
      </c>
      <c r="E227" s="45">
        <v>63368.772938622074</v>
      </c>
      <c r="F227" s="45">
        <v>39983.748410000007</v>
      </c>
      <c r="G227" s="45">
        <v>34252.04774951857</v>
      </c>
      <c r="H227" s="46">
        <v>0.28191711617968673</v>
      </c>
      <c r="I227" s="46">
        <v>-0.14335075845585121</v>
      </c>
      <c r="J227" s="46">
        <v>0.16487739099208176</v>
      </c>
    </row>
    <row r="228" spans="1:10" ht="11.25" customHeight="1" x14ac:dyDescent="0.2">
      <c r="A228" s="51" t="s">
        <v>25</v>
      </c>
      <c r="B228" s="45">
        <v>56326.1</v>
      </c>
      <c r="C228" s="45">
        <v>71615.278136994471</v>
      </c>
      <c r="D228" s="45">
        <v>48972.479270000011</v>
      </c>
      <c r="E228" s="45">
        <v>63368.772938622074</v>
      </c>
      <c r="F228" s="45">
        <v>39983.748410000007</v>
      </c>
      <c r="G228" s="45">
        <v>34252.04774951857</v>
      </c>
      <c r="H228" s="46">
        <v>0.28191711617968673</v>
      </c>
      <c r="I228" s="46">
        <v>-0.14335075845585121</v>
      </c>
      <c r="J228" s="46">
        <v>0.16487739099208176</v>
      </c>
    </row>
    <row r="229" spans="1:10" ht="11.25" customHeight="1" x14ac:dyDescent="0.2">
      <c r="A229" s="52" t="s">
        <v>25</v>
      </c>
      <c r="B229" s="45">
        <v>56326.1</v>
      </c>
      <c r="C229" s="45">
        <v>71615.278136994471</v>
      </c>
      <c r="D229" s="45">
        <v>48972.479270000011</v>
      </c>
      <c r="E229" s="45">
        <v>63368.772938622074</v>
      </c>
      <c r="F229" s="45">
        <v>39983.748410000007</v>
      </c>
      <c r="G229" s="45">
        <v>34252.04774951857</v>
      </c>
      <c r="H229" s="46">
        <v>0.28191711617968673</v>
      </c>
      <c r="I229" s="46">
        <v>-0.14335075845585121</v>
      </c>
      <c r="J229" s="46">
        <v>0.16487739099208176</v>
      </c>
    </row>
    <row r="230" spans="1:10" ht="11.25" customHeight="1" x14ac:dyDescent="0.2">
      <c r="A230" s="53" t="s">
        <v>25</v>
      </c>
      <c r="B230" s="45">
        <v>56326.1</v>
      </c>
      <c r="C230" s="45">
        <v>71615.278136994471</v>
      </c>
      <c r="D230" s="45">
        <v>48972.479270000011</v>
      </c>
      <c r="E230" s="45">
        <v>63368.772938622074</v>
      </c>
      <c r="F230" s="45">
        <v>39983.748410000007</v>
      </c>
      <c r="G230" s="45">
        <v>34252.04774951857</v>
      </c>
      <c r="H230" s="46">
        <v>0.28191711617968673</v>
      </c>
      <c r="I230" s="46">
        <v>-0.14335075845585121</v>
      </c>
      <c r="J230" s="46">
        <v>0.16487739099208176</v>
      </c>
    </row>
    <row r="231" spans="1:10" ht="11.25" customHeight="1" x14ac:dyDescent="0.2">
      <c r="A231" s="54" t="s">
        <v>38</v>
      </c>
      <c r="B231" s="45">
        <v>0</v>
      </c>
      <c r="C231" s="45">
        <v>0</v>
      </c>
      <c r="D231" s="45">
        <v>24894.808550000002</v>
      </c>
      <c r="E231" s="45">
        <v>33399.028318346012</v>
      </c>
      <c r="F231" s="45">
        <v>36783.473050000001</v>
      </c>
      <c r="G231" s="45">
        <v>31510.534289642143</v>
      </c>
      <c r="H231" s="46">
        <v>0.34160615259465454</v>
      </c>
      <c r="I231" s="46">
        <v>-0.1433507584558511</v>
      </c>
      <c r="J231" s="46">
        <v>5.2389283945098564E-2</v>
      </c>
    </row>
    <row r="232" spans="1:10" ht="11.25" customHeight="1" x14ac:dyDescent="0.2">
      <c r="A232" s="55">
        <v>44440</v>
      </c>
      <c r="B232" s="45">
        <v>0</v>
      </c>
      <c r="C232" s="45">
        <v>0</v>
      </c>
      <c r="D232" s="45">
        <v>1872.6981800000001</v>
      </c>
      <c r="E232" s="45">
        <v>2512.423400240812</v>
      </c>
      <c r="F232" s="45">
        <v>2767.01638</v>
      </c>
      <c r="G232" s="45">
        <v>2370.3624832672363</v>
      </c>
      <c r="H232" s="46">
        <v>0.34160615259465454</v>
      </c>
      <c r="I232" s="46">
        <v>-0.14335075845585121</v>
      </c>
      <c r="J232" s="46">
        <v>5.2389283945098342E-2</v>
      </c>
    </row>
    <row r="233" spans="1:10" ht="11.25" customHeight="1" x14ac:dyDescent="0.2">
      <c r="A233" s="55">
        <v>44470</v>
      </c>
      <c r="B233" s="45">
        <v>0</v>
      </c>
      <c r="C233" s="45">
        <v>0</v>
      </c>
      <c r="D233" s="45">
        <v>1950.9463900000001</v>
      </c>
      <c r="E233" s="45">
        <v>2617.4016802063306</v>
      </c>
      <c r="F233" s="45">
        <v>2882.63249</v>
      </c>
      <c r="G233" s="45">
        <v>2469.4049362090213</v>
      </c>
      <c r="H233" s="46">
        <v>0.34160615259465454</v>
      </c>
      <c r="I233" s="46">
        <v>-0.1433507584558511</v>
      </c>
      <c r="J233" s="46">
        <v>5.2389283945098564E-2</v>
      </c>
    </row>
    <row r="234" spans="1:10" ht="11.25" customHeight="1" x14ac:dyDescent="0.2">
      <c r="A234" s="55">
        <v>44501</v>
      </c>
      <c r="B234" s="45">
        <v>0</v>
      </c>
      <c r="C234" s="45">
        <v>0</v>
      </c>
      <c r="D234" s="45">
        <v>2048.8699900000001</v>
      </c>
      <c r="E234" s="45">
        <v>2748.7765844505484</v>
      </c>
      <c r="F234" s="45">
        <v>3027.3200900000002</v>
      </c>
      <c r="G234" s="45">
        <v>2593.3514590098648</v>
      </c>
      <c r="H234" s="46">
        <v>0.34160615259465454</v>
      </c>
      <c r="I234" s="46">
        <v>-0.1433507584558511</v>
      </c>
      <c r="J234" s="46">
        <v>5.2389283945098564E-2</v>
      </c>
    </row>
    <row r="235" spans="1:10" ht="11.25" customHeight="1" x14ac:dyDescent="0.2">
      <c r="A235" s="55">
        <v>44531</v>
      </c>
      <c r="B235" s="45">
        <v>0</v>
      </c>
      <c r="C235" s="45">
        <v>0</v>
      </c>
      <c r="D235" s="45">
        <v>1898.26712</v>
      </c>
      <c r="E235" s="45">
        <v>2546.7268474601356</v>
      </c>
      <c r="F235" s="45">
        <v>2804.79592</v>
      </c>
      <c r="G235" s="45">
        <v>2402.726297554123</v>
      </c>
      <c r="H235" s="46">
        <v>0.34160615259465454</v>
      </c>
      <c r="I235" s="46">
        <v>-0.14335075845585121</v>
      </c>
      <c r="J235" s="46">
        <v>5.2389283945098564E-2</v>
      </c>
    </row>
    <row r="236" spans="1:10" ht="11.25" customHeight="1" x14ac:dyDescent="0.2">
      <c r="A236" s="55">
        <v>44562</v>
      </c>
      <c r="B236" s="45">
        <v>0</v>
      </c>
      <c r="C236" s="45">
        <v>0</v>
      </c>
      <c r="D236" s="45">
        <v>2330.8536899999999</v>
      </c>
      <c r="E236" s="45">
        <v>3127.0876513019539</v>
      </c>
      <c r="F236" s="45">
        <v>3443.9667899999999</v>
      </c>
      <c r="G236" s="45">
        <v>2950.2715385567371</v>
      </c>
      <c r="H236" s="46">
        <v>0.34160615259465477</v>
      </c>
      <c r="I236" s="46">
        <v>-0.1433507584558511</v>
      </c>
      <c r="J236" s="46">
        <v>5.2389283945098564E-2</v>
      </c>
    </row>
    <row r="237" spans="1:10" ht="11.25" customHeight="1" x14ac:dyDescent="0.2">
      <c r="A237" s="55">
        <v>44593</v>
      </c>
      <c r="B237" s="45">
        <v>0</v>
      </c>
      <c r="C237" s="45">
        <v>0</v>
      </c>
      <c r="D237" s="45">
        <v>2613.9254300000002</v>
      </c>
      <c r="E237" s="45">
        <v>3506.8584393116284</v>
      </c>
      <c r="F237" s="45">
        <v>3862.2211299999999</v>
      </c>
      <c r="G237" s="45">
        <v>3308.5688016902855</v>
      </c>
      <c r="H237" s="46">
        <v>0.34160615259465454</v>
      </c>
      <c r="I237" s="46">
        <v>-0.1433507584558511</v>
      </c>
      <c r="J237" s="46">
        <v>5.2389283945098564E-2</v>
      </c>
    </row>
    <row r="238" spans="1:10" ht="11.25" customHeight="1" x14ac:dyDescent="0.2">
      <c r="A238" s="55">
        <v>44621</v>
      </c>
      <c r="B238" s="45">
        <v>0</v>
      </c>
      <c r="C238" s="45">
        <v>0</v>
      </c>
      <c r="D238" s="45">
        <v>2609.2105900000001</v>
      </c>
      <c r="E238" s="45">
        <v>3500.532980959129</v>
      </c>
      <c r="F238" s="45">
        <v>3855.2546900000002</v>
      </c>
      <c r="G238" s="45">
        <v>3302.6010061480229</v>
      </c>
      <c r="H238" s="46">
        <v>0.34160615259465454</v>
      </c>
      <c r="I238" s="46">
        <v>-0.1433507584558511</v>
      </c>
      <c r="J238" s="46">
        <v>5.2389283945098786E-2</v>
      </c>
    </row>
    <row r="239" spans="1:10" ht="11.25" customHeight="1" x14ac:dyDescent="0.2">
      <c r="A239" s="55">
        <v>44652</v>
      </c>
      <c r="B239" s="45">
        <v>0</v>
      </c>
      <c r="C239" s="45">
        <v>0</v>
      </c>
      <c r="D239" s="45">
        <v>2028.0158900000001</v>
      </c>
      <c r="E239" s="45">
        <v>2720.7985955837244</v>
      </c>
      <c r="F239" s="45">
        <v>2996.5069900000003</v>
      </c>
      <c r="G239" s="45">
        <v>2566.9554402652407</v>
      </c>
      <c r="H239" s="46">
        <v>0.34160615259465454</v>
      </c>
      <c r="I239" s="46">
        <v>-0.14335075845585121</v>
      </c>
      <c r="J239" s="46">
        <v>5.2389283945098564E-2</v>
      </c>
    </row>
    <row r="240" spans="1:10" ht="11.25" customHeight="1" x14ac:dyDescent="0.2">
      <c r="A240" s="55">
        <v>44682</v>
      </c>
      <c r="B240" s="45">
        <v>0</v>
      </c>
      <c r="C240" s="45">
        <v>0</v>
      </c>
      <c r="D240" s="45">
        <v>1858.91634</v>
      </c>
      <c r="E240" s="45">
        <v>2493.9335989027368</v>
      </c>
      <c r="F240" s="45">
        <v>2746.6529399999999</v>
      </c>
      <c r="G240" s="45">
        <v>2352.9181578360067</v>
      </c>
      <c r="H240" s="46">
        <v>0.34160615259465454</v>
      </c>
      <c r="I240" s="46">
        <v>-0.1433507584558511</v>
      </c>
      <c r="J240" s="46">
        <v>5.2389283945098786E-2</v>
      </c>
    </row>
    <row r="241" spans="1:10" ht="11.25" customHeight="1" x14ac:dyDescent="0.2">
      <c r="A241" s="55">
        <v>44713</v>
      </c>
      <c r="B241" s="45">
        <v>0</v>
      </c>
      <c r="C241" s="45">
        <v>0</v>
      </c>
      <c r="D241" s="45">
        <v>1927.5535300000001</v>
      </c>
      <c r="E241" s="45">
        <v>2586.0176753035453</v>
      </c>
      <c r="F241" s="45">
        <v>2848.0682299999999</v>
      </c>
      <c r="G241" s="45">
        <v>2439.7954890954866</v>
      </c>
      <c r="H241" s="46">
        <v>0.34160615259465454</v>
      </c>
      <c r="I241" s="46">
        <v>-0.1433507584558511</v>
      </c>
      <c r="J241" s="46">
        <v>5.2389283945098564E-2</v>
      </c>
    </row>
    <row r="242" spans="1:10" ht="11.25" customHeight="1" x14ac:dyDescent="0.2">
      <c r="A242" s="55">
        <v>44743</v>
      </c>
      <c r="B242" s="45">
        <v>0</v>
      </c>
      <c r="C242" s="45">
        <v>0</v>
      </c>
      <c r="D242" s="45">
        <v>1877.7757000000001</v>
      </c>
      <c r="E242" s="45">
        <v>2519.2354323127342</v>
      </c>
      <c r="F242" s="45">
        <v>2774.5187000000001</v>
      </c>
      <c r="G242" s="45">
        <v>2376.789340005058</v>
      </c>
      <c r="H242" s="46">
        <v>0.34160615259465454</v>
      </c>
      <c r="I242" s="46">
        <v>-0.1433507584558511</v>
      </c>
      <c r="J242" s="46">
        <v>5.2389283945098564E-2</v>
      </c>
    </row>
    <row r="243" spans="1:10" ht="11.25" customHeight="1" x14ac:dyDescent="0.2">
      <c r="A243" s="55">
        <v>44774</v>
      </c>
      <c r="B243" s="45">
        <v>0</v>
      </c>
      <c r="C243" s="45">
        <v>0</v>
      </c>
      <c r="D243" s="45">
        <v>1877.7757000000001</v>
      </c>
      <c r="E243" s="45">
        <v>2519.2354323127342</v>
      </c>
      <c r="F243" s="45">
        <v>2774.5187000000001</v>
      </c>
      <c r="G243" s="45">
        <v>2376.789340005058</v>
      </c>
      <c r="H243" s="46">
        <v>0.34160615259465454</v>
      </c>
      <c r="I243" s="46">
        <v>-0.1433507584558511</v>
      </c>
      <c r="J243" s="46">
        <v>5.2389283945098564E-2</v>
      </c>
    </row>
    <row r="244" spans="1:10" ht="11.25" customHeight="1" x14ac:dyDescent="0.2">
      <c r="A244" s="54" t="s">
        <v>25</v>
      </c>
      <c r="B244" s="45">
        <v>56326.1</v>
      </c>
      <c r="C244" s="45">
        <v>71615.278136994471</v>
      </c>
      <c r="D244" s="45">
        <v>0</v>
      </c>
      <c r="E244" s="45">
        <v>0</v>
      </c>
      <c r="F244" s="45">
        <v>0</v>
      </c>
      <c r="G244" s="45">
        <v>0</v>
      </c>
      <c r="H244" s="46">
        <v>0.27144038264666781</v>
      </c>
      <c r="I244" s="46">
        <v>0</v>
      </c>
      <c r="J244" s="46">
        <v>0.27144038264666781</v>
      </c>
    </row>
    <row r="245" spans="1:10" ht="11.25" customHeight="1" x14ac:dyDescent="0.2">
      <c r="A245" s="55">
        <v>44440</v>
      </c>
      <c r="B245" s="45">
        <v>4624</v>
      </c>
      <c r="C245" s="45">
        <v>5879.1403293581916</v>
      </c>
      <c r="D245" s="45">
        <v>0</v>
      </c>
      <c r="E245" s="45">
        <v>0</v>
      </c>
      <c r="F245" s="45">
        <v>0</v>
      </c>
      <c r="G245" s="45">
        <v>0</v>
      </c>
      <c r="H245" s="46">
        <v>0.27144038264666781</v>
      </c>
      <c r="I245" s="46">
        <v>0</v>
      </c>
      <c r="J245" s="46">
        <v>0.27144038264666781</v>
      </c>
    </row>
    <row r="246" spans="1:10" ht="11.25" customHeight="1" x14ac:dyDescent="0.2">
      <c r="A246" s="55">
        <v>44470</v>
      </c>
      <c r="B246" s="45">
        <v>4624</v>
      </c>
      <c r="C246" s="45">
        <v>5879.1403293581916</v>
      </c>
      <c r="D246" s="45">
        <v>0</v>
      </c>
      <c r="E246" s="45">
        <v>0</v>
      </c>
      <c r="F246" s="45">
        <v>0</v>
      </c>
      <c r="G246" s="45">
        <v>0</v>
      </c>
      <c r="H246" s="46">
        <v>0.27144038264666781</v>
      </c>
      <c r="I246" s="46">
        <v>0</v>
      </c>
      <c r="J246" s="46">
        <v>0.27144038264666781</v>
      </c>
    </row>
    <row r="247" spans="1:10" ht="11.25" customHeight="1" x14ac:dyDescent="0.2">
      <c r="A247" s="55">
        <v>44501</v>
      </c>
      <c r="B247" s="45">
        <v>4624</v>
      </c>
      <c r="C247" s="45">
        <v>5879.1403293581916</v>
      </c>
      <c r="D247" s="45">
        <v>0</v>
      </c>
      <c r="E247" s="45">
        <v>0</v>
      </c>
      <c r="F247" s="45">
        <v>0</v>
      </c>
      <c r="G247" s="45">
        <v>0</v>
      </c>
      <c r="H247" s="46">
        <v>0.27144038264666781</v>
      </c>
      <c r="I247" s="46">
        <v>0</v>
      </c>
      <c r="J247" s="46">
        <v>0.27144038264666781</v>
      </c>
    </row>
    <row r="248" spans="1:10" ht="11.25" customHeight="1" x14ac:dyDescent="0.2">
      <c r="A248" s="55">
        <v>44531</v>
      </c>
      <c r="B248" s="45">
        <v>5071.95</v>
      </c>
      <c r="C248" s="45">
        <v>6448.6820487647665</v>
      </c>
      <c r="D248" s="45">
        <v>0</v>
      </c>
      <c r="E248" s="45">
        <v>0</v>
      </c>
      <c r="F248" s="45">
        <v>0</v>
      </c>
      <c r="G248" s="45">
        <v>0</v>
      </c>
      <c r="H248" s="46">
        <v>0.27144038264666781</v>
      </c>
      <c r="I248" s="46">
        <v>0</v>
      </c>
      <c r="J248" s="46">
        <v>0.27144038264666781</v>
      </c>
    </row>
    <row r="249" spans="1:10" ht="11.25" customHeight="1" x14ac:dyDescent="0.2">
      <c r="A249" s="55">
        <v>44562</v>
      </c>
      <c r="B249" s="45">
        <v>5014.1499999999996</v>
      </c>
      <c r="C249" s="45">
        <v>6375.192794647789</v>
      </c>
      <c r="D249" s="45">
        <v>0</v>
      </c>
      <c r="E249" s="45">
        <v>0</v>
      </c>
      <c r="F249" s="45">
        <v>0</v>
      </c>
      <c r="G249" s="45">
        <v>0</v>
      </c>
      <c r="H249" s="46">
        <v>0.27144038264666781</v>
      </c>
      <c r="I249" s="46">
        <v>0</v>
      </c>
      <c r="J249" s="46">
        <v>0.27144038264666781</v>
      </c>
    </row>
    <row r="250" spans="1:10" ht="11.25" customHeight="1" x14ac:dyDescent="0.2">
      <c r="A250" s="55">
        <v>44593</v>
      </c>
      <c r="B250" s="45">
        <v>4624</v>
      </c>
      <c r="C250" s="45">
        <v>5879.1403293581916</v>
      </c>
      <c r="D250" s="45">
        <v>0</v>
      </c>
      <c r="E250" s="45">
        <v>0</v>
      </c>
      <c r="F250" s="45">
        <v>0</v>
      </c>
      <c r="G250" s="45">
        <v>0</v>
      </c>
      <c r="H250" s="46">
        <v>0.27144038264666781</v>
      </c>
      <c r="I250" s="46">
        <v>0</v>
      </c>
      <c r="J250" s="46">
        <v>0.27144038264666781</v>
      </c>
    </row>
    <row r="251" spans="1:10" ht="11.25" customHeight="1" x14ac:dyDescent="0.2">
      <c r="A251" s="55">
        <v>44621</v>
      </c>
      <c r="B251" s="45">
        <v>4624</v>
      </c>
      <c r="C251" s="45">
        <v>5879.1403293581916</v>
      </c>
      <c r="D251" s="45">
        <v>0</v>
      </c>
      <c r="E251" s="45">
        <v>0</v>
      </c>
      <c r="F251" s="45">
        <v>0</v>
      </c>
      <c r="G251" s="45">
        <v>0</v>
      </c>
      <c r="H251" s="46">
        <v>0.27144038264666781</v>
      </c>
      <c r="I251" s="46">
        <v>0</v>
      </c>
      <c r="J251" s="46">
        <v>0.27144038264666781</v>
      </c>
    </row>
    <row r="252" spans="1:10" ht="11.25" customHeight="1" x14ac:dyDescent="0.2">
      <c r="A252" s="55">
        <v>44652</v>
      </c>
      <c r="B252" s="45">
        <v>4624</v>
      </c>
      <c r="C252" s="45">
        <v>5879.1403293581916</v>
      </c>
      <c r="D252" s="45">
        <v>0</v>
      </c>
      <c r="E252" s="45">
        <v>0</v>
      </c>
      <c r="F252" s="45">
        <v>0</v>
      </c>
      <c r="G252" s="45">
        <v>0</v>
      </c>
      <c r="H252" s="46">
        <v>0.27144038264666781</v>
      </c>
      <c r="I252" s="46">
        <v>0</v>
      </c>
      <c r="J252" s="46">
        <v>0.27144038264666781</v>
      </c>
    </row>
    <row r="253" spans="1:10" ht="11.25" customHeight="1" x14ac:dyDescent="0.2">
      <c r="A253" s="55">
        <v>44682</v>
      </c>
      <c r="B253" s="45">
        <v>4624</v>
      </c>
      <c r="C253" s="45">
        <v>5879.1403293581916</v>
      </c>
      <c r="D253" s="45">
        <v>0</v>
      </c>
      <c r="E253" s="45">
        <v>0</v>
      </c>
      <c r="F253" s="45">
        <v>0</v>
      </c>
      <c r="G253" s="45">
        <v>0</v>
      </c>
      <c r="H253" s="46">
        <v>0.27144038264666781</v>
      </c>
      <c r="I253" s="46">
        <v>0</v>
      </c>
      <c r="J253" s="46">
        <v>0.27144038264666781</v>
      </c>
    </row>
    <row r="254" spans="1:10" ht="11.25" customHeight="1" x14ac:dyDescent="0.2">
      <c r="A254" s="55">
        <v>44713</v>
      </c>
      <c r="B254" s="45">
        <v>4624</v>
      </c>
      <c r="C254" s="45">
        <v>5879.1403293581916</v>
      </c>
      <c r="D254" s="45">
        <v>0</v>
      </c>
      <c r="E254" s="45">
        <v>0</v>
      </c>
      <c r="F254" s="45">
        <v>0</v>
      </c>
      <c r="G254" s="45">
        <v>0</v>
      </c>
      <c r="H254" s="46">
        <v>0.27144038264666781</v>
      </c>
      <c r="I254" s="46">
        <v>0</v>
      </c>
      <c r="J254" s="46">
        <v>0.27144038264666781</v>
      </c>
    </row>
    <row r="255" spans="1:10" ht="11.25" customHeight="1" x14ac:dyDescent="0.2">
      <c r="A255" s="55">
        <v>44743</v>
      </c>
      <c r="B255" s="45">
        <v>4624</v>
      </c>
      <c r="C255" s="45">
        <v>5879.1403293581916</v>
      </c>
      <c r="D255" s="45">
        <v>0</v>
      </c>
      <c r="E255" s="45">
        <v>0</v>
      </c>
      <c r="F255" s="45">
        <v>0</v>
      </c>
      <c r="G255" s="45">
        <v>0</v>
      </c>
      <c r="H255" s="46">
        <v>0.27144038264666781</v>
      </c>
      <c r="I255" s="46">
        <v>0</v>
      </c>
      <c r="J255" s="46">
        <v>0.27144038264666781</v>
      </c>
    </row>
    <row r="256" spans="1:10" ht="11.25" customHeight="1" x14ac:dyDescent="0.2">
      <c r="A256" s="55">
        <v>44774</v>
      </c>
      <c r="B256" s="45">
        <v>4624</v>
      </c>
      <c r="C256" s="45">
        <v>5879.1403293581916</v>
      </c>
      <c r="D256" s="45">
        <v>0</v>
      </c>
      <c r="E256" s="45">
        <v>0</v>
      </c>
      <c r="F256" s="45">
        <v>0</v>
      </c>
      <c r="G256" s="45">
        <v>0</v>
      </c>
      <c r="H256" s="46">
        <v>0.27144038264666781</v>
      </c>
      <c r="I256" s="46">
        <v>0</v>
      </c>
      <c r="J256" s="46">
        <v>0.27144038264666781</v>
      </c>
    </row>
    <row r="257" spans="1:10" ht="11.25" customHeight="1" x14ac:dyDescent="0.2">
      <c r="A257" s="54" t="s">
        <v>37</v>
      </c>
      <c r="B257" s="45">
        <v>0</v>
      </c>
      <c r="C257" s="45">
        <v>0</v>
      </c>
      <c r="D257" s="45">
        <v>24077.670720000002</v>
      </c>
      <c r="E257" s="45">
        <v>29969.744620276058</v>
      </c>
      <c r="F257" s="45">
        <v>3200.2753600000001</v>
      </c>
      <c r="G257" s="45">
        <v>2741.5134598764275</v>
      </c>
      <c r="H257" s="46">
        <v>0.24471112545707485</v>
      </c>
      <c r="I257" s="46">
        <v>-0.14335075845585132</v>
      </c>
      <c r="J257" s="46">
        <v>0.19918332502813141</v>
      </c>
    </row>
    <row r="258" spans="1:10" ht="11.25" customHeight="1" x14ac:dyDescent="0.2">
      <c r="A258" s="55">
        <v>44440</v>
      </c>
      <c r="B258" s="45">
        <v>0</v>
      </c>
      <c r="C258" s="45">
        <v>0</v>
      </c>
      <c r="D258" s="45">
        <v>1954.3956600000001</v>
      </c>
      <c r="E258" s="45">
        <v>2432.6580215470226</v>
      </c>
      <c r="F258" s="45">
        <v>259.76783</v>
      </c>
      <c r="G258" s="45">
        <v>222.52991454706941</v>
      </c>
      <c r="H258" s="46">
        <v>0.24471112545707485</v>
      </c>
      <c r="I258" s="46">
        <v>-0.1433507584558511</v>
      </c>
      <c r="J258" s="46">
        <v>0.19918332502813163</v>
      </c>
    </row>
    <row r="259" spans="1:10" ht="11.25" customHeight="1" x14ac:dyDescent="0.2">
      <c r="A259" s="55">
        <v>44470</v>
      </c>
      <c r="B259" s="45">
        <v>0</v>
      </c>
      <c r="C259" s="45">
        <v>0</v>
      </c>
      <c r="D259" s="45">
        <v>1938.2686200000001</v>
      </c>
      <c r="E259" s="45">
        <v>2412.5845154383314</v>
      </c>
      <c r="F259" s="45">
        <v>257.62430999999998</v>
      </c>
      <c r="G259" s="45">
        <v>220.69366976483468</v>
      </c>
      <c r="H259" s="46">
        <v>0.24471112545707485</v>
      </c>
      <c r="I259" s="46">
        <v>-0.1433507584558511</v>
      </c>
      <c r="J259" s="46">
        <v>0.19918332502813163</v>
      </c>
    </row>
    <row r="260" spans="1:10" ht="11.25" customHeight="1" x14ac:dyDescent="0.2">
      <c r="A260" s="55">
        <v>44501</v>
      </c>
      <c r="B260" s="45">
        <v>0</v>
      </c>
      <c r="C260" s="45">
        <v>0</v>
      </c>
      <c r="D260" s="45">
        <v>2017.8958799999998</v>
      </c>
      <c r="E260" s="45">
        <v>2511.6974518499942</v>
      </c>
      <c r="F260" s="45">
        <v>268.20793999999995</v>
      </c>
      <c r="G260" s="45">
        <v>229.76012837711855</v>
      </c>
      <c r="H260" s="46">
        <v>0.24471112545707485</v>
      </c>
      <c r="I260" s="46">
        <v>-0.1433507584558511</v>
      </c>
      <c r="J260" s="46">
        <v>0.19918332502813163</v>
      </c>
    </row>
    <row r="261" spans="1:10" ht="11.25" customHeight="1" x14ac:dyDescent="0.2">
      <c r="A261" s="55">
        <v>44531</v>
      </c>
      <c r="B261" s="45">
        <v>0</v>
      </c>
      <c r="C261" s="45">
        <v>0</v>
      </c>
      <c r="D261" s="45">
        <v>2182.1901000000003</v>
      </c>
      <c r="E261" s="45">
        <v>2716.1962953322868</v>
      </c>
      <c r="F261" s="45">
        <v>290.04505</v>
      </c>
      <c r="G261" s="45">
        <v>248.46687209613475</v>
      </c>
      <c r="H261" s="46">
        <v>0.24471112545707485</v>
      </c>
      <c r="I261" s="46">
        <v>-0.1433507584558511</v>
      </c>
      <c r="J261" s="46">
        <v>0.19918332502813141</v>
      </c>
    </row>
    <row r="262" spans="1:10" ht="11.25" customHeight="1" x14ac:dyDescent="0.2">
      <c r="A262" s="55">
        <v>44562</v>
      </c>
      <c r="B262" s="45">
        <v>0</v>
      </c>
      <c r="C262" s="45">
        <v>0</v>
      </c>
      <c r="D262" s="45">
        <v>2261.8173600000005</v>
      </c>
      <c r="E262" s="45">
        <v>2815.30923174395</v>
      </c>
      <c r="F262" s="45">
        <v>300.62868000000003</v>
      </c>
      <c r="G262" s="45">
        <v>257.53333070841865</v>
      </c>
      <c r="H262" s="46">
        <v>0.24471112545707463</v>
      </c>
      <c r="I262" s="46">
        <v>-0.14335075845585121</v>
      </c>
      <c r="J262" s="46">
        <v>0.19918332502813141</v>
      </c>
    </row>
    <row r="263" spans="1:10" ht="11.25" customHeight="1" x14ac:dyDescent="0.2">
      <c r="A263" s="55">
        <v>44593</v>
      </c>
      <c r="B263" s="45">
        <v>0</v>
      </c>
      <c r="C263" s="45">
        <v>0</v>
      </c>
      <c r="D263" s="45">
        <v>2103.5707800000005</v>
      </c>
      <c r="E263" s="45">
        <v>2618.3379530524171</v>
      </c>
      <c r="F263" s="45">
        <v>279.59539000000001</v>
      </c>
      <c r="G263" s="45">
        <v>239.51517878274052</v>
      </c>
      <c r="H263" s="46">
        <v>0.24471112545707463</v>
      </c>
      <c r="I263" s="46">
        <v>-0.1433507584558511</v>
      </c>
      <c r="J263" s="46">
        <v>0.19918332502813141</v>
      </c>
    </row>
    <row r="264" spans="1:10" ht="11.25" customHeight="1" x14ac:dyDescent="0.2">
      <c r="A264" s="55">
        <v>44621</v>
      </c>
      <c r="B264" s="45">
        <v>0</v>
      </c>
      <c r="C264" s="45">
        <v>0</v>
      </c>
      <c r="D264" s="45">
        <v>2150.9439600000001</v>
      </c>
      <c r="E264" s="45">
        <v>2677.3038772466971</v>
      </c>
      <c r="F264" s="45">
        <v>285.89197999999999</v>
      </c>
      <c r="G264" s="45">
        <v>244.90914783055496</v>
      </c>
      <c r="H264" s="46">
        <v>0.24471112545707463</v>
      </c>
      <c r="I264" s="46">
        <v>-0.14335075845585121</v>
      </c>
      <c r="J264" s="46">
        <v>0.19918332502813141</v>
      </c>
    </row>
    <row r="265" spans="1:10" ht="11.25" customHeight="1" x14ac:dyDescent="0.2">
      <c r="A265" s="55">
        <v>44652</v>
      </c>
      <c r="B265" s="45">
        <v>0</v>
      </c>
      <c r="C265" s="45">
        <v>0</v>
      </c>
      <c r="D265" s="45">
        <v>1753.8156000000001</v>
      </c>
      <c r="E265" s="45">
        <v>2182.993789320175</v>
      </c>
      <c r="F265" s="45">
        <v>233.1078</v>
      </c>
      <c r="G265" s="45">
        <v>199.69162006802514</v>
      </c>
      <c r="H265" s="46">
        <v>0.24471112545707485</v>
      </c>
      <c r="I265" s="46">
        <v>-0.1433507584558511</v>
      </c>
      <c r="J265" s="46">
        <v>0.19918332502813141</v>
      </c>
    </row>
    <row r="266" spans="1:10" ht="11.25" customHeight="1" x14ac:dyDescent="0.2">
      <c r="A266" s="55">
        <v>44682</v>
      </c>
      <c r="B266" s="45">
        <v>0</v>
      </c>
      <c r="C266" s="45">
        <v>0</v>
      </c>
      <c r="D266" s="45">
        <v>1973.5465200000001</v>
      </c>
      <c r="E266" s="45">
        <v>2456.4953100510934</v>
      </c>
      <c r="F266" s="45">
        <v>262.31326000000001</v>
      </c>
      <c r="G266" s="45">
        <v>224.71045522597311</v>
      </c>
      <c r="H266" s="46">
        <v>0.24471112545707463</v>
      </c>
      <c r="I266" s="46">
        <v>-0.14335075845585121</v>
      </c>
      <c r="J266" s="46">
        <v>0.19918332502813119</v>
      </c>
    </row>
    <row r="267" spans="1:10" ht="11.25" customHeight="1" x14ac:dyDescent="0.2">
      <c r="A267" s="55">
        <v>44713</v>
      </c>
      <c r="B267" s="45">
        <v>0</v>
      </c>
      <c r="C267" s="45">
        <v>0</v>
      </c>
      <c r="D267" s="45">
        <v>2088.4516800000001</v>
      </c>
      <c r="E267" s="45">
        <v>2599.519041075519</v>
      </c>
      <c r="F267" s="45">
        <v>277.58584000000002</v>
      </c>
      <c r="G267" s="45">
        <v>237.79369929939546</v>
      </c>
      <c r="H267" s="46">
        <v>0.24471112545707485</v>
      </c>
      <c r="I267" s="46">
        <v>-0.14335075845585121</v>
      </c>
      <c r="J267" s="46">
        <v>0.19918332502813141</v>
      </c>
    </row>
    <row r="268" spans="1:10" ht="11.25" customHeight="1" x14ac:dyDescent="0.2">
      <c r="A268" s="55">
        <v>44743</v>
      </c>
      <c r="B268" s="45">
        <v>0</v>
      </c>
      <c r="C268" s="45">
        <v>0</v>
      </c>
      <c r="D268" s="45">
        <v>1826.3872800000001</v>
      </c>
      <c r="E268" s="45">
        <v>2273.3245668092859</v>
      </c>
      <c r="F268" s="45">
        <v>242.75364000000002</v>
      </c>
      <c r="G268" s="45">
        <v>207.95472158808136</v>
      </c>
      <c r="H268" s="46">
        <v>0.24471112545707485</v>
      </c>
      <c r="I268" s="46">
        <v>-0.14335075845585121</v>
      </c>
      <c r="J268" s="46">
        <v>0.19918332502813141</v>
      </c>
    </row>
    <row r="269" spans="1:10" ht="11.25" customHeight="1" x14ac:dyDescent="0.2">
      <c r="A269" s="55">
        <v>44774</v>
      </c>
      <c r="B269" s="45">
        <v>0</v>
      </c>
      <c r="C269" s="45">
        <v>0</v>
      </c>
      <c r="D269" s="45">
        <v>1826.3872800000001</v>
      </c>
      <c r="E269" s="45">
        <v>2273.3245668092859</v>
      </c>
      <c r="F269" s="45">
        <v>242.75364000000002</v>
      </c>
      <c r="G269" s="45">
        <v>207.95472158808136</v>
      </c>
      <c r="H269" s="46">
        <v>0.24471112545707485</v>
      </c>
      <c r="I269" s="46">
        <v>-0.14335075845585121</v>
      </c>
      <c r="J269" s="46">
        <v>0.19918332502813141</v>
      </c>
    </row>
    <row r="270" spans="1:10" ht="11.25" customHeight="1" x14ac:dyDescent="0.2">
      <c r="A270" s="48" t="s">
        <v>22</v>
      </c>
      <c r="B270" s="45">
        <v>0</v>
      </c>
      <c r="C270" s="45">
        <v>0</v>
      </c>
      <c r="D270" s="45">
        <v>15939273.373879999</v>
      </c>
      <c r="E270" s="45">
        <v>20353401.552566759</v>
      </c>
      <c r="F270" s="45">
        <v>7988373.1391699966</v>
      </c>
      <c r="G270" s="45">
        <v>6843235.7948624548</v>
      </c>
      <c r="H270" s="46">
        <v>0.27693409072964892</v>
      </c>
      <c r="I270" s="46">
        <v>-0.14335050758864876</v>
      </c>
      <c r="J270" s="46">
        <v>0.13661982312369614</v>
      </c>
    </row>
    <row r="271" spans="1:10" ht="11.25" customHeight="1" x14ac:dyDescent="0.2">
      <c r="A271" s="49" t="s">
        <v>55</v>
      </c>
      <c r="B271" s="45">
        <v>0</v>
      </c>
      <c r="C271" s="45">
        <v>0</v>
      </c>
      <c r="D271" s="45">
        <v>301.11525999999992</v>
      </c>
      <c r="E271" s="45">
        <v>385.62340039164769</v>
      </c>
      <c r="F271" s="45">
        <v>159.55826999999996</v>
      </c>
      <c r="G271" s="45">
        <v>136.68547097759651</v>
      </c>
      <c r="H271" s="46">
        <v>0.28065047381407293</v>
      </c>
      <c r="I271" s="46">
        <v>-0.14335075845585099</v>
      </c>
      <c r="J271" s="46">
        <v>0.13379397198976095</v>
      </c>
    </row>
    <row r="272" spans="1:10" ht="11.25" customHeight="1" x14ac:dyDescent="0.2">
      <c r="A272" s="50" t="s">
        <v>24</v>
      </c>
      <c r="B272" s="45">
        <v>0</v>
      </c>
      <c r="C272" s="45">
        <v>0</v>
      </c>
      <c r="D272" s="45">
        <v>301.11525999999992</v>
      </c>
      <c r="E272" s="45">
        <v>385.62340039164769</v>
      </c>
      <c r="F272" s="45">
        <v>159.55826999999996</v>
      </c>
      <c r="G272" s="45">
        <v>136.68547097759651</v>
      </c>
      <c r="H272" s="46">
        <v>0.28065047381407293</v>
      </c>
      <c r="I272" s="46">
        <v>-0.14335075845585099</v>
      </c>
      <c r="J272" s="46">
        <v>0.13379397198976095</v>
      </c>
    </row>
    <row r="273" spans="1:10" ht="11.25" customHeight="1" x14ac:dyDescent="0.2">
      <c r="A273" s="51" t="s">
        <v>24</v>
      </c>
      <c r="B273" s="45">
        <v>0</v>
      </c>
      <c r="C273" s="45">
        <v>0</v>
      </c>
      <c r="D273" s="45">
        <v>301.11525999999992</v>
      </c>
      <c r="E273" s="45">
        <v>385.62340039164769</v>
      </c>
      <c r="F273" s="45">
        <v>159.55826999999996</v>
      </c>
      <c r="G273" s="45">
        <v>136.68547097759651</v>
      </c>
      <c r="H273" s="46">
        <v>0.28065047381407293</v>
      </c>
      <c r="I273" s="46">
        <v>-0.14335075845585099</v>
      </c>
      <c r="J273" s="46">
        <v>0.13379397198976095</v>
      </c>
    </row>
    <row r="274" spans="1:10" ht="11.25" customHeight="1" x14ac:dyDescent="0.2">
      <c r="A274" s="52" t="s">
        <v>25</v>
      </c>
      <c r="B274" s="45">
        <v>0</v>
      </c>
      <c r="C274" s="45">
        <v>0</v>
      </c>
      <c r="D274" s="45">
        <v>301.11525999999992</v>
      </c>
      <c r="E274" s="45">
        <v>385.62340039164769</v>
      </c>
      <c r="F274" s="45">
        <v>159.55826999999996</v>
      </c>
      <c r="G274" s="45">
        <v>136.68547097759651</v>
      </c>
      <c r="H274" s="46">
        <v>0.28065047381407293</v>
      </c>
      <c r="I274" s="46">
        <v>-0.14335075845585099</v>
      </c>
      <c r="J274" s="46">
        <v>0.13379397198976095</v>
      </c>
    </row>
    <row r="275" spans="1:10" ht="11.25" customHeight="1" x14ac:dyDescent="0.2">
      <c r="A275" s="53" t="s">
        <v>25</v>
      </c>
      <c r="B275" s="45">
        <v>0</v>
      </c>
      <c r="C275" s="45">
        <v>0</v>
      </c>
      <c r="D275" s="45">
        <v>301.11525999999992</v>
      </c>
      <c r="E275" s="45">
        <v>385.62340039164769</v>
      </c>
      <c r="F275" s="45">
        <v>159.55826999999996</v>
      </c>
      <c r="G275" s="45">
        <v>136.68547097759651</v>
      </c>
      <c r="H275" s="46">
        <v>0.28065047381407293</v>
      </c>
      <c r="I275" s="46">
        <v>-0.14335075845585099</v>
      </c>
      <c r="J275" s="46">
        <v>0.13379397198976095</v>
      </c>
    </row>
    <row r="276" spans="1:10" ht="11.25" customHeight="1" x14ac:dyDescent="0.2">
      <c r="A276" s="54" t="s">
        <v>38</v>
      </c>
      <c r="B276" s="45">
        <v>0</v>
      </c>
      <c r="C276" s="45">
        <v>0</v>
      </c>
      <c r="D276" s="45">
        <v>186.75737999999998</v>
      </c>
      <c r="E276" s="45">
        <v>241.64966910013945</v>
      </c>
      <c r="F276" s="45">
        <v>127.40546999999999</v>
      </c>
      <c r="G276" s="45">
        <v>109.14179924407581</v>
      </c>
      <c r="H276" s="46">
        <v>0.29392299838506775</v>
      </c>
      <c r="I276" s="46">
        <v>-0.1433507584558511</v>
      </c>
      <c r="J276" s="46">
        <v>0.1165911830256674</v>
      </c>
    </row>
    <row r="277" spans="1:10" ht="11.25" customHeight="1" x14ac:dyDescent="0.2">
      <c r="A277" s="55">
        <v>44682</v>
      </c>
      <c r="B277" s="45">
        <v>0</v>
      </c>
      <c r="C277" s="45">
        <v>0</v>
      </c>
      <c r="D277" s="45">
        <v>22.190940000000001</v>
      </c>
      <c r="E277" s="45">
        <v>28.713367621783132</v>
      </c>
      <c r="F277" s="45">
        <v>15.13861</v>
      </c>
      <c r="G277" s="45">
        <v>12.968478774532668</v>
      </c>
      <c r="H277" s="46">
        <v>0.29392299838506752</v>
      </c>
      <c r="I277" s="46">
        <v>-0.1433507584558511</v>
      </c>
      <c r="J277" s="46">
        <v>0.1165911830256674</v>
      </c>
    </row>
    <row r="278" spans="1:10" ht="11.25" customHeight="1" x14ac:dyDescent="0.2">
      <c r="A278" s="55">
        <v>44713</v>
      </c>
      <c r="B278" s="45">
        <v>0</v>
      </c>
      <c r="C278" s="45">
        <v>0</v>
      </c>
      <c r="D278" s="45">
        <v>69.12576</v>
      </c>
      <c r="E278" s="45">
        <v>89.443410644846566</v>
      </c>
      <c r="F278" s="45">
        <v>47.157439999999994</v>
      </c>
      <c r="G278" s="45">
        <v>40.397385209163708</v>
      </c>
      <c r="H278" s="46">
        <v>0.29392299838506752</v>
      </c>
      <c r="I278" s="46">
        <v>-0.14335075845585099</v>
      </c>
      <c r="J278" s="46">
        <v>0.1165911830256674</v>
      </c>
    </row>
    <row r="279" spans="1:10" ht="11.25" customHeight="1" x14ac:dyDescent="0.2">
      <c r="A279" s="55">
        <v>44743</v>
      </c>
      <c r="B279" s="45">
        <v>0</v>
      </c>
      <c r="C279" s="45">
        <v>0</v>
      </c>
      <c r="D279" s="45">
        <v>47.72034</v>
      </c>
      <c r="E279" s="45">
        <v>61.746445416754874</v>
      </c>
      <c r="F279" s="45">
        <v>32.55471</v>
      </c>
      <c r="G279" s="45">
        <v>27.887967630189717</v>
      </c>
      <c r="H279" s="46">
        <v>0.29392299838506752</v>
      </c>
      <c r="I279" s="46">
        <v>-0.14335075845585121</v>
      </c>
      <c r="J279" s="46">
        <v>0.1165911830256674</v>
      </c>
    </row>
    <row r="280" spans="1:10" ht="11.25" customHeight="1" x14ac:dyDescent="0.2">
      <c r="A280" s="55">
        <v>44774</v>
      </c>
      <c r="B280" s="45">
        <v>0</v>
      </c>
      <c r="C280" s="45">
        <v>0</v>
      </c>
      <c r="D280" s="45">
        <v>47.72034</v>
      </c>
      <c r="E280" s="45">
        <v>61.746445416754874</v>
      </c>
      <c r="F280" s="45">
        <v>32.55471</v>
      </c>
      <c r="G280" s="45">
        <v>27.887967630189717</v>
      </c>
      <c r="H280" s="46">
        <v>0.29392299838506752</v>
      </c>
      <c r="I280" s="46">
        <v>-0.14335075845585121</v>
      </c>
      <c r="J280" s="46">
        <v>0.1165911830256674</v>
      </c>
    </row>
    <row r="281" spans="1:10" ht="11.25" customHeight="1" x14ac:dyDescent="0.2">
      <c r="A281" s="54" t="s">
        <v>56</v>
      </c>
      <c r="B281" s="45">
        <v>0</v>
      </c>
      <c r="C281" s="45">
        <v>0</v>
      </c>
      <c r="D281" s="45">
        <v>31.562860000000001</v>
      </c>
      <c r="E281" s="45">
        <v>39.967130450021948</v>
      </c>
      <c r="F281" s="45">
        <v>11.521419999999999</v>
      </c>
      <c r="G281" s="45">
        <v>9.8698157045115877</v>
      </c>
      <c r="H281" s="46">
        <v>0.26627087817840178</v>
      </c>
      <c r="I281" s="46">
        <v>-0.1433507584558511</v>
      </c>
      <c r="J281" s="46">
        <v>0.15673155393413873</v>
      </c>
    </row>
    <row r="282" spans="1:10" ht="11.25" customHeight="1" x14ac:dyDescent="0.2">
      <c r="A282" s="55">
        <v>44682</v>
      </c>
      <c r="B282" s="45">
        <v>0</v>
      </c>
      <c r="C282" s="45">
        <v>0</v>
      </c>
      <c r="D282" s="45">
        <v>2.2020599999999999</v>
      </c>
      <c r="E282" s="45">
        <v>2.788404450001531</v>
      </c>
      <c r="F282" s="45">
        <v>0.80381999999999998</v>
      </c>
      <c r="G282" s="45">
        <v>0.68859179333801779</v>
      </c>
      <c r="H282" s="46">
        <v>0.26627087817840156</v>
      </c>
      <c r="I282" s="46">
        <v>-0.1433507584558511</v>
      </c>
      <c r="J282" s="46">
        <v>0.15673155393413873</v>
      </c>
    </row>
    <row r="283" spans="1:10" ht="11.25" customHeight="1" x14ac:dyDescent="0.2">
      <c r="A283" s="55">
        <v>44713</v>
      </c>
      <c r="B283" s="45">
        <v>0</v>
      </c>
      <c r="C283" s="45">
        <v>0</v>
      </c>
      <c r="D283" s="45">
        <v>11.74432</v>
      </c>
      <c r="E283" s="45">
        <v>14.871490400008167</v>
      </c>
      <c r="F283" s="45">
        <v>4.2870400000000002</v>
      </c>
      <c r="G283" s="45">
        <v>3.6724895644694282</v>
      </c>
      <c r="H283" s="46">
        <v>0.26627087817840178</v>
      </c>
      <c r="I283" s="46">
        <v>-0.1433507584558511</v>
      </c>
      <c r="J283" s="46">
        <v>0.15673155393413873</v>
      </c>
    </row>
    <row r="284" spans="1:10" ht="11.25" customHeight="1" x14ac:dyDescent="0.2">
      <c r="A284" s="55">
        <v>44743</v>
      </c>
      <c r="B284" s="45">
        <v>0</v>
      </c>
      <c r="C284" s="45">
        <v>0</v>
      </c>
      <c r="D284" s="45">
        <v>8.8082399999999996</v>
      </c>
      <c r="E284" s="45">
        <v>11.153617800006124</v>
      </c>
      <c r="F284" s="45">
        <v>3.2152799999999999</v>
      </c>
      <c r="G284" s="45">
        <v>2.7543671733520712</v>
      </c>
      <c r="H284" s="46">
        <v>0.26627087817840156</v>
      </c>
      <c r="I284" s="46">
        <v>-0.1433507584558511</v>
      </c>
      <c r="J284" s="46">
        <v>0.15673155393413873</v>
      </c>
    </row>
    <row r="285" spans="1:10" ht="11.25" customHeight="1" x14ac:dyDescent="0.2">
      <c r="A285" s="55">
        <v>44774</v>
      </c>
      <c r="B285" s="45">
        <v>0</v>
      </c>
      <c r="C285" s="45">
        <v>0</v>
      </c>
      <c r="D285" s="45">
        <v>8.8082399999999996</v>
      </c>
      <c r="E285" s="45">
        <v>11.153617800006124</v>
      </c>
      <c r="F285" s="45">
        <v>3.2152799999999999</v>
      </c>
      <c r="G285" s="45">
        <v>2.7543671733520712</v>
      </c>
      <c r="H285" s="46">
        <v>0.26627087817840156</v>
      </c>
      <c r="I285" s="46">
        <v>-0.1433507584558511</v>
      </c>
      <c r="J285" s="46">
        <v>0.15673155393413873</v>
      </c>
    </row>
    <row r="286" spans="1:10" ht="11.25" customHeight="1" x14ac:dyDescent="0.2">
      <c r="A286" s="54" t="s">
        <v>37</v>
      </c>
      <c r="B286" s="45">
        <v>0</v>
      </c>
      <c r="C286" s="45">
        <v>0</v>
      </c>
      <c r="D286" s="45">
        <v>82.795019999999994</v>
      </c>
      <c r="E286" s="45">
        <v>104.00660084148625</v>
      </c>
      <c r="F286" s="45">
        <v>20.63138</v>
      </c>
      <c r="G286" s="45">
        <v>17.673856029009123</v>
      </c>
      <c r="H286" s="46">
        <v>0.25619392134317076</v>
      </c>
      <c r="I286" s="46">
        <v>-0.1433507584558511</v>
      </c>
      <c r="J286" s="46">
        <v>0.17649320551131398</v>
      </c>
    </row>
    <row r="287" spans="1:10" ht="11.25" customHeight="1" x14ac:dyDescent="0.2">
      <c r="A287" s="55">
        <v>44682</v>
      </c>
      <c r="B287" s="45">
        <v>0</v>
      </c>
      <c r="C287" s="45">
        <v>0</v>
      </c>
      <c r="D287" s="45">
        <v>10.752599999999999</v>
      </c>
      <c r="E287" s="45">
        <v>13.507350758634578</v>
      </c>
      <c r="F287" s="45">
        <v>2.6794000000000002</v>
      </c>
      <c r="G287" s="45">
        <v>2.2953059777933924</v>
      </c>
      <c r="H287" s="46">
        <v>0.25619392134317076</v>
      </c>
      <c r="I287" s="46">
        <v>-0.14335075845585121</v>
      </c>
      <c r="J287" s="46">
        <v>0.1764932055113142</v>
      </c>
    </row>
    <row r="288" spans="1:10" ht="11.25" customHeight="1" x14ac:dyDescent="0.2">
      <c r="A288" s="55">
        <v>44713</v>
      </c>
      <c r="B288" s="45">
        <v>0</v>
      </c>
      <c r="C288" s="45">
        <v>0</v>
      </c>
      <c r="D288" s="45">
        <v>24.730979999999999</v>
      </c>
      <c r="E288" s="45">
        <v>31.066906744859526</v>
      </c>
      <c r="F288" s="45">
        <v>6.1626199999999995</v>
      </c>
      <c r="G288" s="45">
        <v>5.2792037489248029</v>
      </c>
      <c r="H288" s="46">
        <v>0.25619392134317076</v>
      </c>
      <c r="I288" s="46">
        <v>-0.14335075845585099</v>
      </c>
      <c r="J288" s="46">
        <v>0.17649320551131398</v>
      </c>
    </row>
    <row r="289" spans="1:10" ht="11.25" customHeight="1" x14ac:dyDescent="0.2">
      <c r="A289" s="55">
        <v>44743</v>
      </c>
      <c r="B289" s="45">
        <v>0</v>
      </c>
      <c r="C289" s="45">
        <v>0</v>
      </c>
      <c r="D289" s="45">
        <v>23.655719999999999</v>
      </c>
      <c r="E289" s="45">
        <v>29.716171668996068</v>
      </c>
      <c r="F289" s="45">
        <v>5.8946799999999993</v>
      </c>
      <c r="G289" s="45">
        <v>5.0496731511454636</v>
      </c>
      <c r="H289" s="46">
        <v>0.25619392134317076</v>
      </c>
      <c r="I289" s="46">
        <v>-0.14335075845585099</v>
      </c>
      <c r="J289" s="46">
        <v>0.17649320551131398</v>
      </c>
    </row>
    <row r="290" spans="1:10" ht="11.25" customHeight="1" x14ac:dyDescent="0.2">
      <c r="A290" s="55">
        <v>44774</v>
      </c>
      <c r="B290" s="45">
        <v>0</v>
      </c>
      <c r="C290" s="45">
        <v>0</v>
      </c>
      <c r="D290" s="45">
        <v>23.655719999999999</v>
      </c>
      <c r="E290" s="45">
        <v>29.716171668996068</v>
      </c>
      <c r="F290" s="45">
        <v>5.8946799999999993</v>
      </c>
      <c r="G290" s="45">
        <v>5.0496731511454636</v>
      </c>
      <c r="H290" s="46">
        <v>0.25619392134317076</v>
      </c>
      <c r="I290" s="46">
        <v>-0.14335075845585099</v>
      </c>
      <c r="J290" s="46">
        <v>0.17649320551131398</v>
      </c>
    </row>
    <row r="291" spans="1:10" ht="11.25" customHeight="1" x14ac:dyDescent="0.2">
      <c r="A291" s="49" t="s">
        <v>23</v>
      </c>
      <c r="B291" s="45">
        <v>0</v>
      </c>
      <c r="C291" s="45">
        <v>0</v>
      </c>
      <c r="D291" s="45">
        <v>15938972.25862</v>
      </c>
      <c r="E291" s="45">
        <v>20353015.929166365</v>
      </c>
      <c r="F291" s="45">
        <v>7988213.5808999967</v>
      </c>
      <c r="G291" s="45">
        <v>6843099.109391477</v>
      </c>
      <c r="H291" s="46">
        <v>0.27693402052062677</v>
      </c>
      <c r="I291" s="46">
        <v>-0.14335050758363765</v>
      </c>
      <c r="J291" s="46">
        <v>0.13661987753021232</v>
      </c>
    </row>
    <row r="292" spans="1:10" ht="11.25" customHeight="1" x14ac:dyDescent="0.2">
      <c r="A292" s="50" t="s">
        <v>24</v>
      </c>
      <c r="B292" s="45">
        <v>0</v>
      </c>
      <c r="C292" s="45">
        <v>0</v>
      </c>
      <c r="D292" s="45">
        <v>15938972.25862</v>
      </c>
      <c r="E292" s="45">
        <v>20353015.929166365</v>
      </c>
      <c r="F292" s="45">
        <v>7988213.5808999967</v>
      </c>
      <c r="G292" s="45">
        <v>6843099.109391477</v>
      </c>
      <c r="H292" s="46">
        <v>0.27693402052062677</v>
      </c>
      <c r="I292" s="46">
        <v>-0.14335050758363765</v>
      </c>
      <c r="J292" s="46">
        <v>0.13661987753021232</v>
      </c>
    </row>
    <row r="293" spans="1:10" ht="11.25" customHeight="1" x14ac:dyDescent="0.2">
      <c r="A293" s="51" t="s">
        <v>24</v>
      </c>
      <c r="B293" s="45">
        <v>0</v>
      </c>
      <c r="C293" s="45">
        <v>0</v>
      </c>
      <c r="D293" s="45">
        <v>15751440.475979999</v>
      </c>
      <c r="E293" s="45">
        <v>20127765.852164868</v>
      </c>
      <c r="F293" s="45">
        <v>7842936.4475099994</v>
      </c>
      <c r="G293" s="45">
        <v>6718645.559238404</v>
      </c>
      <c r="H293" s="46">
        <v>0.27783651805423815</v>
      </c>
      <c r="I293" s="46">
        <v>-0.14335075845585121</v>
      </c>
      <c r="J293" s="46">
        <v>0.13783091193544639</v>
      </c>
    </row>
    <row r="294" spans="1:10" ht="11.25" customHeight="1" x14ac:dyDescent="0.2">
      <c r="A294" s="52" t="s">
        <v>25</v>
      </c>
      <c r="B294" s="45">
        <v>0</v>
      </c>
      <c r="C294" s="45">
        <v>0</v>
      </c>
      <c r="D294" s="45">
        <v>15751440.475979999</v>
      </c>
      <c r="E294" s="45">
        <v>20127765.852164868</v>
      </c>
      <c r="F294" s="45">
        <v>7842936.4475099994</v>
      </c>
      <c r="G294" s="45">
        <v>6718645.559238404</v>
      </c>
      <c r="H294" s="46">
        <v>0.27783651805423815</v>
      </c>
      <c r="I294" s="46">
        <v>-0.14335075845585121</v>
      </c>
      <c r="J294" s="46">
        <v>0.13783091193544639</v>
      </c>
    </row>
    <row r="295" spans="1:10" ht="11.25" customHeight="1" x14ac:dyDescent="0.2">
      <c r="A295" s="53" t="s">
        <v>25</v>
      </c>
      <c r="B295" s="45">
        <v>0</v>
      </c>
      <c r="C295" s="45">
        <v>0</v>
      </c>
      <c r="D295" s="45">
        <v>15751440.475979999</v>
      </c>
      <c r="E295" s="45">
        <v>20127765.852164868</v>
      </c>
      <c r="F295" s="45">
        <v>7842936.4475099994</v>
      </c>
      <c r="G295" s="45">
        <v>6718645.559238404</v>
      </c>
      <c r="H295" s="46">
        <v>0.27783651805423815</v>
      </c>
      <c r="I295" s="46">
        <v>-0.14335075845585121</v>
      </c>
      <c r="J295" s="46">
        <v>0.13783091193544639</v>
      </c>
    </row>
    <row r="296" spans="1:10" ht="11.25" customHeight="1" x14ac:dyDescent="0.2">
      <c r="A296" s="54" t="s">
        <v>25</v>
      </c>
      <c r="B296" s="45">
        <v>0</v>
      </c>
      <c r="C296" s="45">
        <v>0</v>
      </c>
      <c r="D296" s="45">
        <v>15751440.475979999</v>
      </c>
      <c r="E296" s="45">
        <v>20127765.852164868</v>
      </c>
      <c r="F296" s="45">
        <v>7842936.4475099994</v>
      </c>
      <c r="G296" s="45">
        <v>6718645.559238404</v>
      </c>
      <c r="H296" s="46">
        <v>0.27783651805423815</v>
      </c>
      <c r="I296" s="46">
        <v>-0.14335075845585121</v>
      </c>
      <c r="J296" s="46">
        <v>0.13783091193544639</v>
      </c>
    </row>
    <row r="297" spans="1:10" ht="11.25" customHeight="1" x14ac:dyDescent="0.2">
      <c r="A297" s="55">
        <v>44440</v>
      </c>
      <c r="B297" s="45">
        <v>0</v>
      </c>
      <c r="C297" s="45">
        <v>0</v>
      </c>
      <c r="D297" s="45">
        <v>1241140.41656</v>
      </c>
      <c r="E297" s="45">
        <v>1585974.5483134168</v>
      </c>
      <c r="F297" s="45">
        <v>617986.9977200001</v>
      </c>
      <c r="G297" s="45">
        <v>529398.09288098372</v>
      </c>
      <c r="H297" s="46">
        <v>0.27783651805423792</v>
      </c>
      <c r="I297" s="46">
        <v>-0.14335075845585121</v>
      </c>
      <c r="J297" s="46">
        <v>0.13783091193544617</v>
      </c>
    </row>
    <row r="298" spans="1:10" ht="11.25" customHeight="1" x14ac:dyDescent="0.2">
      <c r="A298" s="55">
        <v>44470</v>
      </c>
      <c r="B298" s="45">
        <v>0</v>
      </c>
      <c r="C298" s="45">
        <v>0</v>
      </c>
      <c r="D298" s="45">
        <v>1217575.0655200002</v>
      </c>
      <c r="E298" s="45">
        <v>1555861.8821937372</v>
      </c>
      <c r="F298" s="45">
        <v>606253.36924000003</v>
      </c>
      <c r="G298" s="45">
        <v>519346.48894303082</v>
      </c>
      <c r="H298" s="46">
        <v>0.27783651805423748</v>
      </c>
      <c r="I298" s="46">
        <v>-0.14335075845585121</v>
      </c>
      <c r="J298" s="46">
        <v>0.13783091193544594</v>
      </c>
    </row>
    <row r="299" spans="1:10" ht="11.25" customHeight="1" x14ac:dyDescent="0.2">
      <c r="A299" s="55">
        <v>44501</v>
      </c>
      <c r="B299" s="45">
        <v>0</v>
      </c>
      <c r="C299" s="45">
        <v>0</v>
      </c>
      <c r="D299" s="45">
        <v>1182132.3298399998</v>
      </c>
      <c r="E299" s="45">
        <v>1510571.8602420893</v>
      </c>
      <c r="F299" s="45">
        <v>588605.76908</v>
      </c>
      <c r="G299" s="45">
        <v>504228.68565089244</v>
      </c>
      <c r="H299" s="46">
        <v>0.27783651805423792</v>
      </c>
      <c r="I299" s="46">
        <v>-0.1433507584558511</v>
      </c>
      <c r="J299" s="46">
        <v>0.13783091193544617</v>
      </c>
    </row>
    <row r="300" spans="1:10" ht="11.25" customHeight="1" x14ac:dyDescent="0.2">
      <c r="A300" s="55">
        <v>44531</v>
      </c>
      <c r="B300" s="45">
        <v>0</v>
      </c>
      <c r="C300" s="45">
        <v>0</v>
      </c>
      <c r="D300" s="45">
        <v>1236443.7052</v>
      </c>
      <c r="E300" s="45">
        <v>1579972.9190228484</v>
      </c>
      <c r="F300" s="45">
        <v>615648.41739999992</v>
      </c>
      <c r="G300" s="45">
        <v>527394.74982356559</v>
      </c>
      <c r="H300" s="46">
        <v>0.2778365180542377</v>
      </c>
      <c r="I300" s="46">
        <v>-0.14335075845585099</v>
      </c>
      <c r="J300" s="46">
        <v>0.13783091193544617</v>
      </c>
    </row>
    <row r="301" spans="1:10" ht="11.25" customHeight="1" x14ac:dyDescent="0.2">
      <c r="A301" s="55">
        <v>44562</v>
      </c>
      <c r="B301" s="45">
        <v>0</v>
      </c>
      <c r="C301" s="45">
        <v>0</v>
      </c>
      <c r="D301" s="45">
        <v>1561931.5065200001</v>
      </c>
      <c r="E301" s="45">
        <v>1995893.117730727</v>
      </c>
      <c r="F301" s="45">
        <v>777714.87374000007</v>
      </c>
      <c r="G301" s="45">
        <v>666228.85672697448</v>
      </c>
      <c r="H301" s="46">
        <v>0.27783651805423792</v>
      </c>
      <c r="I301" s="46">
        <v>-0.14335075845585121</v>
      </c>
      <c r="J301" s="46">
        <v>0.13783091193544617</v>
      </c>
    </row>
    <row r="302" spans="1:10" ht="11.25" customHeight="1" x14ac:dyDescent="0.2">
      <c r="A302" s="55">
        <v>44593</v>
      </c>
      <c r="B302" s="45">
        <v>0</v>
      </c>
      <c r="C302" s="45">
        <v>0</v>
      </c>
      <c r="D302" s="45">
        <v>1639601.8639</v>
      </c>
      <c r="E302" s="45">
        <v>2095143.1367612146</v>
      </c>
      <c r="F302" s="45">
        <v>816388.39555000002</v>
      </c>
      <c r="G302" s="45">
        <v>699358.4998533522</v>
      </c>
      <c r="H302" s="46">
        <v>0.27783651805423792</v>
      </c>
      <c r="I302" s="46">
        <v>-0.14335075845585099</v>
      </c>
      <c r="J302" s="46">
        <v>0.13783091193544639</v>
      </c>
    </row>
    <row r="303" spans="1:10" ht="11.25" customHeight="1" x14ac:dyDescent="0.2">
      <c r="A303" s="55">
        <v>44621</v>
      </c>
      <c r="B303" s="45">
        <v>0</v>
      </c>
      <c r="C303" s="45">
        <v>0</v>
      </c>
      <c r="D303" s="45">
        <v>1517996.9681799999</v>
      </c>
      <c r="E303" s="45">
        <v>1939751.9602360209</v>
      </c>
      <c r="F303" s="45">
        <v>755839.04640999995</v>
      </c>
      <c r="G303" s="45">
        <v>647488.94583657919</v>
      </c>
      <c r="H303" s="46">
        <v>0.27783651805423792</v>
      </c>
      <c r="I303" s="46">
        <v>-0.1433507584558511</v>
      </c>
      <c r="J303" s="46">
        <v>0.13783091193544617</v>
      </c>
    </row>
    <row r="304" spans="1:10" ht="11.25" customHeight="1" x14ac:dyDescent="0.2">
      <c r="A304" s="55">
        <v>44652</v>
      </c>
      <c r="B304" s="45">
        <v>0</v>
      </c>
      <c r="C304" s="45">
        <v>0</v>
      </c>
      <c r="D304" s="45">
        <v>1280746.85574</v>
      </c>
      <c r="E304" s="45">
        <v>1636585.102647715</v>
      </c>
      <c r="F304" s="45">
        <v>637707.78362999996</v>
      </c>
      <c r="G304" s="45">
        <v>546291.8891734397</v>
      </c>
      <c r="H304" s="46">
        <v>0.27783651805423792</v>
      </c>
      <c r="I304" s="46">
        <v>-0.1433507584558511</v>
      </c>
      <c r="J304" s="46">
        <v>0.13783091193544639</v>
      </c>
    </row>
    <row r="305" spans="1:10" ht="11.25" customHeight="1" x14ac:dyDescent="0.2">
      <c r="A305" s="55">
        <v>44682</v>
      </c>
      <c r="B305" s="45">
        <v>0</v>
      </c>
      <c r="C305" s="45">
        <v>0</v>
      </c>
      <c r="D305" s="45">
        <v>1149046.2907</v>
      </c>
      <c r="E305" s="45">
        <v>1468293.3111912257</v>
      </c>
      <c r="F305" s="45">
        <v>572131.61215000006</v>
      </c>
      <c r="G305" s="45">
        <v>490116.11161172861</v>
      </c>
      <c r="H305" s="46">
        <v>0.27783651805423792</v>
      </c>
      <c r="I305" s="46">
        <v>-0.14335075845585132</v>
      </c>
      <c r="J305" s="46">
        <v>0.13783091193544594</v>
      </c>
    </row>
    <row r="306" spans="1:10" ht="11.25" customHeight="1" x14ac:dyDescent="0.2">
      <c r="A306" s="55">
        <v>44713</v>
      </c>
      <c r="B306" s="45">
        <v>0</v>
      </c>
      <c r="C306" s="45">
        <v>0</v>
      </c>
      <c r="D306" s="45">
        <v>1226480.1443399999</v>
      </c>
      <c r="E306" s="45">
        <v>1567241.1171060847</v>
      </c>
      <c r="F306" s="45">
        <v>610687.37433000002</v>
      </c>
      <c r="G306" s="45">
        <v>523144.87604038225</v>
      </c>
      <c r="H306" s="46">
        <v>0.27783651805423792</v>
      </c>
      <c r="I306" s="46">
        <v>-0.1433507584558511</v>
      </c>
      <c r="J306" s="46">
        <v>0.13783091193544639</v>
      </c>
    </row>
    <row r="307" spans="1:10" ht="11.25" customHeight="1" x14ac:dyDescent="0.2">
      <c r="A307" s="55">
        <v>44743</v>
      </c>
      <c r="B307" s="45">
        <v>0</v>
      </c>
      <c r="C307" s="45">
        <v>0</v>
      </c>
      <c r="D307" s="45">
        <v>1249172.6647399999</v>
      </c>
      <c r="E307" s="45">
        <v>1596238.4483598955</v>
      </c>
      <c r="F307" s="45">
        <v>621986.40412999992</v>
      </c>
      <c r="G307" s="45">
        <v>532824.18134873686</v>
      </c>
      <c r="H307" s="46">
        <v>0.27783651805423792</v>
      </c>
      <c r="I307" s="46">
        <v>-0.14335075845585121</v>
      </c>
      <c r="J307" s="46">
        <v>0.13783091193544617</v>
      </c>
    </row>
    <row r="308" spans="1:10" ht="11.25" customHeight="1" x14ac:dyDescent="0.2">
      <c r="A308" s="55">
        <v>44774</v>
      </c>
      <c r="B308" s="45">
        <v>0</v>
      </c>
      <c r="C308" s="45">
        <v>0</v>
      </c>
      <c r="D308" s="45">
        <v>1249172.6647399999</v>
      </c>
      <c r="E308" s="45">
        <v>1596238.4483598955</v>
      </c>
      <c r="F308" s="45">
        <v>621986.40412999992</v>
      </c>
      <c r="G308" s="45">
        <v>532824.18134873686</v>
      </c>
      <c r="H308" s="46">
        <v>0.27783651805423792</v>
      </c>
      <c r="I308" s="46">
        <v>-0.14335075845585121</v>
      </c>
      <c r="J308" s="46">
        <v>0.13783091193544617</v>
      </c>
    </row>
    <row r="309" spans="1:10" ht="11.25" customHeight="1" x14ac:dyDescent="0.2">
      <c r="A309" s="51" t="s">
        <v>29</v>
      </c>
      <c r="B309" s="45">
        <v>0</v>
      </c>
      <c r="C309" s="45">
        <v>0</v>
      </c>
      <c r="D309" s="45">
        <v>12677.100549999999</v>
      </c>
      <c r="E309" s="45">
        <v>15225.990548092996</v>
      </c>
      <c r="F309" s="45">
        <v>9820.4071500000027</v>
      </c>
      <c r="G309" s="45">
        <v>8412.5546305352836</v>
      </c>
      <c r="H309" s="46">
        <v>0.20106253697680088</v>
      </c>
      <c r="I309" s="46">
        <v>-0.14335989312466735</v>
      </c>
      <c r="J309" s="46">
        <v>5.0718394848167092E-2</v>
      </c>
    </row>
    <row r="310" spans="1:10" ht="11.25" customHeight="1" x14ac:dyDescent="0.2">
      <c r="A310" s="52" t="s">
        <v>25</v>
      </c>
      <c r="B310" s="45">
        <v>0</v>
      </c>
      <c r="C310" s="45">
        <v>0</v>
      </c>
      <c r="D310" s="45">
        <v>12677.100549999999</v>
      </c>
      <c r="E310" s="45">
        <v>15225.990548092996</v>
      </c>
      <c r="F310" s="45">
        <v>9820.4071500000027</v>
      </c>
      <c r="G310" s="45">
        <v>8412.5546305352836</v>
      </c>
      <c r="H310" s="46">
        <v>0.20106253697680088</v>
      </c>
      <c r="I310" s="46">
        <v>-0.14335989312466735</v>
      </c>
      <c r="J310" s="46">
        <v>5.0718394848167092E-2</v>
      </c>
    </row>
    <row r="311" spans="1:10" ht="11.25" customHeight="1" x14ac:dyDescent="0.2">
      <c r="A311" s="53" t="s">
        <v>25</v>
      </c>
      <c r="B311" s="45">
        <v>0</v>
      </c>
      <c r="C311" s="45">
        <v>0</v>
      </c>
      <c r="D311" s="45">
        <v>12677.100549999999</v>
      </c>
      <c r="E311" s="45">
        <v>15225.990548092996</v>
      </c>
      <c r="F311" s="45">
        <v>9820.4071500000027</v>
      </c>
      <c r="G311" s="45">
        <v>8412.5546305352836</v>
      </c>
      <c r="H311" s="46">
        <v>0.20106253697680088</v>
      </c>
      <c r="I311" s="46">
        <v>-0.14335989312466735</v>
      </c>
      <c r="J311" s="46">
        <v>5.0718394848167092E-2</v>
      </c>
    </row>
    <row r="312" spans="1:10" ht="11.25" customHeight="1" x14ac:dyDescent="0.2">
      <c r="A312" s="54" t="s">
        <v>25</v>
      </c>
      <c r="B312" s="45">
        <v>0</v>
      </c>
      <c r="C312" s="45">
        <v>0</v>
      </c>
      <c r="D312" s="45">
        <v>12677.100549999999</v>
      </c>
      <c r="E312" s="45">
        <v>15225.990548092996</v>
      </c>
      <c r="F312" s="45">
        <v>9820.4071500000027</v>
      </c>
      <c r="G312" s="45">
        <v>8412.5546305352836</v>
      </c>
      <c r="H312" s="46">
        <v>0.20106253697680088</v>
      </c>
      <c r="I312" s="46">
        <v>-0.14335989312466735</v>
      </c>
      <c r="J312" s="46">
        <v>5.0718394848167092E-2</v>
      </c>
    </row>
    <row r="313" spans="1:10" ht="11.25" customHeight="1" x14ac:dyDescent="0.2">
      <c r="A313" s="55">
        <v>44440</v>
      </c>
      <c r="B313" s="45">
        <v>0</v>
      </c>
      <c r="C313" s="45">
        <v>0</v>
      </c>
      <c r="D313" s="45">
        <v>764.49390000000005</v>
      </c>
      <c r="E313" s="45">
        <v>918.20498303728868</v>
      </c>
      <c r="F313" s="45">
        <v>592.22070000000008</v>
      </c>
      <c r="G313" s="45">
        <v>507.32000374178455</v>
      </c>
      <c r="H313" s="46">
        <v>0.20106253697680065</v>
      </c>
      <c r="I313" s="46">
        <v>-0.14335989312466713</v>
      </c>
      <c r="J313" s="46">
        <v>5.0718394848167092E-2</v>
      </c>
    </row>
    <row r="314" spans="1:10" ht="11.25" customHeight="1" x14ac:dyDescent="0.2">
      <c r="A314" s="55">
        <v>44470</v>
      </c>
      <c r="B314" s="45">
        <v>0</v>
      </c>
      <c r="C314" s="45">
        <v>0</v>
      </c>
      <c r="D314" s="45">
        <v>780.83699999999999</v>
      </c>
      <c r="E314" s="45">
        <v>937.83406818535411</v>
      </c>
      <c r="F314" s="45">
        <v>604.88099999999997</v>
      </c>
      <c r="G314" s="45">
        <v>518.16532448685825</v>
      </c>
      <c r="H314" s="46">
        <v>0.20106253697680065</v>
      </c>
      <c r="I314" s="46">
        <v>-0.14335989312466701</v>
      </c>
      <c r="J314" s="46">
        <v>5.0718394848167092E-2</v>
      </c>
    </row>
    <row r="315" spans="1:10" ht="11.25" customHeight="1" x14ac:dyDescent="0.2">
      <c r="A315" s="55">
        <v>44501</v>
      </c>
      <c r="B315" s="45">
        <v>0</v>
      </c>
      <c r="C315" s="45">
        <v>0</v>
      </c>
      <c r="D315" s="45">
        <v>795.66684999999995</v>
      </c>
      <c r="E315" s="45">
        <v>955.64564544933955</v>
      </c>
      <c r="F315" s="45">
        <v>616.36905000000002</v>
      </c>
      <c r="G315" s="45">
        <v>528.00644886664747</v>
      </c>
      <c r="H315" s="46">
        <v>0.20106253697680088</v>
      </c>
      <c r="I315" s="46">
        <v>-0.14335989312466701</v>
      </c>
      <c r="J315" s="46">
        <v>5.0718394848167314E-2</v>
      </c>
    </row>
    <row r="316" spans="1:10" ht="11.25" customHeight="1" x14ac:dyDescent="0.2">
      <c r="A316" s="55">
        <v>44531</v>
      </c>
      <c r="B316" s="45">
        <v>0</v>
      </c>
      <c r="C316" s="45">
        <v>0</v>
      </c>
      <c r="D316" s="45">
        <v>813.52319999999997</v>
      </c>
      <c r="E316" s="45">
        <v>977.0922384814852</v>
      </c>
      <c r="F316" s="45">
        <v>630.20159999999998</v>
      </c>
      <c r="G316" s="45">
        <v>539.85596597700578</v>
      </c>
      <c r="H316" s="46">
        <v>0.20106253697680065</v>
      </c>
      <c r="I316" s="46">
        <v>-0.14335989312466713</v>
      </c>
      <c r="J316" s="46">
        <v>5.0718394848167092E-2</v>
      </c>
    </row>
    <row r="317" spans="1:10" ht="11.25" customHeight="1" x14ac:dyDescent="0.2">
      <c r="A317" s="55">
        <v>44562</v>
      </c>
      <c r="B317" s="45">
        <v>0</v>
      </c>
      <c r="C317" s="45">
        <v>0</v>
      </c>
      <c r="D317" s="45">
        <v>818.97090000000003</v>
      </c>
      <c r="E317" s="45">
        <v>983.63526686417367</v>
      </c>
      <c r="F317" s="45">
        <v>634.42169999999999</v>
      </c>
      <c r="G317" s="45">
        <v>543.47107289203041</v>
      </c>
      <c r="H317" s="46">
        <v>0.20106253697680065</v>
      </c>
      <c r="I317" s="46">
        <v>-0.14335989312466701</v>
      </c>
      <c r="J317" s="46">
        <v>5.071839484816687E-2</v>
      </c>
    </row>
    <row r="318" spans="1:10" ht="11.25" customHeight="1" x14ac:dyDescent="0.2">
      <c r="A318" s="55">
        <v>44593</v>
      </c>
      <c r="B318" s="45">
        <v>0</v>
      </c>
      <c r="C318" s="45">
        <v>0</v>
      </c>
      <c r="D318" s="45">
        <v>906.1341000000001</v>
      </c>
      <c r="E318" s="45">
        <v>1088.32372098719</v>
      </c>
      <c r="F318" s="45">
        <v>701.94330000000002</v>
      </c>
      <c r="G318" s="45">
        <v>601.31278353242396</v>
      </c>
      <c r="H318" s="46">
        <v>0.20106253697680043</v>
      </c>
      <c r="I318" s="46">
        <v>-0.14335989312466701</v>
      </c>
      <c r="J318" s="46">
        <v>5.0718394848167092E-2</v>
      </c>
    </row>
    <row r="319" spans="1:10" ht="11.25" customHeight="1" x14ac:dyDescent="0.2">
      <c r="A319" s="55">
        <v>44621</v>
      </c>
      <c r="B319" s="45">
        <v>0</v>
      </c>
      <c r="C319" s="45">
        <v>0</v>
      </c>
      <c r="D319" s="45">
        <v>1176.7032000000002</v>
      </c>
      <c r="E319" s="45">
        <v>1413.2941306607197</v>
      </c>
      <c r="F319" s="45">
        <v>911.54160000000002</v>
      </c>
      <c r="G319" s="45">
        <v>780.86309364531212</v>
      </c>
      <c r="H319" s="46">
        <v>0.20106253697680043</v>
      </c>
      <c r="I319" s="46">
        <v>-0.1433598931246669</v>
      </c>
      <c r="J319" s="46">
        <v>5.071839484816687E-2</v>
      </c>
    </row>
    <row r="320" spans="1:10" ht="11.25" customHeight="1" x14ac:dyDescent="0.2">
      <c r="A320" s="55">
        <v>44652</v>
      </c>
      <c r="B320" s="45">
        <v>0</v>
      </c>
      <c r="C320" s="45">
        <v>0</v>
      </c>
      <c r="D320" s="45">
        <v>1331.0546999999999</v>
      </c>
      <c r="E320" s="45">
        <v>1598.6799348368943</v>
      </c>
      <c r="F320" s="45">
        <v>1031.1110999999999</v>
      </c>
      <c r="G320" s="45">
        <v>883.29112290434205</v>
      </c>
      <c r="H320" s="46">
        <v>0.20106253697680065</v>
      </c>
      <c r="I320" s="46">
        <v>-0.14335989312466701</v>
      </c>
      <c r="J320" s="46">
        <v>5.0718394848167092E-2</v>
      </c>
    </row>
    <row r="321" spans="1:10" ht="11.25" customHeight="1" x14ac:dyDescent="0.2">
      <c r="A321" s="55">
        <v>44682</v>
      </c>
      <c r="B321" s="45">
        <v>0</v>
      </c>
      <c r="C321" s="45">
        <v>0</v>
      </c>
      <c r="D321" s="45">
        <v>1378.2681</v>
      </c>
      <c r="E321" s="45">
        <v>1655.3861808201948</v>
      </c>
      <c r="F321" s="45">
        <v>1067.6853000000001</v>
      </c>
      <c r="G321" s="45">
        <v>914.62204950122191</v>
      </c>
      <c r="H321" s="46">
        <v>0.20106253697680065</v>
      </c>
      <c r="I321" s="46">
        <v>-0.14335989312466713</v>
      </c>
      <c r="J321" s="46">
        <v>5.071839484816687E-2</v>
      </c>
    </row>
    <row r="322" spans="1:10" ht="11.25" customHeight="1" x14ac:dyDescent="0.2">
      <c r="A322" s="55">
        <v>44713</v>
      </c>
      <c r="B322" s="45">
        <v>0</v>
      </c>
      <c r="C322" s="45">
        <v>0</v>
      </c>
      <c r="D322" s="45">
        <v>1358.2932000000001</v>
      </c>
      <c r="E322" s="45">
        <v>1631.395076750337</v>
      </c>
      <c r="F322" s="45">
        <v>1052.2116000000001</v>
      </c>
      <c r="G322" s="45">
        <v>901.36665747946518</v>
      </c>
      <c r="H322" s="46">
        <v>0.20106253697680065</v>
      </c>
      <c r="I322" s="46">
        <v>-0.14335989312466701</v>
      </c>
      <c r="J322" s="46">
        <v>5.0718394848167092E-2</v>
      </c>
    </row>
    <row r="323" spans="1:10" ht="11.25" customHeight="1" x14ac:dyDescent="0.2">
      <c r="A323" s="55">
        <v>44743</v>
      </c>
      <c r="B323" s="45">
        <v>0</v>
      </c>
      <c r="C323" s="45">
        <v>0</v>
      </c>
      <c r="D323" s="45">
        <v>1276.5777</v>
      </c>
      <c r="E323" s="45">
        <v>1533.2496510100091</v>
      </c>
      <c r="F323" s="45">
        <v>988.91010000000006</v>
      </c>
      <c r="G323" s="45">
        <v>847.14005375409624</v>
      </c>
      <c r="H323" s="46">
        <v>0.20106253697680065</v>
      </c>
      <c r="I323" s="46">
        <v>-0.14335989312466701</v>
      </c>
      <c r="J323" s="46">
        <v>5.0718394848167092E-2</v>
      </c>
    </row>
    <row r="324" spans="1:10" ht="11.25" customHeight="1" x14ac:dyDescent="0.2">
      <c r="A324" s="55">
        <v>44774</v>
      </c>
      <c r="B324" s="45">
        <v>0</v>
      </c>
      <c r="C324" s="45">
        <v>0</v>
      </c>
      <c r="D324" s="45">
        <v>1276.5777</v>
      </c>
      <c r="E324" s="45">
        <v>1533.2496510100091</v>
      </c>
      <c r="F324" s="45">
        <v>988.91010000000006</v>
      </c>
      <c r="G324" s="45">
        <v>847.14005375409624</v>
      </c>
      <c r="H324" s="46">
        <v>0.20106253697680065</v>
      </c>
      <c r="I324" s="46">
        <v>-0.14335989312466701</v>
      </c>
      <c r="J324" s="46">
        <v>5.0718394848167092E-2</v>
      </c>
    </row>
    <row r="325" spans="1:10" ht="11.25" customHeight="1" x14ac:dyDescent="0.2">
      <c r="A325" s="51" t="s">
        <v>30</v>
      </c>
      <c r="B325" s="45">
        <v>0</v>
      </c>
      <c r="C325" s="45">
        <v>0</v>
      </c>
      <c r="D325" s="45">
        <v>46723.024239999999</v>
      </c>
      <c r="E325" s="45">
        <v>56120.364527547739</v>
      </c>
      <c r="F325" s="45">
        <v>36195.033619999995</v>
      </c>
      <c r="G325" s="45">
        <v>31007.219594831604</v>
      </c>
      <c r="H325" s="46">
        <v>0.20112868206640178</v>
      </c>
      <c r="I325" s="46">
        <v>-0.14332944347099053</v>
      </c>
      <c r="J325" s="46">
        <v>5.0767304143649383E-2</v>
      </c>
    </row>
    <row r="326" spans="1:10" ht="11.25" customHeight="1" x14ac:dyDescent="0.2">
      <c r="A326" s="52" t="s">
        <v>25</v>
      </c>
      <c r="B326" s="45">
        <v>0</v>
      </c>
      <c r="C326" s="45">
        <v>0</v>
      </c>
      <c r="D326" s="45">
        <v>46723.024239999999</v>
      </c>
      <c r="E326" s="45">
        <v>56120.364527547739</v>
      </c>
      <c r="F326" s="45">
        <v>36195.033619999995</v>
      </c>
      <c r="G326" s="45">
        <v>31007.219594831604</v>
      </c>
      <c r="H326" s="46">
        <v>0.20112868206640178</v>
      </c>
      <c r="I326" s="46">
        <v>-0.14332944347099053</v>
      </c>
      <c r="J326" s="46">
        <v>5.0767304143649383E-2</v>
      </c>
    </row>
    <row r="327" spans="1:10" ht="11.25" customHeight="1" x14ac:dyDescent="0.2">
      <c r="A327" s="53" t="s">
        <v>25</v>
      </c>
      <c r="B327" s="45">
        <v>0</v>
      </c>
      <c r="C327" s="45">
        <v>0</v>
      </c>
      <c r="D327" s="45">
        <v>46723.024239999999</v>
      </c>
      <c r="E327" s="45">
        <v>56120.364527547739</v>
      </c>
      <c r="F327" s="45">
        <v>36195.033619999995</v>
      </c>
      <c r="G327" s="45">
        <v>31007.219594831604</v>
      </c>
      <c r="H327" s="46">
        <v>0.20112868206640178</v>
      </c>
      <c r="I327" s="46">
        <v>-0.14332944347099053</v>
      </c>
      <c r="J327" s="46">
        <v>5.0767304143649383E-2</v>
      </c>
    </row>
    <row r="328" spans="1:10" ht="11.25" customHeight="1" x14ac:dyDescent="0.2">
      <c r="A328" s="54" t="s">
        <v>25</v>
      </c>
      <c r="B328" s="45">
        <v>0</v>
      </c>
      <c r="C328" s="45">
        <v>0</v>
      </c>
      <c r="D328" s="45">
        <v>46723.024239999999</v>
      </c>
      <c r="E328" s="45">
        <v>56120.364527547739</v>
      </c>
      <c r="F328" s="45">
        <v>36195.033619999995</v>
      </c>
      <c r="G328" s="45">
        <v>31007.219594831604</v>
      </c>
      <c r="H328" s="46">
        <v>0.20112868206640178</v>
      </c>
      <c r="I328" s="46">
        <v>-0.14332944347099053</v>
      </c>
      <c r="J328" s="46">
        <v>5.0767304143649383E-2</v>
      </c>
    </row>
    <row r="329" spans="1:10" ht="11.25" customHeight="1" x14ac:dyDescent="0.2">
      <c r="A329" s="55">
        <v>44440</v>
      </c>
      <c r="B329" s="45">
        <v>0</v>
      </c>
      <c r="C329" s="45">
        <v>0</v>
      </c>
      <c r="D329" s="45">
        <v>2829.8464800000002</v>
      </c>
      <c r="E329" s="45">
        <v>3399.0097729726463</v>
      </c>
      <c r="F329" s="45">
        <v>2192.2037399999999</v>
      </c>
      <c r="G329" s="45">
        <v>1877.9963979707759</v>
      </c>
      <c r="H329" s="46">
        <v>0.20112868206640178</v>
      </c>
      <c r="I329" s="46">
        <v>-0.14332944347099053</v>
      </c>
      <c r="J329" s="46">
        <v>5.0767304143649605E-2</v>
      </c>
    </row>
    <row r="330" spans="1:10" ht="11.25" customHeight="1" x14ac:dyDescent="0.2">
      <c r="A330" s="55">
        <v>44470</v>
      </c>
      <c r="B330" s="45">
        <v>0</v>
      </c>
      <c r="C330" s="45">
        <v>0</v>
      </c>
      <c r="D330" s="45">
        <v>2867.8226399999999</v>
      </c>
      <c r="E330" s="45">
        <v>3444.6240279833892</v>
      </c>
      <c r="F330" s="45">
        <v>2221.62282</v>
      </c>
      <c r="G330" s="45">
        <v>1903.1988576069473</v>
      </c>
      <c r="H330" s="46">
        <v>0.201128682066402</v>
      </c>
      <c r="I330" s="46">
        <v>-0.14332944347099064</v>
      </c>
      <c r="J330" s="46">
        <v>5.0767304143649605E-2</v>
      </c>
    </row>
    <row r="331" spans="1:10" ht="11.25" customHeight="1" x14ac:dyDescent="0.2">
      <c r="A331" s="55">
        <v>44501</v>
      </c>
      <c r="B331" s="45">
        <v>0</v>
      </c>
      <c r="C331" s="45">
        <v>0</v>
      </c>
      <c r="D331" s="45">
        <v>2944.9163200000003</v>
      </c>
      <c r="E331" s="45">
        <v>3537.2234582374385</v>
      </c>
      <c r="F331" s="45">
        <v>2281.3451599999999</v>
      </c>
      <c r="G331" s="45">
        <v>1954.3612278519622</v>
      </c>
      <c r="H331" s="46">
        <v>0.20112868206640178</v>
      </c>
      <c r="I331" s="46">
        <v>-0.14332944347099041</v>
      </c>
      <c r="J331" s="46">
        <v>5.0767304143649605E-2</v>
      </c>
    </row>
    <row r="332" spans="1:10" ht="11.25" customHeight="1" x14ac:dyDescent="0.2">
      <c r="A332" s="55">
        <v>44531</v>
      </c>
      <c r="B332" s="45">
        <v>0</v>
      </c>
      <c r="C332" s="45">
        <v>0</v>
      </c>
      <c r="D332" s="45">
        <v>2990.8820000000001</v>
      </c>
      <c r="E332" s="45">
        <v>3592.434154876124</v>
      </c>
      <c r="F332" s="45">
        <v>2316.9534999999996</v>
      </c>
      <c r="G332" s="45">
        <v>1984.8658442968363</v>
      </c>
      <c r="H332" s="46">
        <v>0.20112868206640178</v>
      </c>
      <c r="I332" s="46">
        <v>-0.14332944347099041</v>
      </c>
      <c r="J332" s="46">
        <v>5.0767304143649827E-2</v>
      </c>
    </row>
    <row r="333" spans="1:10" ht="11.25" customHeight="1" x14ac:dyDescent="0.2">
      <c r="A333" s="55">
        <v>44562</v>
      </c>
      <c r="B333" s="45">
        <v>0</v>
      </c>
      <c r="C333" s="45">
        <v>0</v>
      </c>
      <c r="D333" s="45">
        <v>3086.6524800000002</v>
      </c>
      <c r="E333" s="45">
        <v>3707.4668252993911</v>
      </c>
      <c r="F333" s="45">
        <v>2391.1442400000001</v>
      </c>
      <c r="G333" s="45">
        <v>2048.4228668219353</v>
      </c>
      <c r="H333" s="46">
        <v>0.20112868206640178</v>
      </c>
      <c r="I333" s="46">
        <v>-0.14332944347099064</v>
      </c>
      <c r="J333" s="46">
        <v>5.0767304143649605E-2</v>
      </c>
    </row>
    <row r="334" spans="1:10" ht="11.25" customHeight="1" x14ac:dyDescent="0.2">
      <c r="A334" s="55">
        <v>44593</v>
      </c>
      <c r="B334" s="45">
        <v>0</v>
      </c>
      <c r="C334" s="45">
        <v>0</v>
      </c>
      <c r="D334" s="45">
        <v>3432.2770400000004</v>
      </c>
      <c r="E334" s="45">
        <v>4122.6063975419711</v>
      </c>
      <c r="F334" s="45">
        <v>2658.8900199999998</v>
      </c>
      <c r="G334" s="45">
        <v>2277.792793182829</v>
      </c>
      <c r="H334" s="46">
        <v>0.20112868206640178</v>
      </c>
      <c r="I334" s="46">
        <v>-0.14332944347099053</v>
      </c>
      <c r="J334" s="46">
        <v>5.0767304143649605E-2</v>
      </c>
    </row>
    <row r="335" spans="1:10" ht="11.25" customHeight="1" x14ac:dyDescent="0.2">
      <c r="A335" s="55">
        <v>44621</v>
      </c>
      <c r="B335" s="45">
        <v>0</v>
      </c>
      <c r="C335" s="45">
        <v>0</v>
      </c>
      <c r="D335" s="45">
        <v>4438.9565600000005</v>
      </c>
      <c r="E335" s="45">
        <v>5331.7580426628092</v>
      </c>
      <c r="F335" s="45">
        <v>3438.7367799999997</v>
      </c>
      <c r="G335" s="45">
        <v>2945.8645510793735</v>
      </c>
      <c r="H335" s="46">
        <v>0.20112868206640178</v>
      </c>
      <c r="I335" s="46">
        <v>-0.14332944347099064</v>
      </c>
      <c r="J335" s="46">
        <v>5.0767304143649605E-2</v>
      </c>
    </row>
    <row r="336" spans="1:10" ht="11.25" customHeight="1" x14ac:dyDescent="0.2">
      <c r="A336" s="55">
        <v>44652</v>
      </c>
      <c r="B336" s="45">
        <v>0</v>
      </c>
      <c r="C336" s="45">
        <v>0</v>
      </c>
      <c r="D336" s="45">
        <v>4953.0873599999995</v>
      </c>
      <c r="E336" s="45">
        <v>5949.2952928765535</v>
      </c>
      <c r="F336" s="45">
        <v>3837.0196799999994</v>
      </c>
      <c r="G336" s="45">
        <v>3287.0617846783616</v>
      </c>
      <c r="H336" s="46">
        <v>0.201128682066402</v>
      </c>
      <c r="I336" s="46">
        <v>-0.14332944347099041</v>
      </c>
      <c r="J336" s="46">
        <v>5.0767304143649827E-2</v>
      </c>
    </row>
    <row r="337" spans="1:10" ht="11.25" customHeight="1" x14ac:dyDescent="0.2">
      <c r="A337" s="55">
        <v>44682</v>
      </c>
      <c r="B337" s="45">
        <v>0</v>
      </c>
      <c r="C337" s="45">
        <v>0</v>
      </c>
      <c r="D337" s="45">
        <v>4989.6108800000002</v>
      </c>
      <c r="E337" s="45">
        <v>5993.1647403185798</v>
      </c>
      <c r="F337" s="45">
        <v>3865.3134399999999</v>
      </c>
      <c r="G337" s="45">
        <v>3311.3002158038598</v>
      </c>
      <c r="H337" s="46">
        <v>0.20112868206640178</v>
      </c>
      <c r="I337" s="46">
        <v>-0.14332944347099053</v>
      </c>
      <c r="J337" s="46">
        <v>5.0767304143649605E-2</v>
      </c>
    </row>
    <row r="338" spans="1:10" ht="11.25" customHeight="1" x14ac:dyDescent="0.2">
      <c r="A338" s="55">
        <v>44713</v>
      </c>
      <c r="B338" s="45">
        <v>0</v>
      </c>
      <c r="C338" s="45">
        <v>0</v>
      </c>
      <c r="D338" s="45">
        <v>4902.8675200000007</v>
      </c>
      <c r="E338" s="45">
        <v>5888.9748026437683</v>
      </c>
      <c r="F338" s="45">
        <v>3798.1157600000001</v>
      </c>
      <c r="G338" s="45">
        <v>3253.7339418808019</v>
      </c>
      <c r="H338" s="46">
        <v>0.20112868206640178</v>
      </c>
      <c r="I338" s="46">
        <v>-0.14332944347099053</v>
      </c>
      <c r="J338" s="46">
        <v>5.0767304143649605E-2</v>
      </c>
    </row>
    <row r="339" spans="1:10" ht="11.25" customHeight="1" x14ac:dyDescent="0.2">
      <c r="A339" s="55">
        <v>44743</v>
      </c>
      <c r="B339" s="45">
        <v>0</v>
      </c>
      <c r="C339" s="45">
        <v>0</v>
      </c>
      <c r="D339" s="45">
        <v>4643.0524800000003</v>
      </c>
      <c r="E339" s="45">
        <v>5576.9035060675387</v>
      </c>
      <c r="F339" s="45">
        <v>3596.8442399999994</v>
      </c>
      <c r="G339" s="45">
        <v>3081.3105568289616</v>
      </c>
      <c r="H339" s="46">
        <v>0.20112868206640178</v>
      </c>
      <c r="I339" s="46">
        <v>-0.14332944347099053</v>
      </c>
      <c r="J339" s="46">
        <v>5.0767304143649605E-2</v>
      </c>
    </row>
    <row r="340" spans="1:10" ht="11.25" customHeight="1" x14ac:dyDescent="0.2">
      <c r="A340" s="55">
        <v>44774</v>
      </c>
      <c r="B340" s="45">
        <v>0</v>
      </c>
      <c r="C340" s="45">
        <v>0</v>
      </c>
      <c r="D340" s="45">
        <v>4643.0524800000003</v>
      </c>
      <c r="E340" s="45">
        <v>5576.9035060675387</v>
      </c>
      <c r="F340" s="45">
        <v>3596.8442399999994</v>
      </c>
      <c r="G340" s="45">
        <v>3081.3105568289616</v>
      </c>
      <c r="H340" s="46">
        <v>0.20112868206640178</v>
      </c>
      <c r="I340" s="46">
        <v>-0.14332944347099053</v>
      </c>
      <c r="J340" s="46">
        <v>5.0767304143649605E-2</v>
      </c>
    </row>
    <row r="341" spans="1:10" ht="11.25" customHeight="1" x14ac:dyDescent="0.2">
      <c r="A341" s="51" t="s">
        <v>31</v>
      </c>
      <c r="B341" s="45">
        <v>0</v>
      </c>
      <c r="C341" s="45">
        <v>0</v>
      </c>
      <c r="D341" s="45">
        <v>80076.313079999993</v>
      </c>
      <c r="E341" s="45">
        <v>96181.956394516994</v>
      </c>
      <c r="F341" s="45">
        <v>62032.903290000002</v>
      </c>
      <c r="G341" s="45">
        <v>53141.761784554517</v>
      </c>
      <c r="H341" s="46">
        <v>0.20112868206640222</v>
      </c>
      <c r="I341" s="46">
        <v>-0.14332944347099064</v>
      </c>
      <c r="J341" s="46">
        <v>5.0767304143649827E-2</v>
      </c>
    </row>
    <row r="342" spans="1:10" ht="11.25" customHeight="1" x14ac:dyDescent="0.2">
      <c r="A342" s="52" t="s">
        <v>25</v>
      </c>
      <c r="B342" s="45">
        <v>0</v>
      </c>
      <c r="C342" s="45">
        <v>0</v>
      </c>
      <c r="D342" s="45">
        <v>80076.313079999993</v>
      </c>
      <c r="E342" s="45">
        <v>96181.956394516994</v>
      </c>
      <c r="F342" s="45">
        <v>62032.903290000002</v>
      </c>
      <c r="G342" s="45">
        <v>53141.761784554517</v>
      </c>
      <c r="H342" s="46">
        <v>0.20112868206640222</v>
      </c>
      <c r="I342" s="46">
        <v>-0.14332944347099064</v>
      </c>
      <c r="J342" s="46">
        <v>5.0767304143649827E-2</v>
      </c>
    </row>
    <row r="343" spans="1:10" ht="11.25" customHeight="1" x14ac:dyDescent="0.2">
      <c r="A343" s="53" t="s">
        <v>25</v>
      </c>
      <c r="B343" s="45">
        <v>0</v>
      </c>
      <c r="C343" s="45">
        <v>0</v>
      </c>
      <c r="D343" s="45">
        <v>80076.313079999993</v>
      </c>
      <c r="E343" s="45">
        <v>96181.956394516994</v>
      </c>
      <c r="F343" s="45">
        <v>62032.903290000002</v>
      </c>
      <c r="G343" s="45">
        <v>53141.761784554517</v>
      </c>
      <c r="H343" s="46">
        <v>0.20112868206640222</v>
      </c>
      <c r="I343" s="46">
        <v>-0.14332944347099064</v>
      </c>
      <c r="J343" s="46">
        <v>5.0767304143649827E-2</v>
      </c>
    </row>
    <row r="344" spans="1:10" ht="11.25" customHeight="1" x14ac:dyDescent="0.2">
      <c r="A344" s="54" t="s">
        <v>25</v>
      </c>
      <c r="B344" s="45">
        <v>0</v>
      </c>
      <c r="C344" s="45">
        <v>0</v>
      </c>
      <c r="D344" s="45">
        <v>80076.313079999993</v>
      </c>
      <c r="E344" s="45">
        <v>96181.956394516994</v>
      </c>
      <c r="F344" s="45">
        <v>62032.903290000002</v>
      </c>
      <c r="G344" s="45">
        <v>53141.761784554517</v>
      </c>
      <c r="H344" s="46">
        <v>0.20112868206640222</v>
      </c>
      <c r="I344" s="46">
        <v>-0.14332944347099064</v>
      </c>
      <c r="J344" s="46">
        <v>5.0767304143649827E-2</v>
      </c>
    </row>
    <row r="345" spans="1:10" ht="11.25" customHeight="1" x14ac:dyDescent="0.2">
      <c r="A345" s="55">
        <v>44440</v>
      </c>
      <c r="B345" s="45">
        <v>0</v>
      </c>
      <c r="C345" s="45">
        <v>0</v>
      </c>
      <c r="D345" s="45">
        <v>4976.744639999999</v>
      </c>
      <c r="E345" s="45">
        <v>5977.71073042423</v>
      </c>
      <c r="F345" s="45">
        <v>3855.3463199999997</v>
      </c>
      <c r="G345" s="45">
        <v>3302.7616775664683</v>
      </c>
      <c r="H345" s="46">
        <v>0.20112868206640222</v>
      </c>
      <c r="I345" s="46">
        <v>-0.14332944347099053</v>
      </c>
      <c r="J345" s="46">
        <v>5.0767304143650049E-2</v>
      </c>
    </row>
    <row r="346" spans="1:10" ht="11.25" customHeight="1" x14ac:dyDescent="0.2">
      <c r="A346" s="55">
        <v>44470</v>
      </c>
      <c r="B346" s="45">
        <v>0</v>
      </c>
      <c r="C346" s="45">
        <v>0</v>
      </c>
      <c r="D346" s="45">
        <v>4987.639439999999</v>
      </c>
      <c r="E346" s="45">
        <v>5990.7967871896071</v>
      </c>
      <c r="F346" s="45">
        <v>3863.7862199999995</v>
      </c>
      <c r="G346" s="45">
        <v>3309.9918913965175</v>
      </c>
      <c r="H346" s="46">
        <v>0.20112868206640222</v>
      </c>
      <c r="I346" s="46">
        <v>-0.14332944347099053</v>
      </c>
      <c r="J346" s="46">
        <v>5.0767304143649827E-2</v>
      </c>
    </row>
    <row r="347" spans="1:10" ht="11.25" customHeight="1" x14ac:dyDescent="0.2">
      <c r="A347" s="55">
        <v>44501</v>
      </c>
      <c r="B347" s="45">
        <v>0</v>
      </c>
      <c r="C347" s="45">
        <v>0</v>
      </c>
      <c r="D347" s="45">
        <v>5011.7636399999992</v>
      </c>
      <c r="E347" s="45">
        <v>6019.7730557415143</v>
      </c>
      <c r="F347" s="45">
        <v>3882.4745699999999</v>
      </c>
      <c r="G347" s="45">
        <v>3326.0016505916265</v>
      </c>
      <c r="H347" s="46">
        <v>0.20112868206640244</v>
      </c>
      <c r="I347" s="46">
        <v>-0.14332944347099053</v>
      </c>
      <c r="J347" s="46">
        <v>5.0767304143649827E-2</v>
      </c>
    </row>
    <row r="348" spans="1:10" ht="11.25" customHeight="1" x14ac:dyDescent="0.2">
      <c r="A348" s="55">
        <v>44531</v>
      </c>
      <c r="B348" s="45">
        <v>0</v>
      </c>
      <c r="C348" s="45">
        <v>0</v>
      </c>
      <c r="D348" s="45">
        <v>5197.9090799999994</v>
      </c>
      <c r="E348" s="45">
        <v>6243.3576827613842</v>
      </c>
      <c r="F348" s="45">
        <v>4026.6762899999994</v>
      </c>
      <c r="G348" s="45">
        <v>3449.5350183164664</v>
      </c>
      <c r="H348" s="46">
        <v>0.20112868206640222</v>
      </c>
      <c r="I348" s="46">
        <v>-0.14332944347099053</v>
      </c>
      <c r="J348" s="46">
        <v>5.0767304143649605E-2</v>
      </c>
    </row>
    <row r="349" spans="1:10" ht="11.25" customHeight="1" x14ac:dyDescent="0.2">
      <c r="A349" s="55">
        <v>44562</v>
      </c>
      <c r="B349" s="45">
        <v>0</v>
      </c>
      <c r="C349" s="45">
        <v>0</v>
      </c>
      <c r="D349" s="45">
        <v>6150.1145999999999</v>
      </c>
      <c r="E349" s="45">
        <v>7387.0790440553374</v>
      </c>
      <c r="F349" s="45">
        <v>4764.3235500000001</v>
      </c>
      <c r="G349" s="45">
        <v>4081.4557070627657</v>
      </c>
      <c r="H349" s="46">
        <v>0.201128682066402</v>
      </c>
      <c r="I349" s="46">
        <v>-0.14332944347099064</v>
      </c>
      <c r="J349" s="46">
        <v>5.0767304143649605E-2</v>
      </c>
    </row>
    <row r="350" spans="1:10" ht="11.25" customHeight="1" x14ac:dyDescent="0.2">
      <c r="A350" s="55">
        <v>44593</v>
      </c>
      <c r="B350" s="45">
        <v>0</v>
      </c>
      <c r="C350" s="45">
        <v>0</v>
      </c>
      <c r="D350" s="45">
        <v>6619.3691999999992</v>
      </c>
      <c r="E350" s="45">
        <v>7950.714203306934</v>
      </c>
      <c r="F350" s="45">
        <v>5127.8420999999989</v>
      </c>
      <c r="G350" s="45">
        <v>4392.8713455998832</v>
      </c>
      <c r="H350" s="46">
        <v>0.20112868206640222</v>
      </c>
      <c r="I350" s="46">
        <v>-0.14332944347099064</v>
      </c>
      <c r="J350" s="46">
        <v>5.0767304143649605E-2</v>
      </c>
    </row>
    <row r="351" spans="1:10" ht="11.25" customHeight="1" x14ac:dyDescent="0.2">
      <c r="A351" s="55">
        <v>44621</v>
      </c>
      <c r="B351" s="45">
        <v>0</v>
      </c>
      <c r="C351" s="45">
        <v>0</v>
      </c>
      <c r="D351" s="45">
        <v>8293.277399999999</v>
      </c>
      <c r="E351" s="45">
        <v>9961.2933534730764</v>
      </c>
      <c r="F351" s="45">
        <v>6424.5724499999997</v>
      </c>
      <c r="G351" s="45">
        <v>5503.7420562024408</v>
      </c>
      <c r="H351" s="46">
        <v>0.201128682066402</v>
      </c>
      <c r="I351" s="46">
        <v>-0.14332944347099064</v>
      </c>
      <c r="J351" s="46">
        <v>5.0767304143649827E-2</v>
      </c>
    </row>
    <row r="352" spans="1:10" ht="11.25" customHeight="1" x14ac:dyDescent="0.2">
      <c r="A352" s="55">
        <v>44652</v>
      </c>
      <c r="B352" s="45">
        <v>0</v>
      </c>
      <c r="C352" s="45">
        <v>0</v>
      </c>
      <c r="D352" s="45">
        <v>8539.9667999999983</v>
      </c>
      <c r="E352" s="45">
        <v>10257.599067374829</v>
      </c>
      <c r="F352" s="45">
        <v>6615.6758999999993</v>
      </c>
      <c r="G352" s="45">
        <v>5667.4547550685547</v>
      </c>
      <c r="H352" s="46">
        <v>0.20112868206640222</v>
      </c>
      <c r="I352" s="46">
        <v>-0.14332944347099053</v>
      </c>
      <c r="J352" s="46">
        <v>5.0767304143649827E-2</v>
      </c>
    </row>
    <row r="353" spans="1:10" ht="11.25" customHeight="1" x14ac:dyDescent="0.2">
      <c r="A353" s="55">
        <v>44682</v>
      </c>
      <c r="B353" s="45">
        <v>0</v>
      </c>
      <c r="C353" s="45">
        <v>0</v>
      </c>
      <c r="D353" s="45">
        <v>7560.9911999999995</v>
      </c>
      <c r="E353" s="45">
        <v>9081.7233951716626</v>
      </c>
      <c r="F353" s="45">
        <v>5857.2905999999994</v>
      </c>
      <c r="G353" s="45">
        <v>5017.7683980541351</v>
      </c>
      <c r="H353" s="46">
        <v>0.201128682066402</v>
      </c>
      <c r="I353" s="46">
        <v>-0.14332944347099053</v>
      </c>
      <c r="J353" s="46">
        <v>5.0767304143649605E-2</v>
      </c>
    </row>
    <row r="354" spans="1:10" ht="11.25" customHeight="1" x14ac:dyDescent="0.2">
      <c r="A354" s="55">
        <v>44713</v>
      </c>
      <c r="B354" s="45">
        <v>0</v>
      </c>
      <c r="C354" s="45">
        <v>0</v>
      </c>
      <c r="D354" s="45">
        <v>7698.1100399999987</v>
      </c>
      <c r="E354" s="45">
        <v>9246.4207667473365</v>
      </c>
      <c r="F354" s="45">
        <v>5963.5127699999994</v>
      </c>
      <c r="G354" s="45">
        <v>5108.7658035437544</v>
      </c>
      <c r="H354" s="46">
        <v>0.20112868206640222</v>
      </c>
      <c r="I354" s="46">
        <v>-0.14332944347099053</v>
      </c>
      <c r="J354" s="46">
        <v>5.0767304143649827E-2</v>
      </c>
    </row>
    <row r="355" spans="1:10" ht="11.25" customHeight="1" x14ac:dyDescent="0.2">
      <c r="A355" s="55">
        <v>44743</v>
      </c>
      <c r="B355" s="45">
        <v>0</v>
      </c>
      <c r="C355" s="45">
        <v>0</v>
      </c>
      <c r="D355" s="45">
        <v>7520.2135199999993</v>
      </c>
      <c r="E355" s="45">
        <v>9032.7441541355383</v>
      </c>
      <c r="F355" s="45">
        <v>5825.7012599999998</v>
      </c>
      <c r="G355" s="45">
        <v>4990.7067405759508</v>
      </c>
      <c r="H355" s="46">
        <v>0.20112868206640222</v>
      </c>
      <c r="I355" s="46">
        <v>-0.14332944347099064</v>
      </c>
      <c r="J355" s="46">
        <v>5.0767304143649605E-2</v>
      </c>
    </row>
    <row r="356" spans="1:10" ht="11.25" customHeight="1" x14ac:dyDescent="0.2">
      <c r="A356" s="55">
        <v>44774</v>
      </c>
      <c r="B356" s="45">
        <v>0</v>
      </c>
      <c r="C356" s="45">
        <v>0</v>
      </c>
      <c r="D356" s="45">
        <v>7520.2135199999993</v>
      </c>
      <c r="E356" s="45">
        <v>9032.7441541355383</v>
      </c>
      <c r="F356" s="45">
        <v>5825.7012599999998</v>
      </c>
      <c r="G356" s="45">
        <v>4990.7067405759508</v>
      </c>
      <c r="H356" s="46">
        <v>0.20112868206640222</v>
      </c>
      <c r="I356" s="46">
        <v>-0.14332944347099064</v>
      </c>
      <c r="J356" s="46">
        <v>5.0767304143649605E-2</v>
      </c>
    </row>
    <row r="357" spans="1:10" ht="11.25" customHeight="1" x14ac:dyDescent="0.2">
      <c r="A357" s="51" t="s">
        <v>32</v>
      </c>
      <c r="B357" s="45">
        <v>0</v>
      </c>
      <c r="C357" s="45">
        <v>0</v>
      </c>
      <c r="D357" s="45">
        <v>48055.344769999996</v>
      </c>
      <c r="E357" s="45">
        <v>57721.765531331104</v>
      </c>
      <c r="F357" s="45">
        <v>37228.789329999992</v>
      </c>
      <c r="G357" s="45">
        <v>31892.014143151402</v>
      </c>
      <c r="H357" s="46">
        <v>0.20115183456899599</v>
      </c>
      <c r="I357" s="46">
        <v>-0.14335075845585099</v>
      </c>
      <c r="J357" s="46">
        <v>5.0767304143649605E-2</v>
      </c>
    </row>
    <row r="358" spans="1:10" ht="11.25" customHeight="1" x14ac:dyDescent="0.2">
      <c r="A358" s="52" t="s">
        <v>25</v>
      </c>
      <c r="B358" s="45">
        <v>0</v>
      </c>
      <c r="C358" s="45">
        <v>0</v>
      </c>
      <c r="D358" s="45">
        <v>48055.344769999996</v>
      </c>
      <c r="E358" s="45">
        <v>57721.765531331104</v>
      </c>
      <c r="F358" s="45">
        <v>37228.789329999992</v>
      </c>
      <c r="G358" s="45">
        <v>31892.014143151402</v>
      </c>
      <c r="H358" s="46">
        <v>0.20115183456899599</v>
      </c>
      <c r="I358" s="46">
        <v>-0.14335075845585099</v>
      </c>
      <c r="J358" s="46">
        <v>5.0767304143649605E-2</v>
      </c>
    </row>
    <row r="359" spans="1:10" ht="11.25" customHeight="1" x14ac:dyDescent="0.2">
      <c r="A359" s="53" t="s">
        <v>25</v>
      </c>
      <c r="B359" s="45">
        <v>0</v>
      </c>
      <c r="C359" s="45">
        <v>0</v>
      </c>
      <c r="D359" s="45">
        <v>48055.344769999996</v>
      </c>
      <c r="E359" s="45">
        <v>57721.765531331104</v>
      </c>
      <c r="F359" s="45">
        <v>37228.789329999992</v>
      </c>
      <c r="G359" s="45">
        <v>31892.014143151402</v>
      </c>
      <c r="H359" s="46">
        <v>0.20115183456899599</v>
      </c>
      <c r="I359" s="46">
        <v>-0.14335075845585099</v>
      </c>
      <c r="J359" s="46">
        <v>5.0767304143649605E-2</v>
      </c>
    </row>
    <row r="360" spans="1:10" ht="11.25" customHeight="1" x14ac:dyDescent="0.2">
      <c r="A360" s="54" t="s">
        <v>25</v>
      </c>
      <c r="B360" s="45">
        <v>0</v>
      </c>
      <c r="C360" s="45">
        <v>0</v>
      </c>
      <c r="D360" s="45">
        <v>48055.344769999996</v>
      </c>
      <c r="E360" s="45">
        <v>57721.765531331104</v>
      </c>
      <c r="F360" s="45">
        <v>37228.789329999992</v>
      </c>
      <c r="G360" s="45">
        <v>31892.014143151402</v>
      </c>
      <c r="H360" s="46">
        <v>0.20115183456899599</v>
      </c>
      <c r="I360" s="46">
        <v>-0.14335075845585099</v>
      </c>
      <c r="J360" s="46">
        <v>5.0767304143649605E-2</v>
      </c>
    </row>
    <row r="361" spans="1:10" ht="11.25" customHeight="1" x14ac:dyDescent="0.2">
      <c r="A361" s="55">
        <v>44440</v>
      </c>
      <c r="B361" s="45">
        <v>0</v>
      </c>
      <c r="C361" s="45">
        <v>0</v>
      </c>
      <c r="D361" s="45">
        <v>1980.39436</v>
      </c>
      <c r="E361" s="45">
        <v>2378.7543186840926</v>
      </c>
      <c r="F361" s="45">
        <v>1534.22444</v>
      </c>
      <c r="G361" s="45">
        <v>1314.2922028844964</v>
      </c>
      <c r="H361" s="46">
        <v>0.20115183456899599</v>
      </c>
      <c r="I361" s="46">
        <v>-0.14335075845585121</v>
      </c>
      <c r="J361" s="46">
        <v>5.0767304143649605E-2</v>
      </c>
    </row>
    <row r="362" spans="1:10" ht="11.25" customHeight="1" x14ac:dyDescent="0.2">
      <c r="A362" s="55">
        <v>44470</v>
      </c>
      <c r="B362" s="45">
        <v>0</v>
      </c>
      <c r="C362" s="45">
        <v>0</v>
      </c>
      <c r="D362" s="45">
        <v>1924.01918</v>
      </c>
      <c r="E362" s="45">
        <v>2311.039167802935</v>
      </c>
      <c r="F362" s="45">
        <v>1490.5502199999999</v>
      </c>
      <c r="G362" s="45">
        <v>1276.8787154464642</v>
      </c>
      <c r="H362" s="46">
        <v>0.20115183456899577</v>
      </c>
      <c r="I362" s="46">
        <v>-0.1433507584558511</v>
      </c>
      <c r="J362" s="46">
        <v>5.0767304143649605E-2</v>
      </c>
    </row>
    <row r="363" spans="1:10" ht="11.25" customHeight="1" x14ac:dyDescent="0.2">
      <c r="A363" s="55">
        <v>44501</v>
      </c>
      <c r="B363" s="45">
        <v>0</v>
      </c>
      <c r="C363" s="45">
        <v>0</v>
      </c>
      <c r="D363" s="45">
        <v>1902.7487900000001</v>
      </c>
      <c r="E363" s="45">
        <v>2285.4901998324372</v>
      </c>
      <c r="F363" s="45">
        <v>1474.0719099999999</v>
      </c>
      <c r="G363" s="45">
        <v>1262.7625836830348</v>
      </c>
      <c r="H363" s="46">
        <v>0.20115183456899577</v>
      </c>
      <c r="I363" s="46">
        <v>-0.1433507584558511</v>
      </c>
      <c r="J363" s="46">
        <v>5.0767304143649605E-2</v>
      </c>
    </row>
    <row r="364" spans="1:10" ht="11.25" customHeight="1" x14ac:dyDescent="0.2">
      <c r="A364" s="55">
        <v>44531</v>
      </c>
      <c r="B364" s="45">
        <v>0</v>
      </c>
      <c r="C364" s="45">
        <v>0</v>
      </c>
      <c r="D364" s="45">
        <v>2402.1706300000001</v>
      </c>
      <c r="E364" s="45">
        <v>2885.3716591722605</v>
      </c>
      <c r="F364" s="45">
        <v>1860.9772700000001</v>
      </c>
      <c r="G364" s="45">
        <v>1594.2047668764008</v>
      </c>
      <c r="H364" s="46">
        <v>0.20115183456899577</v>
      </c>
      <c r="I364" s="46">
        <v>-0.14335075845585121</v>
      </c>
      <c r="J364" s="46">
        <v>5.0767304143649605E-2</v>
      </c>
    </row>
    <row r="365" spans="1:10" ht="11.25" customHeight="1" x14ac:dyDescent="0.2">
      <c r="A365" s="55">
        <v>44562</v>
      </c>
      <c r="B365" s="45">
        <v>0</v>
      </c>
      <c r="C365" s="45">
        <v>0</v>
      </c>
      <c r="D365" s="45">
        <v>5382.7921100000003</v>
      </c>
      <c r="E365" s="45">
        <v>6465.5506180300163</v>
      </c>
      <c r="F365" s="45">
        <v>4170.0841899999996</v>
      </c>
      <c r="G365" s="45">
        <v>3572.2994585387464</v>
      </c>
      <c r="H365" s="46">
        <v>0.20115183456899577</v>
      </c>
      <c r="I365" s="46">
        <v>-0.14335075845585099</v>
      </c>
      <c r="J365" s="46">
        <v>5.0767304143649605E-2</v>
      </c>
    </row>
    <row r="366" spans="1:10" ht="11.25" customHeight="1" x14ac:dyDescent="0.2">
      <c r="A366" s="55">
        <v>44593</v>
      </c>
      <c r="B366" s="45">
        <v>0</v>
      </c>
      <c r="C366" s="45">
        <v>0</v>
      </c>
      <c r="D366" s="45">
        <v>6067.2490499999994</v>
      </c>
      <c r="E366" s="45">
        <v>7287.687327194496</v>
      </c>
      <c r="F366" s="45">
        <v>4700.33745</v>
      </c>
      <c r="G366" s="45">
        <v>4026.5405115440585</v>
      </c>
      <c r="H366" s="46">
        <v>0.20115183456899577</v>
      </c>
      <c r="I366" s="46">
        <v>-0.14335075845585121</v>
      </c>
      <c r="J366" s="46">
        <v>5.0767304143649605E-2</v>
      </c>
    </row>
    <row r="367" spans="1:10" ht="11.25" customHeight="1" x14ac:dyDescent="0.2">
      <c r="A367" s="55">
        <v>44621</v>
      </c>
      <c r="B367" s="45">
        <v>0</v>
      </c>
      <c r="C367" s="45">
        <v>0</v>
      </c>
      <c r="D367" s="45">
        <v>7089.7841399999998</v>
      </c>
      <c r="E367" s="45">
        <v>8515.9072264591705</v>
      </c>
      <c r="F367" s="45">
        <v>5492.5020599999998</v>
      </c>
      <c r="G367" s="45">
        <v>4705.1477238786747</v>
      </c>
      <c r="H367" s="46">
        <v>0.20115183456899599</v>
      </c>
      <c r="I367" s="46">
        <v>-0.14335075845585121</v>
      </c>
      <c r="J367" s="46">
        <v>5.0767304143649827E-2</v>
      </c>
    </row>
    <row r="368" spans="1:10" ht="11.25" customHeight="1" x14ac:dyDescent="0.2">
      <c r="A368" s="55">
        <v>44652</v>
      </c>
      <c r="B368" s="45">
        <v>0</v>
      </c>
      <c r="C368" s="45">
        <v>0</v>
      </c>
      <c r="D368" s="45">
        <v>4876.7989299999999</v>
      </c>
      <c r="E368" s="45">
        <v>5857.7759815936161</v>
      </c>
      <c r="F368" s="45">
        <v>3778.08797</v>
      </c>
      <c r="G368" s="45">
        <v>3236.496193987573</v>
      </c>
      <c r="H368" s="46">
        <v>0.20115183456899599</v>
      </c>
      <c r="I368" s="46">
        <v>-0.14335075845585121</v>
      </c>
      <c r="J368" s="46">
        <v>5.0767304143649605E-2</v>
      </c>
    </row>
    <row r="369" spans="1:10" ht="11.25" customHeight="1" x14ac:dyDescent="0.2">
      <c r="A369" s="55">
        <v>44682</v>
      </c>
      <c r="B369" s="45">
        <v>0</v>
      </c>
      <c r="C369" s="45">
        <v>0</v>
      </c>
      <c r="D369" s="45">
        <v>3390.8114400000004</v>
      </c>
      <c r="E369" s="45">
        <v>4072.8793818335384</v>
      </c>
      <c r="F369" s="45">
        <v>2626.8837600000002</v>
      </c>
      <c r="G369" s="45">
        <v>2250.3179806286421</v>
      </c>
      <c r="H369" s="46">
        <v>0.20115183456899577</v>
      </c>
      <c r="I369" s="46">
        <v>-0.1433507584558511</v>
      </c>
      <c r="J369" s="46">
        <v>5.0767304143649605E-2</v>
      </c>
    </row>
    <row r="370" spans="1:10" ht="11.25" customHeight="1" x14ac:dyDescent="0.2">
      <c r="A370" s="55">
        <v>44713</v>
      </c>
      <c r="B370" s="45">
        <v>0</v>
      </c>
      <c r="C370" s="45">
        <v>0</v>
      </c>
      <c r="D370" s="45">
        <v>4417.6697800000002</v>
      </c>
      <c r="E370" s="45">
        <v>5306.2921607670123</v>
      </c>
      <c r="F370" s="45">
        <v>3422.3976199999997</v>
      </c>
      <c r="G370" s="45">
        <v>2931.7943254355</v>
      </c>
      <c r="H370" s="46">
        <v>0.20115183456899577</v>
      </c>
      <c r="I370" s="46">
        <v>-0.1433507584558511</v>
      </c>
      <c r="J370" s="46">
        <v>5.0767304143649605E-2</v>
      </c>
    </row>
    <row r="371" spans="1:10" ht="11.25" customHeight="1" x14ac:dyDescent="0.2">
      <c r="A371" s="55">
        <v>44743</v>
      </c>
      <c r="B371" s="45">
        <v>0</v>
      </c>
      <c r="C371" s="45">
        <v>0</v>
      </c>
      <c r="D371" s="45">
        <v>4310.4531799999995</v>
      </c>
      <c r="E371" s="45">
        <v>5177.5087449807615</v>
      </c>
      <c r="F371" s="45">
        <v>3339.3362199999997</v>
      </c>
      <c r="G371" s="45">
        <v>2860.6398401239048</v>
      </c>
      <c r="H371" s="46">
        <v>0.20115183456899577</v>
      </c>
      <c r="I371" s="46">
        <v>-0.1433507584558511</v>
      </c>
      <c r="J371" s="46">
        <v>5.0767304143649605E-2</v>
      </c>
    </row>
    <row r="372" spans="1:10" ht="11.25" customHeight="1" x14ac:dyDescent="0.2">
      <c r="A372" s="55">
        <v>44774</v>
      </c>
      <c r="B372" s="45">
        <v>0</v>
      </c>
      <c r="C372" s="45">
        <v>0</v>
      </c>
      <c r="D372" s="45">
        <v>4310.4531799999995</v>
      </c>
      <c r="E372" s="45">
        <v>5177.5087449807615</v>
      </c>
      <c r="F372" s="45">
        <v>3339.3362199999997</v>
      </c>
      <c r="G372" s="45">
        <v>2860.6398401239048</v>
      </c>
      <c r="H372" s="46">
        <v>0.20115183456899577</v>
      </c>
      <c r="I372" s="46">
        <v>-0.1433507584558511</v>
      </c>
      <c r="J372" s="46">
        <v>5.0767304143649605E-2</v>
      </c>
    </row>
    <row r="373" spans="1:10" ht="11.25" customHeight="1" x14ac:dyDescent="0.2">
      <c r="A373" s="48" t="s">
        <v>42</v>
      </c>
      <c r="B373" s="45">
        <v>0</v>
      </c>
      <c r="C373" s="45">
        <v>0</v>
      </c>
      <c r="D373" s="45">
        <v>3694799.1647800007</v>
      </c>
      <c r="E373" s="45">
        <v>5043319.1198441209</v>
      </c>
      <c r="F373" s="45">
        <v>1839675.1004600001</v>
      </c>
      <c r="G373" s="45">
        <v>1683459.2501342304</v>
      </c>
      <c r="H373" s="46">
        <v>0.36497787698953799</v>
      </c>
      <c r="I373" s="46">
        <v>-8.4914912577068069E-2</v>
      </c>
      <c r="J373" s="46">
        <v>0.2154322249227496</v>
      </c>
    </row>
    <row r="374" spans="1:10" ht="11.25" customHeight="1" x14ac:dyDescent="0.2">
      <c r="A374" s="49" t="s">
        <v>23</v>
      </c>
      <c r="B374" s="45">
        <v>0</v>
      </c>
      <c r="C374" s="45">
        <v>0</v>
      </c>
      <c r="D374" s="45">
        <v>3694799.1647800007</v>
      </c>
      <c r="E374" s="45">
        <v>5043319.1198441209</v>
      </c>
      <c r="F374" s="45">
        <v>1839675.1004600001</v>
      </c>
      <c r="G374" s="45">
        <v>1683459.2501342304</v>
      </c>
      <c r="H374" s="46">
        <v>0.36497787698953799</v>
      </c>
      <c r="I374" s="46">
        <v>-8.4914912577068069E-2</v>
      </c>
      <c r="J374" s="46">
        <v>0.2154322249227496</v>
      </c>
    </row>
    <row r="375" spans="1:10" ht="11.25" customHeight="1" x14ac:dyDescent="0.2">
      <c r="A375" s="50" t="s">
        <v>43</v>
      </c>
      <c r="B375" s="45">
        <v>0</v>
      </c>
      <c r="C375" s="45">
        <v>0</v>
      </c>
      <c r="D375" s="45">
        <v>3694799.1647800007</v>
      </c>
      <c r="E375" s="45">
        <v>5043319.1198441209</v>
      </c>
      <c r="F375" s="45">
        <v>1839675.1004600001</v>
      </c>
      <c r="G375" s="45">
        <v>1683459.2501342304</v>
      </c>
      <c r="H375" s="46">
        <v>0.36497787698953799</v>
      </c>
      <c r="I375" s="46">
        <v>-8.4914912577068069E-2</v>
      </c>
      <c r="J375" s="46">
        <v>0.2154322249227496</v>
      </c>
    </row>
    <row r="376" spans="1:10" ht="11.25" customHeight="1" x14ac:dyDescent="0.2">
      <c r="A376" s="51" t="s">
        <v>51</v>
      </c>
      <c r="B376" s="45">
        <v>0</v>
      </c>
      <c r="C376" s="45">
        <v>0</v>
      </c>
      <c r="D376" s="45">
        <v>302444.97847599996</v>
      </c>
      <c r="E376" s="45">
        <v>412830.70462631696</v>
      </c>
      <c r="F376" s="45">
        <v>150590.18673199997</v>
      </c>
      <c r="G376" s="45">
        <v>137802.83419068786</v>
      </c>
      <c r="H376" s="46">
        <v>0.36497787698953776</v>
      </c>
      <c r="I376" s="46">
        <v>-8.4914912577068291E-2</v>
      </c>
      <c r="J376" s="46">
        <v>0.21543222492274938</v>
      </c>
    </row>
    <row r="377" spans="1:10" ht="11.25" customHeight="1" x14ac:dyDescent="0.2">
      <c r="A377" s="52" t="s">
        <v>52</v>
      </c>
      <c r="B377" s="45">
        <v>0</v>
      </c>
      <c r="C377" s="45">
        <v>0</v>
      </c>
      <c r="D377" s="45">
        <v>242706.29743999997</v>
      </c>
      <c r="E377" s="45">
        <v>331288.72661164252</v>
      </c>
      <c r="F377" s="45">
        <v>120845.73807999997</v>
      </c>
      <c r="G377" s="45">
        <v>110584.13279562553</v>
      </c>
      <c r="H377" s="46">
        <v>0.36497787698953754</v>
      </c>
      <c r="I377" s="46">
        <v>-8.491491257706818E-2</v>
      </c>
      <c r="J377" s="46">
        <v>0.21543222492274916</v>
      </c>
    </row>
    <row r="378" spans="1:10" ht="11.25" customHeight="1" x14ac:dyDescent="0.2">
      <c r="A378" s="53" t="s">
        <v>25</v>
      </c>
      <c r="B378" s="45">
        <v>0</v>
      </c>
      <c r="C378" s="45">
        <v>0</v>
      </c>
      <c r="D378" s="45">
        <v>242706.29743999997</v>
      </c>
      <c r="E378" s="45">
        <v>331288.72661164252</v>
      </c>
      <c r="F378" s="45">
        <v>120845.73807999997</v>
      </c>
      <c r="G378" s="45">
        <v>110584.13279562553</v>
      </c>
      <c r="H378" s="46">
        <v>0.36497787698953754</v>
      </c>
      <c r="I378" s="46">
        <v>-8.491491257706818E-2</v>
      </c>
      <c r="J378" s="46">
        <v>0.21543222492274916</v>
      </c>
    </row>
    <row r="379" spans="1:10" ht="11.25" customHeight="1" x14ac:dyDescent="0.2">
      <c r="A379" s="54" t="s">
        <v>25</v>
      </c>
      <c r="B379" s="45">
        <v>0</v>
      </c>
      <c r="C379" s="45">
        <v>0</v>
      </c>
      <c r="D379" s="45">
        <v>242706.29743999997</v>
      </c>
      <c r="E379" s="45">
        <v>331288.72661164252</v>
      </c>
      <c r="F379" s="45">
        <v>120845.73807999997</v>
      </c>
      <c r="G379" s="45">
        <v>110584.13279562553</v>
      </c>
      <c r="H379" s="46">
        <v>0.36497787698953754</v>
      </c>
      <c r="I379" s="46">
        <v>-8.491491257706818E-2</v>
      </c>
      <c r="J379" s="46">
        <v>0.21543222492274916</v>
      </c>
    </row>
    <row r="380" spans="1:10" ht="11.25" customHeight="1" x14ac:dyDescent="0.2">
      <c r="A380" s="55">
        <v>44440</v>
      </c>
      <c r="B380" s="45">
        <v>0</v>
      </c>
      <c r="C380" s="45">
        <v>0</v>
      </c>
      <c r="D380" s="45">
        <v>51746.320269999997</v>
      </c>
      <c r="E380" s="45">
        <v>70632.582384165275</v>
      </c>
      <c r="F380" s="45">
        <v>25764.97739</v>
      </c>
      <c r="G380" s="45">
        <v>23577.146587378011</v>
      </c>
      <c r="H380" s="46">
        <v>0.36497787698953776</v>
      </c>
      <c r="I380" s="46">
        <v>-8.491491257706818E-2</v>
      </c>
      <c r="J380" s="46">
        <v>0.21543222492274938</v>
      </c>
    </row>
    <row r="381" spans="1:10" ht="11.25" customHeight="1" x14ac:dyDescent="0.2">
      <c r="A381" s="55">
        <v>44470</v>
      </c>
      <c r="B381" s="45">
        <v>0</v>
      </c>
      <c r="C381" s="45">
        <v>0</v>
      </c>
      <c r="D381" s="45">
        <v>33110.390340000005</v>
      </c>
      <c r="E381" s="45">
        <v>45194.950312588102</v>
      </c>
      <c r="F381" s="45">
        <v>16485.973380000003</v>
      </c>
      <c r="G381" s="45">
        <v>15086.068391689429</v>
      </c>
      <c r="H381" s="46">
        <v>0.36497787698953754</v>
      </c>
      <c r="I381" s="46">
        <v>-8.4914912577068291E-2</v>
      </c>
      <c r="J381" s="46">
        <v>0.21543222492274916</v>
      </c>
    </row>
    <row r="382" spans="1:10" ht="11.25" customHeight="1" x14ac:dyDescent="0.2">
      <c r="A382" s="55">
        <v>44501</v>
      </c>
      <c r="B382" s="45">
        <v>0</v>
      </c>
      <c r="C382" s="45">
        <v>0</v>
      </c>
      <c r="D382" s="45">
        <v>40665.247500000005</v>
      </c>
      <c r="E382" s="45">
        <v>55507.163199804105</v>
      </c>
      <c r="F382" s="45">
        <v>20247.607500000002</v>
      </c>
      <c r="G382" s="45">
        <v>18528.283679242712</v>
      </c>
      <c r="H382" s="46">
        <v>0.36497787698953754</v>
      </c>
      <c r="I382" s="46">
        <v>-8.491491257706818E-2</v>
      </c>
      <c r="J382" s="46">
        <v>0.21543222492274916</v>
      </c>
    </row>
    <row r="383" spans="1:10" ht="11.25" customHeight="1" x14ac:dyDescent="0.2">
      <c r="A383" s="55">
        <v>44531</v>
      </c>
      <c r="B383" s="45">
        <v>0</v>
      </c>
      <c r="C383" s="45">
        <v>0</v>
      </c>
      <c r="D383" s="45">
        <v>38637.312450000005</v>
      </c>
      <c r="E383" s="45">
        <v>52739.07672058243</v>
      </c>
      <c r="F383" s="45">
        <v>19237.879649999999</v>
      </c>
      <c r="G383" s="45">
        <v>17604.296781352092</v>
      </c>
      <c r="H383" s="46">
        <v>0.36497787698953754</v>
      </c>
      <c r="I383" s="46">
        <v>-8.4914912577068069E-2</v>
      </c>
      <c r="J383" s="46">
        <v>0.21543222492274916</v>
      </c>
    </row>
    <row r="384" spans="1:10" ht="11.25" customHeight="1" x14ac:dyDescent="0.2">
      <c r="A384" s="55">
        <v>44562</v>
      </c>
      <c r="B384" s="45">
        <v>0</v>
      </c>
      <c r="C384" s="45">
        <v>0</v>
      </c>
      <c r="D384" s="45">
        <v>47455.33756</v>
      </c>
      <c r="E384" s="45">
        <v>64775.485914470664</v>
      </c>
      <c r="F384" s="45">
        <v>23628.456920000001</v>
      </c>
      <c r="G384" s="45">
        <v>21622.048566307178</v>
      </c>
      <c r="H384" s="46">
        <v>0.36497787698953754</v>
      </c>
      <c r="I384" s="46">
        <v>-8.491491257706818E-2</v>
      </c>
      <c r="J384" s="46">
        <v>0.21543222492274938</v>
      </c>
    </row>
    <row r="385" spans="1:10" ht="11.25" customHeight="1" x14ac:dyDescent="0.2">
      <c r="A385" s="55">
        <v>44593</v>
      </c>
      <c r="B385" s="45">
        <v>0</v>
      </c>
      <c r="C385" s="45">
        <v>0</v>
      </c>
      <c r="D385" s="45">
        <v>12049.93561</v>
      </c>
      <c r="E385" s="45">
        <v>16447.895526798427</v>
      </c>
      <c r="F385" s="45">
        <v>5999.7757699999993</v>
      </c>
      <c r="G385" s="45">
        <v>5490.3053350084383</v>
      </c>
      <c r="H385" s="46">
        <v>0.36497787698953754</v>
      </c>
      <c r="I385" s="46">
        <v>-8.4914912577068069E-2</v>
      </c>
      <c r="J385" s="46">
        <v>0.21543222492274916</v>
      </c>
    </row>
    <row r="386" spans="1:10" ht="11.25" customHeight="1" x14ac:dyDescent="0.2">
      <c r="A386" s="55">
        <v>44621</v>
      </c>
      <c r="B386" s="45">
        <v>0</v>
      </c>
      <c r="C386" s="45">
        <v>0</v>
      </c>
      <c r="D386" s="45">
        <v>5516.9777700000004</v>
      </c>
      <c r="E386" s="45">
        <v>7530.552603893073</v>
      </c>
      <c r="F386" s="45">
        <v>2746.9548900000004</v>
      </c>
      <c r="G386" s="45">
        <v>2513.6974556625</v>
      </c>
      <c r="H386" s="46">
        <v>0.36497787698953732</v>
      </c>
      <c r="I386" s="46">
        <v>-8.4914912577068291E-2</v>
      </c>
      <c r="J386" s="46">
        <v>0.21543222492274894</v>
      </c>
    </row>
    <row r="387" spans="1:10" ht="11.25" customHeight="1" x14ac:dyDescent="0.2">
      <c r="A387" s="55">
        <v>44652</v>
      </c>
      <c r="B387" s="45">
        <v>0</v>
      </c>
      <c r="C387" s="45">
        <v>0</v>
      </c>
      <c r="D387" s="45">
        <v>4740.8457100000005</v>
      </c>
      <c r="E387" s="45">
        <v>6471.1495123707573</v>
      </c>
      <c r="F387" s="45">
        <v>2360.5114699999999</v>
      </c>
      <c r="G387" s="45">
        <v>2160.0688448877836</v>
      </c>
      <c r="H387" s="46">
        <v>0.36497787698953754</v>
      </c>
      <c r="I387" s="46">
        <v>-8.4914912577068069E-2</v>
      </c>
      <c r="J387" s="46">
        <v>0.21543222492274938</v>
      </c>
    </row>
    <row r="388" spans="1:10" ht="11.25" customHeight="1" x14ac:dyDescent="0.2">
      <c r="A388" s="55">
        <v>44682</v>
      </c>
      <c r="B388" s="45">
        <v>0</v>
      </c>
      <c r="C388" s="45">
        <v>0</v>
      </c>
      <c r="D388" s="45">
        <v>169.52732000000015</v>
      </c>
      <c r="E388" s="45">
        <v>231.40104134532567</v>
      </c>
      <c r="F388" s="45">
        <v>84.409239999999954</v>
      </c>
      <c r="G388" s="45">
        <v>77.241636764703344</v>
      </c>
      <c r="H388" s="46">
        <v>0.36497787698953466</v>
      </c>
      <c r="I388" s="46">
        <v>-8.4914912577066404E-2</v>
      </c>
      <c r="J388" s="46">
        <v>0.21543222492274805</v>
      </c>
    </row>
    <row r="389" spans="1:10" ht="11.25" customHeight="1" x14ac:dyDescent="0.2">
      <c r="A389" s="55">
        <v>44713</v>
      </c>
      <c r="B389" s="45">
        <v>0</v>
      </c>
      <c r="C389" s="45">
        <v>0</v>
      </c>
      <c r="D389" s="45">
        <v>2165.2616499999999</v>
      </c>
      <c r="E389" s="45">
        <v>2955.5342501438631</v>
      </c>
      <c r="F389" s="45">
        <v>1078.1040499999999</v>
      </c>
      <c r="G389" s="45">
        <v>986.55693884526681</v>
      </c>
      <c r="H389" s="46">
        <v>0.36497787698953754</v>
      </c>
      <c r="I389" s="46">
        <v>-8.491491257706818E-2</v>
      </c>
      <c r="J389" s="46">
        <v>0.21543222492274916</v>
      </c>
    </row>
    <row r="390" spans="1:10" ht="11.25" customHeight="1" x14ac:dyDescent="0.2">
      <c r="A390" s="55">
        <v>44743</v>
      </c>
      <c r="B390" s="45">
        <v>0</v>
      </c>
      <c r="C390" s="45">
        <v>0</v>
      </c>
      <c r="D390" s="45">
        <v>3224.5706300000002</v>
      </c>
      <c r="E390" s="45">
        <v>4401.4675727402155</v>
      </c>
      <c r="F390" s="45">
        <v>1605.5439099999999</v>
      </c>
      <c r="G390" s="45">
        <v>1469.2092892437058</v>
      </c>
      <c r="H390" s="46">
        <v>0.36497787698953754</v>
      </c>
      <c r="I390" s="46">
        <v>-8.4914912577068069E-2</v>
      </c>
      <c r="J390" s="46">
        <v>0.21543222492274916</v>
      </c>
    </row>
    <row r="391" spans="1:10" ht="11.25" customHeight="1" x14ac:dyDescent="0.2">
      <c r="A391" s="55">
        <v>44774</v>
      </c>
      <c r="B391" s="45">
        <v>0</v>
      </c>
      <c r="C391" s="45">
        <v>0</v>
      </c>
      <c r="D391" s="45">
        <v>3224.5706300000002</v>
      </c>
      <c r="E391" s="45">
        <v>4401.4675727402155</v>
      </c>
      <c r="F391" s="45">
        <v>1605.5439099999999</v>
      </c>
      <c r="G391" s="45">
        <v>1469.2092892437058</v>
      </c>
      <c r="H391" s="46">
        <v>0.36497787698953754</v>
      </c>
      <c r="I391" s="46">
        <v>-8.4914912577068069E-2</v>
      </c>
      <c r="J391" s="46">
        <v>0.21543222492274916</v>
      </c>
    </row>
    <row r="392" spans="1:10" ht="11.25" customHeight="1" x14ac:dyDescent="0.2">
      <c r="A392" s="52" t="s">
        <v>53</v>
      </c>
      <c r="B392" s="45">
        <v>0</v>
      </c>
      <c r="C392" s="45">
        <v>0</v>
      </c>
      <c r="D392" s="45">
        <v>59738.681036000002</v>
      </c>
      <c r="E392" s="45">
        <v>81541.978014674416</v>
      </c>
      <c r="F392" s="45">
        <v>29744.448652000003</v>
      </c>
      <c r="G392" s="45">
        <v>27218.701395062326</v>
      </c>
      <c r="H392" s="46">
        <v>0.36497787698953732</v>
      </c>
      <c r="I392" s="46">
        <v>-8.4914912577068291E-2</v>
      </c>
      <c r="J392" s="46">
        <v>0.21543222492274894</v>
      </c>
    </row>
    <row r="393" spans="1:10" ht="11.25" customHeight="1" x14ac:dyDescent="0.2">
      <c r="A393" s="53" t="s">
        <v>25</v>
      </c>
      <c r="B393" s="45">
        <v>0</v>
      </c>
      <c r="C393" s="45">
        <v>0</v>
      </c>
      <c r="D393" s="45">
        <v>59738.681036000002</v>
      </c>
      <c r="E393" s="45">
        <v>81541.978014674416</v>
      </c>
      <c r="F393" s="45">
        <v>29744.448652000003</v>
      </c>
      <c r="G393" s="45">
        <v>27218.701395062326</v>
      </c>
      <c r="H393" s="46">
        <v>0.36497787698953732</v>
      </c>
      <c r="I393" s="46">
        <v>-8.4914912577068291E-2</v>
      </c>
      <c r="J393" s="46">
        <v>0.21543222492274894</v>
      </c>
    </row>
    <row r="394" spans="1:10" ht="11.25" customHeight="1" x14ac:dyDescent="0.2">
      <c r="A394" s="54" t="s">
        <v>25</v>
      </c>
      <c r="B394" s="45">
        <v>0</v>
      </c>
      <c r="C394" s="45">
        <v>0</v>
      </c>
      <c r="D394" s="45">
        <v>59738.681036000002</v>
      </c>
      <c r="E394" s="45">
        <v>81541.978014674416</v>
      </c>
      <c r="F394" s="45">
        <v>29744.448652000003</v>
      </c>
      <c r="G394" s="45">
        <v>27218.701395062326</v>
      </c>
      <c r="H394" s="46">
        <v>0.36497787698953732</v>
      </c>
      <c r="I394" s="46">
        <v>-8.4914912577068291E-2</v>
      </c>
      <c r="J394" s="46">
        <v>0.21543222492274894</v>
      </c>
    </row>
    <row r="395" spans="1:10" ht="11.25" customHeight="1" x14ac:dyDescent="0.2">
      <c r="A395" s="55">
        <v>44440</v>
      </c>
      <c r="B395" s="45">
        <v>0</v>
      </c>
      <c r="C395" s="45">
        <v>0</v>
      </c>
      <c r="D395" s="45">
        <v>9768.6566600000006</v>
      </c>
      <c r="E395" s="45">
        <v>13334.000228806508</v>
      </c>
      <c r="F395" s="45">
        <v>4863.9056200000005</v>
      </c>
      <c r="G395" s="45">
        <v>4450.88749949459</v>
      </c>
      <c r="H395" s="46">
        <v>0.36497787698953754</v>
      </c>
      <c r="I395" s="46">
        <v>-8.491491257706818E-2</v>
      </c>
      <c r="J395" s="46">
        <v>0.21543222492274916</v>
      </c>
    </row>
    <row r="396" spans="1:10" ht="11.25" customHeight="1" x14ac:dyDescent="0.2">
      <c r="A396" s="55">
        <v>44470</v>
      </c>
      <c r="B396" s="45">
        <v>0</v>
      </c>
      <c r="C396" s="45">
        <v>0</v>
      </c>
      <c r="D396" s="45">
        <v>7534.2108159999998</v>
      </c>
      <c r="E396" s="45">
        <v>10284.031084415292</v>
      </c>
      <c r="F396" s="45">
        <v>3751.354112</v>
      </c>
      <c r="G396" s="45">
        <v>3432.8082055338946</v>
      </c>
      <c r="H396" s="46">
        <v>0.36497787698953776</v>
      </c>
      <c r="I396" s="46">
        <v>-8.491491257706818E-2</v>
      </c>
      <c r="J396" s="46">
        <v>0.21543222492274938</v>
      </c>
    </row>
    <row r="397" spans="1:10" ht="11.25" customHeight="1" x14ac:dyDescent="0.2">
      <c r="A397" s="55">
        <v>44501</v>
      </c>
      <c r="B397" s="45">
        <v>0</v>
      </c>
      <c r="C397" s="45">
        <v>0</v>
      </c>
      <c r="D397" s="45">
        <v>10297.506132</v>
      </c>
      <c r="E397" s="45">
        <v>14055.868058344106</v>
      </c>
      <c r="F397" s="45">
        <v>5127.2247239999997</v>
      </c>
      <c r="G397" s="45">
        <v>4691.8468847985578</v>
      </c>
      <c r="H397" s="46">
        <v>0.36497787698953754</v>
      </c>
      <c r="I397" s="46">
        <v>-8.4914912577068069E-2</v>
      </c>
      <c r="J397" s="46">
        <v>0.21543222492274916</v>
      </c>
    </row>
    <row r="398" spans="1:10" ht="11.25" customHeight="1" x14ac:dyDescent="0.2">
      <c r="A398" s="55">
        <v>44531</v>
      </c>
      <c r="B398" s="45">
        <v>0</v>
      </c>
      <c r="C398" s="45">
        <v>0</v>
      </c>
      <c r="D398" s="45">
        <v>12135.788412000002</v>
      </c>
      <c r="E398" s="45">
        <v>16565.082702205993</v>
      </c>
      <c r="F398" s="45">
        <v>6042.5226840000005</v>
      </c>
      <c r="G398" s="45">
        <v>5529.422398543189</v>
      </c>
      <c r="H398" s="46">
        <v>0.36497787698953754</v>
      </c>
      <c r="I398" s="46">
        <v>-8.491491257706818E-2</v>
      </c>
      <c r="J398" s="46">
        <v>0.21543222492274916</v>
      </c>
    </row>
    <row r="399" spans="1:10" ht="11.25" customHeight="1" x14ac:dyDescent="0.2">
      <c r="A399" s="55">
        <v>44562</v>
      </c>
      <c r="B399" s="45">
        <v>0</v>
      </c>
      <c r="C399" s="45">
        <v>0</v>
      </c>
      <c r="D399" s="45">
        <v>13758.799408000001</v>
      </c>
      <c r="E399" s="45">
        <v>18780.456805856746</v>
      </c>
      <c r="F399" s="45">
        <v>6850.6350560000001</v>
      </c>
      <c r="G399" s="45">
        <v>6268.9139791223615</v>
      </c>
      <c r="H399" s="46">
        <v>0.36497787698953754</v>
      </c>
      <c r="I399" s="46">
        <v>-8.491491257706818E-2</v>
      </c>
      <c r="J399" s="46">
        <v>0.21543222492274916</v>
      </c>
    </row>
    <row r="400" spans="1:10" ht="11.25" customHeight="1" x14ac:dyDescent="0.2">
      <c r="A400" s="55">
        <v>44593</v>
      </c>
      <c r="B400" s="45">
        <v>0</v>
      </c>
      <c r="C400" s="45">
        <v>0</v>
      </c>
      <c r="D400" s="45">
        <v>3903.8637600000002</v>
      </c>
      <c r="E400" s="45">
        <v>5328.6876671811933</v>
      </c>
      <c r="F400" s="45">
        <v>1943.7703199999999</v>
      </c>
      <c r="G400" s="45">
        <v>1778.7152332073001</v>
      </c>
      <c r="H400" s="46">
        <v>0.36497787698953732</v>
      </c>
      <c r="I400" s="46">
        <v>-8.491491257706818E-2</v>
      </c>
      <c r="J400" s="46">
        <v>0.21543222492274916</v>
      </c>
    </row>
    <row r="401" spans="1:10" ht="11.25" customHeight="1" x14ac:dyDescent="0.2">
      <c r="A401" s="55">
        <v>44621</v>
      </c>
      <c r="B401" s="45">
        <v>0</v>
      </c>
      <c r="C401" s="45">
        <v>0</v>
      </c>
      <c r="D401" s="45">
        <v>1357.8285960000001</v>
      </c>
      <c r="E401" s="45">
        <v>1853.4059942837646</v>
      </c>
      <c r="F401" s="45">
        <v>676.07557199999997</v>
      </c>
      <c r="G401" s="45">
        <v>618.6666739081287</v>
      </c>
      <c r="H401" s="46">
        <v>0.36497787698953754</v>
      </c>
      <c r="I401" s="46">
        <v>-8.4914912577068069E-2</v>
      </c>
      <c r="J401" s="46">
        <v>0.21543222492274916</v>
      </c>
    </row>
    <row r="402" spans="1:10" ht="11.25" customHeight="1" x14ac:dyDescent="0.2">
      <c r="A402" s="55">
        <v>44652</v>
      </c>
      <c r="B402" s="45">
        <v>0</v>
      </c>
      <c r="C402" s="45">
        <v>0</v>
      </c>
      <c r="D402" s="45">
        <v>151.62750800000001</v>
      </c>
      <c r="E402" s="45">
        <v>206.96819396305412</v>
      </c>
      <c r="F402" s="45">
        <v>75.496755999999991</v>
      </c>
      <c r="G402" s="45">
        <v>69.085955564407755</v>
      </c>
      <c r="H402" s="46">
        <v>0.36497787698953754</v>
      </c>
      <c r="I402" s="46">
        <v>-8.4914912577068069E-2</v>
      </c>
      <c r="J402" s="46">
        <v>0.21543222492274916</v>
      </c>
    </row>
    <row r="403" spans="1:10" ht="11.25" customHeight="1" x14ac:dyDescent="0.2">
      <c r="A403" s="55">
        <v>44682</v>
      </c>
      <c r="B403" s="45">
        <v>0</v>
      </c>
      <c r="C403" s="45">
        <v>0</v>
      </c>
      <c r="D403" s="45">
        <v>117.62733600000001</v>
      </c>
      <c r="E403" s="45">
        <v>160.55871136921502</v>
      </c>
      <c r="F403" s="45">
        <v>58.567752000000006</v>
      </c>
      <c r="G403" s="45">
        <v>53.594476459084596</v>
      </c>
      <c r="H403" s="46">
        <v>0.36497787698953754</v>
      </c>
      <c r="I403" s="46">
        <v>-8.491491257706818E-2</v>
      </c>
      <c r="J403" s="46">
        <v>0.21543222492274916</v>
      </c>
    </row>
    <row r="404" spans="1:10" ht="11.25" customHeight="1" x14ac:dyDescent="0.2">
      <c r="A404" s="55">
        <v>44713</v>
      </c>
      <c r="B404" s="45">
        <v>0</v>
      </c>
      <c r="C404" s="45">
        <v>0</v>
      </c>
      <c r="D404" s="45">
        <v>60.802535999999996</v>
      </c>
      <c r="E404" s="45">
        <v>82.994116504859917</v>
      </c>
      <c r="F404" s="45">
        <v>30.274151999999997</v>
      </c>
      <c r="G404" s="45">
        <v>27.703425029575126</v>
      </c>
      <c r="H404" s="46">
        <v>0.36497787698953754</v>
      </c>
      <c r="I404" s="46">
        <v>-8.4914912577068069E-2</v>
      </c>
      <c r="J404" s="46">
        <v>0.21543222492274916</v>
      </c>
    </row>
    <row r="405" spans="1:10" ht="11.25" customHeight="1" x14ac:dyDescent="0.2">
      <c r="A405" s="55">
        <v>44743</v>
      </c>
      <c r="B405" s="45">
        <v>0</v>
      </c>
      <c r="C405" s="45">
        <v>0</v>
      </c>
      <c r="D405" s="45">
        <v>325.984936</v>
      </c>
      <c r="E405" s="45">
        <v>444.96222587185031</v>
      </c>
      <c r="F405" s="45">
        <v>162.31095200000001</v>
      </c>
      <c r="G405" s="45">
        <v>148.5283317006193</v>
      </c>
      <c r="H405" s="46">
        <v>0.36497787698953754</v>
      </c>
      <c r="I405" s="46">
        <v>-8.491491257706818E-2</v>
      </c>
      <c r="J405" s="46">
        <v>0.21543222492274938</v>
      </c>
    </row>
    <row r="406" spans="1:10" ht="11.25" customHeight="1" x14ac:dyDescent="0.2">
      <c r="A406" s="55">
        <v>44774</v>
      </c>
      <c r="B406" s="45">
        <v>0</v>
      </c>
      <c r="C406" s="45">
        <v>0</v>
      </c>
      <c r="D406" s="45">
        <v>325.984936</v>
      </c>
      <c r="E406" s="45">
        <v>444.96222587185031</v>
      </c>
      <c r="F406" s="45">
        <v>162.31095200000001</v>
      </c>
      <c r="G406" s="45">
        <v>148.5283317006193</v>
      </c>
      <c r="H406" s="46">
        <v>0.36497787698953754</v>
      </c>
      <c r="I406" s="46">
        <v>-8.491491257706818E-2</v>
      </c>
      <c r="J406" s="46">
        <v>0.21543222492274938</v>
      </c>
    </row>
    <row r="407" spans="1:10" ht="11.25" customHeight="1" x14ac:dyDescent="0.2">
      <c r="A407" s="51" t="s">
        <v>54</v>
      </c>
      <c r="B407" s="45">
        <v>0</v>
      </c>
      <c r="C407" s="45">
        <v>0</v>
      </c>
      <c r="D407" s="45">
        <v>3281.6795539999998</v>
      </c>
      <c r="E407" s="45">
        <v>4479.4199905788928</v>
      </c>
      <c r="F407" s="45">
        <v>1633.9789780000003</v>
      </c>
      <c r="G407" s="45">
        <v>1495.2297959303628</v>
      </c>
      <c r="H407" s="46">
        <v>0.36497787698953776</v>
      </c>
      <c r="I407" s="46">
        <v>-8.4914912577068402E-2</v>
      </c>
      <c r="J407" s="46">
        <v>0.21543222492274916</v>
      </c>
    </row>
    <row r="408" spans="1:10" ht="11.25" customHeight="1" x14ac:dyDescent="0.2">
      <c r="A408" s="52" t="s">
        <v>52</v>
      </c>
      <c r="B408" s="45">
        <v>0</v>
      </c>
      <c r="C408" s="45">
        <v>0</v>
      </c>
      <c r="D408" s="45">
        <v>1871.6668500000001</v>
      </c>
      <c r="E408" s="45">
        <v>2554.7838433446955</v>
      </c>
      <c r="F408" s="45">
        <v>931.92045000000007</v>
      </c>
      <c r="G408" s="45">
        <v>852.78650645946811</v>
      </c>
      <c r="H408" s="46">
        <v>0.36497787698953754</v>
      </c>
      <c r="I408" s="46">
        <v>-8.4914912577068069E-2</v>
      </c>
      <c r="J408" s="46">
        <v>0.21543222492274916</v>
      </c>
    </row>
    <row r="409" spans="1:10" ht="11.25" customHeight="1" x14ac:dyDescent="0.2">
      <c r="A409" s="53" t="s">
        <v>25</v>
      </c>
      <c r="B409" s="45">
        <v>0</v>
      </c>
      <c r="C409" s="45">
        <v>0</v>
      </c>
      <c r="D409" s="45">
        <v>1871.6668500000001</v>
      </c>
      <c r="E409" s="45">
        <v>2554.7838433446955</v>
      </c>
      <c r="F409" s="45">
        <v>931.92045000000007</v>
      </c>
      <c r="G409" s="45">
        <v>852.78650645946811</v>
      </c>
      <c r="H409" s="46">
        <v>0.36497787698953754</v>
      </c>
      <c r="I409" s="46">
        <v>-8.4914912577068069E-2</v>
      </c>
      <c r="J409" s="46">
        <v>0.21543222492274916</v>
      </c>
    </row>
    <row r="410" spans="1:10" ht="11.25" customHeight="1" x14ac:dyDescent="0.2">
      <c r="A410" s="54" t="s">
        <v>25</v>
      </c>
      <c r="B410" s="45">
        <v>0</v>
      </c>
      <c r="C410" s="45">
        <v>0</v>
      </c>
      <c r="D410" s="45">
        <v>1871.6668500000001</v>
      </c>
      <c r="E410" s="45">
        <v>2554.7838433446955</v>
      </c>
      <c r="F410" s="45">
        <v>931.92045000000007</v>
      </c>
      <c r="G410" s="45">
        <v>852.78650645946811</v>
      </c>
      <c r="H410" s="46">
        <v>0.36497787698953754</v>
      </c>
      <c r="I410" s="46">
        <v>-8.4914912577068069E-2</v>
      </c>
      <c r="J410" s="46">
        <v>0.21543222492274916</v>
      </c>
    </row>
    <row r="411" spans="1:10" ht="11.25" customHeight="1" x14ac:dyDescent="0.2">
      <c r="A411" s="55">
        <v>44440</v>
      </c>
      <c r="B411" s="45">
        <v>0</v>
      </c>
      <c r="C411" s="45">
        <v>0</v>
      </c>
      <c r="D411" s="45">
        <v>15.863590000000002</v>
      </c>
      <c r="E411" s="45">
        <v>21.653449399632461</v>
      </c>
      <c r="F411" s="45">
        <v>7.8986300000000007</v>
      </c>
      <c r="G411" s="45">
        <v>7.2279185240713923</v>
      </c>
      <c r="H411" s="46">
        <v>0.36497787698953754</v>
      </c>
      <c r="I411" s="46">
        <v>-8.491491257706818E-2</v>
      </c>
      <c r="J411" s="46">
        <v>0.21543222492274916</v>
      </c>
    </row>
    <row r="412" spans="1:10" ht="11.25" customHeight="1" x14ac:dyDescent="0.2">
      <c r="A412" s="55">
        <v>44470</v>
      </c>
      <c r="B412" s="45">
        <v>0</v>
      </c>
      <c r="C412" s="45">
        <v>0</v>
      </c>
      <c r="D412" s="45">
        <v>15.863590000000002</v>
      </c>
      <c r="E412" s="45">
        <v>21.653449399632461</v>
      </c>
      <c r="F412" s="45">
        <v>7.8986300000000007</v>
      </c>
      <c r="G412" s="45">
        <v>7.2279185240713923</v>
      </c>
      <c r="H412" s="46">
        <v>0.36497787698953754</v>
      </c>
      <c r="I412" s="46">
        <v>-8.491491257706818E-2</v>
      </c>
      <c r="J412" s="46">
        <v>0.21543222492274916</v>
      </c>
    </row>
    <row r="413" spans="1:10" ht="11.25" customHeight="1" x14ac:dyDescent="0.2">
      <c r="A413" s="55">
        <v>44501</v>
      </c>
      <c r="B413" s="45">
        <v>0</v>
      </c>
      <c r="C413" s="45">
        <v>0</v>
      </c>
      <c r="D413" s="45">
        <v>17.520980000000002</v>
      </c>
      <c r="E413" s="45">
        <v>23.915750083176146</v>
      </c>
      <c r="F413" s="45">
        <v>8.7238600000000002</v>
      </c>
      <c r="G413" s="45">
        <v>7.9830741907654179</v>
      </c>
      <c r="H413" s="46">
        <v>0.36497787698953732</v>
      </c>
      <c r="I413" s="46">
        <v>-8.491491257706818E-2</v>
      </c>
      <c r="J413" s="46">
        <v>0.21543222492274894</v>
      </c>
    </row>
    <row r="414" spans="1:10" ht="11.25" customHeight="1" x14ac:dyDescent="0.2">
      <c r="A414" s="55">
        <v>44531</v>
      </c>
      <c r="B414" s="45">
        <v>0</v>
      </c>
      <c r="C414" s="45">
        <v>0</v>
      </c>
      <c r="D414" s="45">
        <v>65.348520000000008</v>
      </c>
      <c r="E414" s="45">
        <v>89.199284094008348</v>
      </c>
      <c r="F414" s="45">
        <v>32.537640000000003</v>
      </c>
      <c r="G414" s="45">
        <v>29.774709143935887</v>
      </c>
      <c r="H414" s="46">
        <v>0.36497787698953754</v>
      </c>
      <c r="I414" s="46">
        <v>-8.491491257706818E-2</v>
      </c>
      <c r="J414" s="46">
        <v>0.21543222492274916</v>
      </c>
    </row>
    <row r="415" spans="1:10" ht="11.25" customHeight="1" x14ac:dyDescent="0.2">
      <c r="A415" s="55">
        <v>44562</v>
      </c>
      <c r="B415" s="45">
        <v>0</v>
      </c>
      <c r="C415" s="45">
        <v>0</v>
      </c>
      <c r="D415" s="45">
        <v>229.43012999999999</v>
      </c>
      <c r="E415" s="45">
        <v>313.16705176483362</v>
      </c>
      <c r="F415" s="45">
        <v>114.23541</v>
      </c>
      <c r="G415" s="45">
        <v>104.53512014664446</v>
      </c>
      <c r="H415" s="46">
        <v>0.36497787698953754</v>
      </c>
      <c r="I415" s="46">
        <v>-8.491491257706818E-2</v>
      </c>
      <c r="J415" s="46">
        <v>0.21543222492274938</v>
      </c>
    </row>
    <row r="416" spans="1:10" ht="11.25" customHeight="1" x14ac:dyDescent="0.2">
      <c r="A416" s="55">
        <v>44593</v>
      </c>
      <c r="B416" s="45">
        <v>0</v>
      </c>
      <c r="C416" s="45">
        <v>0</v>
      </c>
      <c r="D416" s="45">
        <v>248.37172999999999</v>
      </c>
      <c r="E416" s="45">
        <v>339.02191671961862</v>
      </c>
      <c r="F416" s="45">
        <v>123.66660999999999</v>
      </c>
      <c r="G416" s="45">
        <v>113.16547062314761</v>
      </c>
      <c r="H416" s="46">
        <v>0.36497787698953754</v>
      </c>
      <c r="I416" s="46">
        <v>-8.491491257706818E-2</v>
      </c>
      <c r="J416" s="46">
        <v>0.21543222492274938</v>
      </c>
    </row>
    <row r="417" spans="1:10" ht="11.25" customHeight="1" x14ac:dyDescent="0.2">
      <c r="A417" s="55">
        <v>44621</v>
      </c>
      <c r="B417" s="45">
        <v>0</v>
      </c>
      <c r="C417" s="45">
        <v>0</v>
      </c>
      <c r="D417" s="45">
        <v>397.06329000000005</v>
      </c>
      <c r="E417" s="45">
        <v>541.98260661468112</v>
      </c>
      <c r="F417" s="45">
        <v>197.70153000000002</v>
      </c>
      <c r="G417" s="45">
        <v>180.91372186369739</v>
      </c>
      <c r="H417" s="46">
        <v>0.36497787698953754</v>
      </c>
      <c r="I417" s="46">
        <v>-8.491491257706818E-2</v>
      </c>
      <c r="J417" s="46">
        <v>0.21543222492274916</v>
      </c>
    </row>
    <row r="418" spans="1:10" ht="11.25" customHeight="1" x14ac:dyDescent="0.2">
      <c r="A418" s="55">
        <v>44652</v>
      </c>
      <c r="B418" s="45">
        <v>0</v>
      </c>
      <c r="C418" s="45">
        <v>0</v>
      </c>
      <c r="D418" s="45">
        <v>380.01585</v>
      </c>
      <c r="E418" s="45">
        <v>518.71322815537462</v>
      </c>
      <c r="F418" s="45">
        <v>189.21344999999999</v>
      </c>
      <c r="G418" s="45">
        <v>173.14640643484455</v>
      </c>
      <c r="H418" s="46">
        <v>0.36497787698953776</v>
      </c>
      <c r="I418" s="46">
        <v>-8.4914912577068069E-2</v>
      </c>
      <c r="J418" s="46">
        <v>0.2154322249227496</v>
      </c>
    </row>
    <row r="419" spans="1:10" ht="11.25" customHeight="1" x14ac:dyDescent="0.2">
      <c r="A419" s="55">
        <v>44682</v>
      </c>
      <c r="B419" s="45">
        <v>0</v>
      </c>
      <c r="C419" s="45">
        <v>0</v>
      </c>
      <c r="D419" s="45">
        <v>261.15731</v>
      </c>
      <c r="E419" s="45">
        <v>356.47395056409852</v>
      </c>
      <c r="F419" s="45">
        <v>130.03267</v>
      </c>
      <c r="G419" s="45">
        <v>118.99095719478724</v>
      </c>
      <c r="H419" s="46">
        <v>0.36497787698953754</v>
      </c>
      <c r="I419" s="46">
        <v>-8.491491257706818E-2</v>
      </c>
      <c r="J419" s="46">
        <v>0.21543222492274916</v>
      </c>
    </row>
    <row r="420" spans="1:10" ht="11.25" customHeight="1" x14ac:dyDescent="0.2">
      <c r="A420" s="55">
        <v>44713</v>
      </c>
      <c r="B420" s="45">
        <v>0</v>
      </c>
      <c r="C420" s="45">
        <v>0</v>
      </c>
      <c r="D420" s="45">
        <v>191.78370000000001</v>
      </c>
      <c r="E420" s="45">
        <v>261.78050766719838</v>
      </c>
      <c r="F420" s="45">
        <v>95.490900000000011</v>
      </c>
      <c r="G420" s="45">
        <v>87.382298574594444</v>
      </c>
      <c r="H420" s="46">
        <v>0.36497787698953754</v>
      </c>
      <c r="I420" s="46">
        <v>-8.4914912577068291E-2</v>
      </c>
      <c r="J420" s="46">
        <v>0.21543222492274916</v>
      </c>
    </row>
    <row r="421" spans="1:10" ht="11.25" customHeight="1" x14ac:dyDescent="0.2">
      <c r="A421" s="55">
        <v>44743</v>
      </c>
      <c r="B421" s="45">
        <v>0</v>
      </c>
      <c r="C421" s="45">
        <v>0</v>
      </c>
      <c r="D421" s="45">
        <v>24.624079999999999</v>
      </c>
      <c r="E421" s="45">
        <v>33.611324441220532</v>
      </c>
      <c r="F421" s="45">
        <v>12.26056</v>
      </c>
      <c r="G421" s="45">
        <v>11.2194556194541</v>
      </c>
      <c r="H421" s="46">
        <v>0.36497787698953754</v>
      </c>
      <c r="I421" s="46">
        <v>-8.491491257706818E-2</v>
      </c>
      <c r="J421" s="46">
        <v>0.21543222492274938</v>
      </c>
    </row>
    <row r="422" spans="1:10" ht="11.25" customHeight="1" x14ac:dyDescent="0.2">
      <c r="A422" s="55">
        <v>44774</v>
      </c>
      <c r="B422" s="45">
        <v>0</v>
      </c>
      <c r="C422" s="45">
        <v>0</v>
      </c>
      <c r="D422" s="45">
        <v>24.624079999999999</v>
      </c>
      <c r="E422" s="45">
        <v>33.611324441220532</v>
      </c>
      <c r="F422" s="45">
        <v>12.26056</v>
      </c>
      <c r="G422" s="45">
        <v>11.2194556194541</v>
      </c>
      <c r="H422" s="46">
        <v>0.36497787698953754</v>
      </c>
      <c r="I422" s="46">
        <v>-8.491491257706818E-2</v>
      </c>
      <c r="J422" s="46">
        <v>0.21543222492274938</v>
      </c>
    </row>
    <row r="423" spans="1:10" ht="11.25" customHeight="1" x14ac:dyDescent="0.2">
      <c r="A423" s="52" t="s">
        <v>53</v>
      </c>
      <c r="B423" s="45">
        <v>0</v>
      </c>
      <c r="C423" s="45">
        <v>0</v>
      </c>
      <c r="D423" s="45">
        <v>1410.0127039999998</v>
      </c>
      <c r="E423" s="45">
        <v>1924.6361472341971</v>
      </c>
      <c r="F423" s="45">
        <v>702.05852800000014</v>
      </c>
      <c r="G423" s="45">
        <v>642.4432894708948</v>
      </c>
      <c r="H423" s="46">
        <v>0.36497787698953776</v>
      </c>
      <c r="I423" s="46">
        <v>-8.4914912577068402E-2</v>
      </c>
      <c r="J423" s="46">
        <v>0.21543222492274938</v>
      </c>
    </row>
    <row r="424" spans="1:10" ht="11.25" customHeight="1" x14ac:dyDescent="0.2">
      <c r="A424" s="53" t="s">
        <v>25</v>
      </c>
      <c r="B424" s="45">
        <v>0</v>
      </c>
      <c r="C424" s="45">
        <v>0</v>
      </c>
      <c r="D424" s="45">
        <v>1410.0127039999998</v>
      </c>
      <c r="E424" s="45">
        <v>1924.6361472341971</v>
      </c>
      <c r="F424" s="45">
        <v>702.05852800000014</v>
      </c>
      <c r="G424" s="45">
        <v>642.4432894708948</v>
      </c>
      <c r="H424" s="46">
        <v>0.36497787698953776</v>
      </c>
      <c r="I424" s="46">
        <v>-8.4914912577068402E-2</v>
      </c>
      <c r="J424" s="46">
        <v>0.21543222492274938</v>
      </c>
    </row>
    <row r="425" spans="1:10" ht="11.25" customHeight="1" x14ac:dyDescent="0.2">
      <c r="A425" s="54" t="s">
        <v>25</v>
      </c>
      <c r="B425" s="45">
        <v>0</v>
      </c>
      <c r="C425" s="45">
        <v>0</v>
      </c>
      <c r="D425" s="45">
        <v>1410.0127039999998</v>
      </c>
      <c r="E425" s="45">
        <v>1924.6361472341971</v>
      </c>
      <c r="F425" s="45">
        <v>702.05852800000014</v>
      </c>
      <c r="G425" s="45">
        <v>642.4432894708948</v>
      </c>
      <c r="H425" s="46">
        <v>0.36497787698953776</v>
      </c>
      <c r="I425" s="46">
        <v>-8.4914912577068402E-2</v>
      </c>
      <c r="J425" s="46">
        <v>0.21543222492274938</v>
      </c>
    </row>
    <row r="426" spans="1:10" ht="11.25" customHeight="1" x14ac:dyDescent="0.2">
      <c r="A426" s="55">
        <v>44440</v>
      </c>
      <c r="B426" s="45">
        <v>0</v>
      </c>
      <c r="C426" s="45">
        <v>0</v>
      </c>
      <c r="D426" s="45">
        <v>3.9777359999999997</v>
      </c>
      <c r="E426" s="45">
        <v>5.4295216405048548</v>
      </c>
      <c r="F426" s="45">
        <v>1.9805519999999999</v>
      </c>
      <c r="G426" s="45">
        <v>1.8123736000656625</v>
      </c>
      <c r="H426" s="46">
        <v>0.36497787698953754</v>
      </c>
      <c r="I426" s="46">
        <v>-8.4914912577068069E-2</v>
      </c>
      <c r="J426" s="46">
        <v>0.21543222492274938</v>
      </c>
    </row>
    <row r="427" spans="1:10" ht="11.25" customHeight="1" x14ac:dyDescent="0.2">
      <c r="A427" s="55">
        <v>44470</v>
      </c>
      <c r="B427" s="45">
        <v>0</v>
      </c>
      <c r="C427" s="45">
        <v>0</v>
      </c>
      <c r="D427" s="45">
        <v>3.1253640000000003</v>
      </c>
      <c r="E427" s="45">
        <v>4.2660527175395293</v>
      </c>
      <c r="F427" s="45">
        <v>1.5561480000000001</v>
      </c>
      <c r="G427" s="45">
        <v>1.4240078286230207</v>
      </c>
      <c r="H427" s="46">
        <v>0.36497787698953754</v>
      </c>
      <c r="I427" s="46">
        <v>-8.491491257706818E-2</v>
      </c>
      <c r="J427" s="46">
        <v>0.21543222492274916</v>
      </c>
    </row>
    <row r="428" spans="1:10" ht="11.25" customHeight="1" x14ac:dyDescent="0.2">
      <c r="A428" s="55">
        <v>44501</v>
      </c>
      <c r="B428" s="45">
        <v>0</v>
      </c>
      <c r="C428" s="45">
        <v>0</v>
      </c>
      <c r="D428" s="45">
        <v>2.4624079999999999</v>
      </c>
      <c r="E428" s="45">
        <v>3.3611324441220534</v>
      </c>
      <c r="F428" s="45">
        <v>1.226056</v>
      </c>
      <c r="G428" s="45">
        <v>1.1219455619454102</v>
      </c>
      <c r="H428" s="46">
        <v>0.36497787698953776</v>
      </c>
      <c r="I428" s="46">
        <v>-8.491491257706818E-2</v>
      </c>
      <c r="J428" s="46">
        <v>0.21543222492274938</v>
      </c>
    </row>
    <row r="429" spans="1:10" ht="11.25" customHeight="1" x14ac:dyDescent="0.2">
      <c r="A429" s="55">
        <v>44531</v>
      </c>
      <c r="B429" s="45">
        <v>0</v>
      </c>
      <c r="C429" s="45">
        <v>0</v>
      </c>
      <c r="D429" s="45">
        <v>67.905636000000001</v>
      </c>
      <c r="E429" s="45">
        <v>92.689690862904314</v>
      </c>
      <c r="F429" s="45">
        <v>33.810851999999997</v>
      </c>
      <c r="G429" s="45">
        <v>30.93980645826381</v>
      </c>
      <c r="H429" s="46">
        <v>0.36497787698953754</v>
      </c>
      <c r="I429" s="46">
        <v>-8.4914912577068069E-2</v>
      </c>
      <c r="J429" s="46">
        <v>0.21543222492274916</v>
      </c>
    </row>
    <row r="430" spans="1:10" ht="11.25" customHeight="1" x14ac:dyDescent="0.2">
      <c r="A430" s="55">
        <v>44562</v>
      </c>
      <c r="B430" s="45">
        <v>0</v>
      </c>
      <c r="C430" s="45">
        <v>0</v>
      </c>
      <c r="D430" s="45">
        <v>187.90067200000001</v>
      </c>
      <c r="E430" s="45">
        <v>256.48026035146745</v>
      </c>
      <c r="F430" s="45">
        <v>93.557503999999994</v>
      </c>
      <c r="G430" s="45">
        <v>85.613076726911288</v>
      </c>
      <c r="H430" s="46">
        <v>0.36497787698953754</v>
      </c>
      <c r="I430" s="46">
        <v>-8.491491257706818E-2</v>
      </c>
      <c r="J430" s="46">
        <v>0.21543222492274938</v>
      </c>
    </row>
    <row r="431" spans="1:10" ht="11.25" customHeight="1" x14ac:dyDescent="0.2">
      <c r="A431" s="55">
        <v>44593</v>
      </c>
      <c r="B431" s="45">
        <v>0</v>
      </c>
      <c r="C431" s="45">
        <v>0</v>
      </c>
      <c r="D431" s="45">
        <v>231.93989200000001</v>
      </c>
      <c r="E431" s="45">
        <v>316.59282137134267</v>
      </c>
      <c r="F431" s="45">
        <v>115.485044</v>
      </c>
      <c r="G431" s="45">
        <v>105.67864158478113</v>
      </c>
      <c r="H431" s="46">
        <v>0.36497787698953754</v>
      </c>
      <c r="I431" s="46">
        <v>-8.491491257706818E-2</v>
      </c>
      <c r="J431" s="46">
        <v>0.21543222492274938</v>
      </c>
    </row>
    <row r="432" spans="1:10" ht="11.25" customHeight="1" x14ac:dyDescent="0.2">
      <c r="A432" s="55">
        <v>44621</v>
      </c>
      <c r="B432" s="45">
        <v>0</v>
      </c>
      <c r="C432" s="45">
        <v>0</v>
      </c>
      <c r="D432" s="45">
        <v>305.05446799999999</v>
      </c>
      <c r="E432" s="45">
        <v>416.39260009681283</v>
      </c>
      <c r="F432" s="45">
        <v>151.889476</v>
      </c>
      <c r="G432" s="45">
        <v>138.99179442408331</v>
      </c>
      <c r="H432" s="46">
        <v>0.36497787698953754</v>
      </c>
      <c r="I432" s="46">
        <v>-8.491491257706818E-2</v>
      </c>
      <c r="J432" s="46">
        <v>0.21543222492274938</v>
      </c>
    </row>
    <row r="433" spans="1:10" ht="11.25" customHeight="1" x14ac:dyDescent="0.2">
      <c r="A433" s="55">
        <v>44652</v>
      </c>
      <c r="B433" s="45">
        <v>0</v>
      </c>
      <c r="C433" s="45">
        <v>0</v>
      </c>
      <c r="D433" s="45">
        <v>283.27162799999996</v>
      </c>
      <c r="E433" s="45">
        <v>386.65950539881004</v>
      </c>
      <c r="F433" s="45">
        <v>141.04359599999998</v>
      </c>
      <c r="G433" s="45">
        <v>129.06689137610468</v>
      </c>
      <c r="H433" s="46">
        <v>0.36497787698953776</v>
      </c>
      <c r="I433" s="46">
        <v>-8.4914912577068069E-2</v>
      </c>
      <c r="J433" s="46">
        <v>0.21543222492274938</v>
      </c>
    </row>
    <row r="434" spans="1:10" ht="11.25" customHeight="1" x14ac:dyDescent="0.2">
      <c r="A434" s="55">
        <v>44682</v>
      </c>
      <c r="B434" s="45">
        <v>0</v>
      </c>
      <c r="C434" s="45">
        <v>0</v>
      </c>
      <c r="D434" s="45">
        <v>191.31016000000002</v>
      </c>
      <c r="E434" s="45">
        <v>261.13413604332879</v>
      </c>
      <c r="F434" s="45">
        <v>95.255120000000005</v>
      </c>
      <c r="G434" s="45">
        <v>87.166539812681876</v>
      </c>
      <c r="H434" s="46">
        <v>0.36497787698953754</v>
      </c>
      <c r="I434" s="46">
        <v>-8.4914912577068069E-2</v>
      </c>
      <c r="J434" s="46">
        <v>0.21543222492274938</v>
      </c>
    </row>
    <row r="435" spans="1:10" ht="11.25" customHeight="1" x14ac:dyDescent="0.2">
      <c r="A435" s="55">
        <v>44713</v>
      </c>
      <c r="B435" s="45">
        <v>0</v>
      </c>
      <c r="C435" s="45">
        <v>0</v>
      </c>
      <c r="D435" s="45">
        <v>105.031172</v>
      </c>
      <c r="E435" s="45">
        <v>143.36522617428295</v>
      </c>
      <c r="F435" s="45">
        <v>52.296003999999996</v>
      </c>
      <c r="G435" s="45">
        <v>47.855293392209994</v>
      </c>
      <c r="H435" s="46">
        <v>0.36497787698953754</v>
      </c>
      <c r="I435" s="46">
        <v>-8.4914912577068069E-2</v>
      </c>
      <c r="J435" s="46">
        <v>0.21543222492274916</v>
      </c>
    </row>
    <row r="436" spans="1:10" ht="11.25" customHeight="1" x14ac:dyDescent="0.2">
      <c r="A436" s="55">
        <v>44743</v>
      </c>
      <c r="B436" s="45">
        <v>0</v>
      </c>
      <c r="C436" s="45">
        <v>0</v>
      </c>
      <c r="D436" s="45">
        <v>14.016784000000001</v>
      </c>
      <c r="E436" s="45">
        <v>19.13260006654092</v>
      </c>
      <c r="F436" s="45">
        <v>6.979088</v>
      </c>
      <c r="G436" s="45">
        <v>6.3864593526123352</v>
      </c>
      <c r="H436" s="46">
        <v>0.36497787698953754</v>
      </c>
      <c r="I436" s="46">
        <v>-8.4914912577068069E-2</v>
      </c>
      <c r="J436" s="46">
        <v>0.21543222492274916</v>
      </c>
    </row>
    <row r="437" spans="1:10" ht="11.25" customHeight="1" x14ac:dyDescent="0.2">
      <c r="A437" s="55">
        <v>44774</v>
      </c>
      <c r="B437" s="45">
        <v>0</v>
      </c>
      <c r="C437" s="45">
        <v>0</v>
      </c>
      <c r="D437" s="45">
        <v>14.016784000000001</v>
      </c>
      <c r="E437" s="45">
        <v>19.13260006654092</v>
      </c>
      <c r="F437" s="45">
        <v>6.979088</v>
      </c>
      <c r="G437" s="45">
        <v>6.3864593526123352</v>
      </c>
      <c r="H437" s="46">
        <v>0.36497787698953754</v>
      </c>
      <c r="I437" s="46">
        <v>-8.4914912577068069E-2</v>
      </c>
      <c r="J437" s="46">
        <v>0.21543222492274916</v>
      </c>
    </row>
    <row r="438" spans="1:10" ht="11.25" customHeight="1" x14ac:dyDescent="0.2">
      <c r="A438" s="51" t="s">
        <v>25</v>
      </c>
      <c r="B438" s="45">
        <v>0</v>
      </c>
      <c r="C438" s="45">
        <v>0</v>
      </c>
      <c r="D438" s="45">
        <v>3389072.5067500006</v>
      </c>
      <c r="E438" s="45">
        <v>4626008.9952272251</v>
      </c>
      <c r="F438" s="45">
        <v>1687450.9347500002</v>
      </c>
      <c r="G438" s="45">
        <v>1544161.1861476121</v>
      </c>
      <c r="H438" s="46">
        <v>0.36497787698953776</v>
      </c>
      <c r="I438" s="46">
        <v>-8.4914912577067847E-2</v>
      </c>
      <c r="J438" s="46">
        <v>0.21543222492274938</v>
      </c>
    </row>
    <row r="439" spans="1:10" ht="11.25" customHeight="1" x14ac:dyDescent="0.2">
      <c r="A439" s="52" t="s">
        <v>25</v>
      </c>
      <c r="B439" s="45">
        <v>0</v>
      </c>
      <c r="C439" s="45">
        <v>0</v>
      </c>
      <c r="D439" s="45">
        <v>3389072.5067500006</v>
      </c>
      <c r="E439" s="45">
        <v>4626008.9952272251</v>
      </c>
      <c r="F439" s="45">
        <v>1687450.9347500002</v>
      </c>
      <c r="G439" s="45">
        <v>1544161.1861476121</v>
      </c>
      <c r="H439" s="46">
        <v>0.36497787698953776</v>
      </c>
      <c r="I439" s="46">
        <v>-8.4914912577067847E-2</v>
      </c>
      <c r="J439" s="46">
        <v>0.21543222492274938</v>
      </c>
    </row>
    <row r="440" spans="1:10" ht="11.25" customHeight="1" x14ac:dyDescent="0.2">
      <c r="A440" s="53" t="s">
        <v>25</v>
      </c>
      <c r="B440" s="45">
        <v>0</v>
      </c>
      <c r="C440" s="45">
        <v>0</v>
      </c>
      <c r="D440" s="45">
        <v>3389072.5067500006</v>
      </c>
      <c r="E440" s="45">
        <v>4626008.9952272251</v>
      </c>
      <c r="F440" s="45">
        <v>1687450.9347500002</v>
      </c>
      <c r="G440" s="45">
        <v>1544161.1861476121</v>
      </c>
      <c r="H440" s="46">
        <v>0.36497787698953776</v>
      </c>
      <c r="I440" s="46">
        <v>-8.4914912577067847E-2</v>
      </c>
      <c r="J440" s="46">
        <v>0.21543222492274938</v>
      </c>
    </row>
    <row r="441" spans="1:10" ht="11.25" customHeight="1" x14ac:dyDescent="0.2">
      <c r="A441" s="54" t="s">
        <v>25</v>
      </c>
      <c r="B441" s="45">
        <v>0</v>
      </c>
      <c r="C441" s="45">
        <v>0</v>
      </c>
      <c r="D441" s="45">
        <v>3389072.5067500006</v>
      </c>
      <c r="E441" s="45">
        <v>4626008.9952272251</v>
      </c>
      <c r="F441" s="45">
        <v>1687450.9347500002</v>
      </c>
      <c r="G441" s="45">
        <v>1544161.1861476121</v>
      </c>
      <c r="H441" s="46">
        <v>0.36497787698953776</v>
      </c>
      <c r="I441" s="46">
        <v>-8.4914912577067847E-2</v>
      </c>
      <c r="J441" s="46">
        <v>0.21543222492274938</v>
      </c>
    </row>
    <row r="442" spans="1:10" ht="11.25" customHeight="1" x14ac:dyDescent="0.2">
      <c r="A442" s="55">
        <v>44440</v>
      </c>
      <c r="B442" s="45">
        <v>0</v>
      </c>
      <c r="C442" s="45">
        <v>0</v>
      </c>
      <c r="D442" s="45">
        <v>272169.24592999998</v>
      </c>
      <c r="E442" s="45">
        <v>371504.99949137477</v>
      </c>
      <c r="F442" s="45">
        <v>135515.61601</v>
      </c>
      <c r="G442" s="45">
        <v>124008.31932368332</v>
      </c>
      <c r="H442" s="46">
        <v>0.36497787698953776</v>
      </c>
      <c r="I442" s="46">
        <v>-8.4914912577068069E-2</v>
      </c>
      <c r="J442" s="46">
        <v>0.21543222492274938</v>
      </c>
    </row>
    <row r="443" spans="1:10" ht="11.25" customHeight="1" x14ac:dyDescent="0.2">
      <c r="A443" s="55">
        <v>44470</v>
      </c>
      <c r="B443" s="45">
        <v>0</v>
      </c>
      <c r="C443" s="45">
        <v>0</v>
      </c>
      <c r="D443" s="45">
        <v>277792.29665999999</v>
      </c>
      <c r="E443" s="45">
        <v>379180.33933901461</v>
      </c>
      <c r="F443" s="45">
        <v>138315.38562000002</v>
      </c>
      <c r="G443" s="45">
        <v>126570.34674201423</v>
      </c>
      <c r="H443" s="46">
        <v>0.36497787698953754</v>
      </c>
      <c r="I443" s="46">
        <v>-8.4914912577068291E-2</v>
      </c>
      <c r="J443" s="46">
        <v>0.21543222492274916</v>
      </c>
    </row>
    <row r="444" spans="1:10" ht="11.25" customHeight="1" x14ac:dyDescent="0.2">
      <c r="A444" s="55">
        <v>44501</v>
      </c>
      <c r="B444" s="45">
        <v>0</v>
      </c>
      <c r="C444" s="45">
        <v>0</v>
      </c>
      <c r="D444" s="45">
        <v>297198.20263000001</v>
      </c>
      <c r="E444" s="45">
        <v>405668.97167100385</v>
      </c>
      <c r="F444" s="45">
        <v>147977.76791000002</v>
      </c>
      <c r="G444" s="45">
        <v>135412.24868457267</v>
      </c>
      <c r="H444" s="46">
        <v>0.36497787698953776</v>
      </c>
      <c r="I444" s="46">
        <v>-8.4914912577068291E-2</v>
      </c>
      <c r="J444" s="46">
        <v>0.21543222492274916</v>
      </c>
    </row>
    <row r="445" spans="1:10" ht="11.25" customHeight="1" x14ac:dyDescent="0.2">
      <c r="A445" s="55">
        <v>44531</v>
      </c>
      <c r="B445" s="45">
        <v>0</v>
      </c>
      <c r="C445" s="45">
        <v>0</v>
      </c>
      <c r="D445" s="45">
        <v>296697.19731000002</v>
      </c>
      <c r="E445" s="45">
        <v>404985.11049294972</v>
      </c>
      <c r="F445" s="45">
        <v>147728.31266999998</v>
      </c>
      <c r="G445" s="45">
        <v>135183.97591446916</v>
      </c>
      <c r="H445" s="46">
        <v>0.36497787698953754</v>
      </c>
      <c r="I445" s="46">
        <v>-8.4914912577068069E-2</v>
      </c>
      <c r="J445" s="46">
        <v>0.21543222492274916</v>
      </c>
    </row>
    <row r="446" spans="1:10" ht="11.25" customHeight="1" x14ac:dyDescent="0.2">
      <c r="A446" s="55">
        <v>44562</v>
      </c>
      <c r="B446" s="45">
        <v>0</v>
      </c>
      <c r="C446" s="45">
        <v>0</v>
      </c>
      <c r="D446" s="45">
        <v>353967.36168000003</v>
      </c>
      <c r="E446" s="45">
        <v>483157.6178695542</v>
      </c>
      <c r="F446" s="45">
        <v>176243.66376000002</v>
      </c>
      <c r="G446" s="45">
        <v>161277.9484595574</v>
      </c>
      <c r="H446" s="46">
        <v>0.36497787698953754</v>
      </c>
      <c r="I446" s="46">
        <v>-8.4914912577068291E-2</v>
      </c>
      <c r="J446" s="46">
        <v>0.21543222492274916</v>
      </c>
    </row>
    <row r="447" spans="1:10" ht="11.25" customHeight="1" x14ac:dyDescent="0.2">
      <c r="A447" s="55">
        <v>44593</v>
      </c>
      <c r="B447" s="45">
        <v>0</v>
      </c>
      <c r="C447" s="45">
        <v>0</v>
      </c>
      <c r="D447" s="45">
        <v>341638.98455000005</v>
      </c>
      <c r="E447" s="45">
        <v>466329.65582792048</v>
      </c>
      <c r="F447" s="45">
        <v>170105.24935000003</v>
      </c>
      <c r="G447" s="45">
        <v>155660.77697254438</v>
      </c>
      <c r="H447" s="46">
        <v>0.36497787698953754</v>
      </c>
      <c r="I447" s="46">
        <v>-8.4914912577068291E-2</v>
      </c>
      <c r="J447" s="46">
        <v>0.21543222492274894</v>
      </c>
    </row>
    <row r="448" spans="1:10" ht="11.25" customHeight="1" x14ac:dyDescent="0.2">
      <c r="A448" s="55">
        <v>44621</v>
      </c>
      <c r="B448" s="45">
        <v>0</v>
      </c>
      <c r="C448" s="45">
        <v>0</v>
      </c>
      <c r="D448" s="45">
        <v>345724.21413000004</v>
      </c>
      <c r="E448" s="45">
        <v>471905.90382704372</v>
      </c>
      <c r="F448" s="45">
        <v>172139.32341000001</v>
      </c>
      <c r="G448" s="45">
        <v>157522.12781156422</v>
      </c>
      <c r="H448" s="46">
        <v>0.36497787698953754</v>
      </c>
      <c r="I448" s="46">
        <v>-8.4914912577068069E-2</v>
      </c>
      <c r="J448" s="46">
        <v>0.21543222492274938</v>
      </c>
    </row>
    <row r="449" spans="1:10" ht="11.25" customHeight="1" x14ac:dyDescent="0.2">
      <c r="A449" s="55">
        <v>44652</v>
      </c>
      <c r="B449" s="45">
        <v>0</v>
      </c>
      <c r="C449" s="45">
        <v>0</v>
      </c>
      <c r="D449" s="45">
        <v>278535.04415000003</v>
      </c>
      <c r="E449" s="45">
        <v>380194.1732310541</v>
      </c>
      <c r="F449" s="45">
        <v>138685.20655</v>
      </c>
      <c r="G449" s="45">
        <v>126908.76436007411</v>
      </c>
      <c r="H449" s="46">
        <v>0.36497787698953732</v>
      </c>
      <c r="I449" s="46">
        <v>-8.491491257706818E-2</v>
      </c>
      <c r="J449" s="46">
        <v>0.21543222492274916</v>
      </c>
    </row>
    <row r="450" spans="1:10" ht="11.25" customHeight="1" x14ac:dyDescent="0.2">
      <c r="A450" s="55">
        <v>44682</v>
      </c>
      <c r="B450" s="45">
        <v>0</v>
      </c>
      <c r="C450" s="45">
        <v>0</v>
      </c>
      <c r="D450" s="45">
        <v>236087.86562999999</v>
      </c>
      <c r="E450" s="45">
        <v>322254.71361062862</v>
      </c>
      <c r="F450" s="45">
        <v>117550.35891</v>
      </c>
      <c r="G450" s="45">
        <v>107568.58045975438</v>
      </c>
      <c r="H450" s="46">
        <v>0.36497787698953776</v>
      </c>
      <c r="I450" s="46">
        <v>-8.4914912577068069E-2</v>
      </c>
      <c r="J450" s="46">
        <v>0.21543222492274938</v>
      </c>
    </row>
    <row r="451" spans="1:10" ht="11.25" customHeight="1" x14ac:dyDescent="0.2">
      <c r="A451" s="55">
        <v>44713</v>
      </c>
      <c r="B451" s="45">
        <v>0</v>
      </c>
      <c r="C451" s="45">
        <v>0</v>
      </c>
      <c r="D451" s="45">
        <v>228278.00718000002</v>
      </c>
      <c r="E451" s="45">
        <v>311594.42960395879</v>
      </c>
      <c r="F451" s="45">
        <v>113661.75726000001</v>
      </c>
      <c r="G451" s="45">
        <v>104010.17907891117</v>
      </c>
      <c r="H451" s="46">
        <v>0.36497787698953732</v>
      </c>
      <c r="I451" s="46">
        <v>-8.491491257706818E-2</v>
      </c>
      <c r="J451" s="46">
        <v>0.21543222492274894</v>
      </c>
    </row>
    <row r="452" spans="1:10" ht="11.25" customHeight="1" x14ac:dyDescent="0.2">
      <c r="A452" s="55">
        <v>44743</v>
      </c>
      <c r="B452" s="45">
        <v>0</v>
      </c>
      <c r="C452" s="45">
        <v>0</v>
      </c>
      <c r="D452" s="45">
        <v>230492.04345000003</v>
      </c>
      <c r="E452" s="45">
        <v>314616.54013136128</v>
      </c>
      <c r="F452" s="45">
        <v>114764.14665</v>
      </c>
      <c r="G452" s="45">
        <v>105018.95917023343</v>
      </c>
      <c r="H452" s="46">
        <v>0.36497787698953754</v>
      </c>
      <c r="I452" s="46">
        <v>-8.4914912577068069E-2</v>
      </c>
      <c r="J452" s="46">
        <v>0.21543222492274916</v>
      </c>
    </row>
    <row r="453" spans="1:10" ht="11.25" customHeight="1" x14ac:dyDescent="0.2">
      <c r="A453" s="55">
        <v>44774</v>
      </c>
      <c r="B453" s="45">
        <v>0</v>
      </c>
      <c r="C453" s="45">
        <v>0</v>
      </c>
      <c r="D453" s="45">
        <v>230492.04345000003</v>
      </c>
      <c r="E453" s="45">
        <v>314616.54013136128</v>
      </c>
      <c r="F453" s="45">
        <v>114764.14665</v>
      </c>
      <c r="G453" s="45">
        <v>105018.95917023343</v>
      </c>
      <c r="H453" s="46">
        <v>0.36497787698953754</v>
      </c>
      <c r="I453" s="46">
        <v>-8.4914912577068069E-2</v>
      </c>
      <c r="J453" s="46">
        <v>0.21543222492274916</v>
      </c>
    </row>
    <row r="454" spans="1:10" ht="11.25" customHeight="1" x14ac:dyDescent="0.2">
      <c r="A454" s="48" t="s">
        <v>33</v>
      </c>
      <c r="B454" s="45">
        <v>0</v>
      </c>
      <c r="C454" s="45">
        <v>0</v>
      </c>
      <c r="D454" s="45">
        <v>5770718.9853235995</v>
      </c>
      <c r="E454" s="45">
        <v>7374035.4548753938</v>
      </c>
      <c r="F454" s="45">
        <v>2873348.7789482004</v>
      </c>
      <c r="G454" s="45">
        <v>2461452.0521777817</v>
      </c>
      <c r="H454" s="46">
        <v>0.27783651805423792</v>
      </c>
      <c r="I454" s="46">
        <v>-0.14335075845585088</v>
      </c>
      <c r="J454" s="46">
        <v>0.13783091193544661</v>
      </c>
    </row>
    <row r="455" spans="1:10" ht="11.25" customHeight="1" x14ac:dyDescent="0.2">
      <c r="A455" s="49" t="s">
        <v>23</v>
      </c>
      <c r="B455" s="45">
        <v>0</v>
      </c>
      <c r="C455" s="45">
        <v>0</v>
      </c>
      <c r="D455" s="45">
        <v>5770718.9853235995</v>
      </c>
      <c r="E455" s="45">
        <v>7374035.4548753938</v>
      </c>
      <c r="F455" s="45">
        <v>2873348.7789482004</v>
      </c>
      <c r="G455" s="45">
        <v>2461452.0521777817</v>
      </c>
      <c r="H455" s="46">
        <v>0.27783651805423792</v>
      </c>
      <c r="I455" s="46">
        <v>-0.14335075845585088</v>
      </c>
      <c r="J455" s="46">
        <v>0.13783091193544661</v>
      </c>
    </row>
    <row r="456" spans="1:10" ht="11.25" customHeight="1" x14ac:dyDescent="0.2">
      <c r="A456" s="50" t="s">
        <v>41</v>
      </c>
      <c r="B456" s="45">
        <v>0</v>
      </c>
      <c r="C456" s="45">
        <v>0</v>
      </c>
      <c r="D456" s="45">
        <v>3629797.7867799997</v>
      </c>
      <c r="E456" s="45">
        <v>4638288.1650999347</v>
      </c>
      <c r="F456" s="45">
        <v>1807344.1221100001</v>
      </c>
      <c r="G456" s="45">
        <v>1548259.9714148068</v>
      </c>
      <c r="H456" s="46">
        <v>0.2778365180542377</v>
      </c>
      <c r="I456" s="46">
        <v>-0.14335075845585121</v>
      </c>
      <c r="J456" s="46">
        <v>0.13783091193544594</v>
      </c>
    </row>
    <row r="457" spans="1:10" ht="11.25" customHeight="1" x14ac:dyDescent="0.2">
      <c r="A457" s="51" t="s">
        <v>25</v>
      </c>
      <c r="B457" s="45">
        <v>0</v>
      </c>
      <c r="C457" s="45">
        <v>0</v>
      </c>
      <c r="D457" s="45">
        <v>3629797.7867799997</v>
      </c>
      <c r="E457" s="45">
        <v>4638288.1650999347</v>
      </c>
      <c r="F457" s="45">
        <v>1807344.1221100001</v>
      </c>
      <c r="G457" s="45">
        <v>1548259.9714148068</v>
      </c>
      <c r="H457" s="46">
        <v>0.2778365180542377</v>
      </c>
      <c r="I457" s="46">
        <v>-0.14335075845585121</v>
      </c>
      <c r="J457" s="46">
        <v>0.13783091193544594</v>
      </c>
    </row>
    <row r="458" spans="1:10" ht="11.25" customHeight="1" x14ac:dyDescent="0.2">
      <c r="A458" s="52" t="s">
        <v>25</v>
      </c>
      <c r="B458" s="45">
        <v>0</v>
      </c>
      <c r="C458" s="45">
        <v>0</v>
      </c>
      <c r="D458" s="45">
        <v>3629797.7867799997</v>
      </c>
      <c r="E458" s="45">
        <v>4638288.1650999347</v>
      </c>
      <c r="F458" s="45">
        <v>1807344.1221100001</v>
      </c>
      <c r="G458" s="45">
        <v>1548259.9714148068</v>
      </c>
      <c r="H458" s="46">
        <v>0.2778365180542377</v>
      </c>
      <c r="I458" s="46">
        <v>-0.14335075845585121</v>
      </c>
      <c r="J458" s="46">
        <v>0.13783091193544594</v>
      </c>
    </row>
    <row r="459" spans="1:10" ht="11.25" customHeight="1" x14ac:dyDescent="0.2">
      <c r="A459" s="53" t="s">
        <v>25</v>
      </c>
      <c r="B459" s="45">
        <v>0</v>
      </c>
      <c r="C459" s="45">
        <v>0</v>
      </c>
      <c r="D459" s="45">
        <v>3629797.7867799997</v>
      </c>
      <c r="E459" s="45">
        <v>4638288.1650999347</v>
      </c>
      <c r="F459" s="45">
        <v>1807344.1221100001</v>
      </c>
      <c r="G459" s="45">
        <v>1548259.9714148068</v>
      </c>
      <c r="H459" s="46">
        <v>0.2778365180542377</v>
      </c>
      <c r="I459" s="46">
        <v>-0.14335075845585121</v>
      </c>
      <c r="J459" s="46">
        <v>0.13783091193544594</v>
      </c>
    </row>
    <row r="460" spans="1:10" ht="11.25" customHeight="1" x14ac:dyDescent="0.2">
      <c r="A460" s="54" t="s">
        <v>25</v>
      </c>
      <c r="B460" s="45">
        <v>0</v>
      </c>
      <c r="C460" s="45">
        <v>0</v>
      </c>
      <c r="D460" s="45">
        <v>3629797.7867799997</v>
      </c>
      <c r="E460" s="45">
        <v>4638288.1650999347</v>
      </c>
      <c r="F460" s="45">
        <v>1807344.1221100001</v>
      </c>
      <c r="G460" s="45">
        <v>1548259.9714148068</v>
      </c>
      <c r="H460" s="46">
        <v>0.2778365180542377</v>
      </c>
      <c r="I460" s="46">
        <v>-0.14335075845585121</v>
      </c>
      <c r="J460" s="46">
        <v>0.13783091193544594</v>
      </c>
    </row>
    <row r="461" spans="1:10" ht="11.25" customHeight="1" x14ac:dyDescent="0.2">
      <c r="A461" s="55">
        <v>44440</v>
      </c>
      <c r="B461" s="45">
        <v>0</v>
      </c>
      <c r="C461" s="45">
        <v>0</v>
      </c>
      <c r="D461" s="45">
        <v>275745.33382</v>
      </c>
      <c r="E461" s="45">
        <v>352357.45723825227</v>
      </c>
      <c r="F461" s="45">
        <v>137298.75258999999</v>
      </c>
      <c r="G461" s="45">
        <v>117616.87227118124</v>
      </c>
      <c r="H461" s="46">
        <v>0.27783651805423792</v>
      </c>
      <c r="I461" s="46">
        <v>-0.1433507584558511</v>
      </c>
      <c r="J461" s="46">
        <v>0.13783091193544617</v>
      </c>
    </row>
    <row r="462" spans="1:10" ht="11.25" customHeight="1" x14ac:dyDescent="0.2">
      <c r="A462" s="55">
        <v>44470</v>
      </c>
      <c r="B462" s="45">
        <v>0</v>
      </c>
      <c r="C462" s="45">
        <v>0</v>
      </c>
      <c r="D462" s="45">
        <v>278326.96451999998</v>
      </c>
      <c r="E462" s="45">
        <v>355656.35922284221</v>
      </c>
      <c r="F462" s="45">
        <v>138584.19474000001</v>
      </c>
      <c r="G462" s="45">
        <v>118718.04531402762</v>
      </c>
      <c r="H462" s="46">
        <v>0.27783651805423792</v>
      </c>
      <c r="I462" s="46">
        <v>-0.14335075845585121</v>
      </c>
      <c r="J462" s="46">
        <v>0.13783091193544617</v>
      </c>
    </row>
    <row r="463" spans="1:10" ht="11.25" customHeight="1" x14ac:dyDescent="0.2">
      <c r="A463" s="55">
        <v>44501</v>
      </c>
      <c r="B463" s="45">
        <v>0</v>
      </c>
      <c r="C463" s="45">
        <v>0</v>
      </c>
      <c r="D463" s="45">
        <v>283608.07419999997</v>
      </c>
      <c r="E463" s="45">
        <v>362404.75402779592</v>
      </c>
      <c r="F463" s="45">
        <v>141213.7579</v>
      </c>
      <c r="G463" s="45">
        <v>120970.65860063405</v>
      </c>
      <c r="H463" s="46">
        <v>0.27783651805423792</v>
      </c>
      <c r="I463" s="46">
        <v>-0.14335075845585121</v>
      </c>
      <c r="J463" s="46">
        <v>0.13783091193544594</v>
      </c>
    </row>
    <row r="464" spans="1:10" ht="11.25" customHeight="1" x14ac:dyDescent="0.2">
      <c r="A464" s="55">
        <v>44531</v>
      </c>
      <c r="B464" s="45">
        <v>0</v>
      </c>
      <c r="C464" s="45">
        <v>0</v>
      </c>
      <c r="D464" s="45">
        <v>308668.32260000001</v>
      </c>
      <c r="E464" s="45">
        <v>394427.6545848262</v>
      </c>
      <c r="F464" s="45">
        <v>153691.7237</v>
      </c>
      <c r="G464" s="45">
        <v>131659.89853921789</v>
      </c>
      <c r="H464" s="46">
        <v>0.2778365180542377</v>
      </c>
      <c r="I464" s="46">
        <v>-0.1433507584558511</v>
      </c>
      <c r="J464" s="46">
        <v>0.13783091193544594</v>
      </c>
    </row>
    <row r="465" spans="1:10" ht="11.25" customHeight="1" x14ac:dyDescent="0.2">
      <c r="A465" s="55">
        <v>44562</v>
      </c>
      <c r="B465" s="45">
        <v>0</v>
      </c>
      <c r="C465" s="45">
        <v>0</v>
      </c>
      <c r="D465" s="45">
        <v>357254.90834000002</v>
      </c>
      <c r="E465" s="45">
        <v>456513.36813097156</v>
      </c>
      <c r="F465" s="45">
        <v>177883.89233</v>
      </c>
      <c r="G465" s="45">
        <v>152384.10144741554</v>
      </c>
      <c r="H465" s="46">
        <v>0.27783651805423792</v>
      </c>
      <c r="I465" s="46">
        <v>-0.1433507584558511</v>
      </c>
      <c r="J465" s="46">
        <v>0.13783091193544617</v>
      </c>
    </row>
    <row r="466" spans="1:10" ht="11.25" customHeight="1" x14ac:dyDescent="0.2">
      <c r="A466" s="55">
        <v>44593</v>
      </c>
      <c r="B466" s="45">
        <v>0</v>
      </c>
      <c r="C466" s="45">
        <v>0</v>
      </c>
      <c r="D466" s="45">
        <v>372360.47485999996</v>
      </c>
      <c r="E466" s="45">
        <v>475815.81265612494</v>
      </c>
      <c r="F466" s="45">
        <v>185405.23606999998</v>
      </c>
      <c r="G466" s="45">
        <v>158827.25485767936</v>
      </c>
      <c r="H466" s="46">
        <v>0.27783651805423792</v>
      </c>
      <c r="I466" s="46">
        <v>-0.1433507584558511</v>
      </c>
      <c r="J466" s="46">
        <v>0.13783091193544617</v>
      </c>
    </row>
    <row r="467" spans="1:10" ht="11.25" customHeight="1" x14ac:dyDescent="0.2">
      <c r="A467" s="55">
        <v>44621</v>
      </c>
      <c r="B467" s="45">
        <v>0</v>
      </c>
      <c r="C467" s="45">
        <v>0</v>
      </c>
      <c r="D467" s="45">
        <v>363217.54699999996</v>
      </c>
      <c r="E467" s="45">
        <v>464132.64555468148</v>
      </c>
      <c r="F467" s="45">
        <v>180852.80149999997</v>
      </c>
      <c r="G467" s="45">
        <v>154927.41523610952</v>
      </c>
      <c r="H467" s="46">
        <v>0.27783651805423792</v>
      </c>
      <c r="I467" s="46">
        <v>-0.14335075845585099</v>
      </c>
      <c r="J467" s="46">
        <v>0.13783091193544617</v>
      </c>
    </row>
    <row r="468" spans="1:10" ht="11.25" customHeight="1" x14ac:dyDescent="0.2">
      <c r="A468" s="55">
        <v>44652</v>
      </c>
      <c r="B468" s="45">
        <v>0</v>
      </c>
      <c r="C468" s="45">
        <v>0</v>
      </c>
      <c r="D468" s="45">
        <v>318609.55147999997</v>
      </c>
      <c r="E468" s="45">
        <v>407130.91988202563</v>
      </c>
      <c r="F468" s="45">
        <v>158641.64726</v>
      </c>
      <c r="G468" s="45">
        <v>135900.24680259338</v>
      </c>
      <c r="H468" s="46">
        <v>0.27783651805423792</v>
      </c>
      <c r="I468" s="46">
        <v>-0.14335075845585132</v>
      </c>
      <c r="J468" s="46">
        <v>0.13783091193544617</v>
      </c>
    </row>
    <row r="469" spans="1:10" ht="11.25" customHeight="1" x14ac:dyDescent="0.2">
      <c r="A469" s="55">
        <v>44682</v>
      </c>
      <c r="B469" s="45">
        <v>0</v>
      </c>
      <c r="C469" s="45">
        <v>0</v>
      </c>
      <c r="D469" s="45">
        <v>270537.94657999999</v>
      </c>
      <c r="E469" s="45">
        <v>345703.26765933062</v>
      </c>
      <c r="F469" s="45">
        <v>134705.89721000002</v>
      </c>
      <c r="G469" s="45">
        <v>115395.70467647057</v>
      </c>
      <c r="H469" s="46">
        <v>0.27783651805423792</v>
      </c>
      <c r="I469" s="46">
        <v>-0.14335075845585132</v>
      </c>
      <c r="J469" s="46">
        <v>0.13783091193544617</v>
      </c>
    </row>
    <row r="470" spans="1:10" ht="11.25" customHeight="1" x14ac:dyDescent="0.2">
      <c r="A470" s="55">
        <v>44713</v>
      </c>
      <c r="B470" s="45">
        <v>0</v>
      </c>
      <c r="C470" s="45">
        <v>0</v>
      </c>
      <c r="D470" s="45">
        <v>267868.33325999998</v>
      </c>
      <c r="E470" s="45">
        <v>342291.93826995062</v>
      </c>
      <c r="F470" s="45">
        <v>133376.64687</v>
      </c>
      <c r="G470" s="45">
        <v>114257.00338088728</v>
      </c>
      <c r="H470" s="46">
        <v>0.27783651805423815</v>
      </c>
      <c r="I470" s="46">
        <v>-0.1433507584558511</v>
      </c>
      <c r="J470" s="46">
        <v>0.13783091193544617</v>
      </c>
    </row>
    <row r="471" spans="1:10" ht="11.25" customHeight="1" x14ac:dyDescent="0.2">
      <c r="A471" s="55">
        <v>44743</v>
      </c>
      <c r="B471" s="45">
        <v>0</v>
      </c>
      <c r="C471" s="45">
        <v>0</v>
      </c>
      <c r="D471" s="45">
        <v>266800.16505999997</v>
      </c>
      <c r="E471" s="45">
        <v>340926.99393656629</v>
      </c>
      <c r="F471" s="45">
        <v>132844.78597</v>
      </c>
      <c r="G471" s="45">
        <v>113801.38514429527</v>
      </c>
      <c r="H471" s="46">
        <v>0.27783651805423792</v>
      </c>
      <c r="I471" s="46">
        <v>-0.14335075845585121</v>
      </c>
      <c r="J471" s="46">
        <v>0.13783091193544594</v>
      </c>
    </row>
    <row r="472" spans="1:10" ht="11.25" customHeight="1" x14ac:dyDescent="0.2">
      <c r="A472" s="55">
        <v>44774</v>
      </c>
      <c r="B472" s="45">
        <v>0</v>
      </c>
      <c r="C472" s="45">
        <v>0</v>
      </c>
      <c r="D472" s="45">
        <v>266800.16505999997</v>
      </c>
      <c r="E472" s="45">
        <v>340926.99393656629</v>
      </c>
      <c r="F472" s="45">
        <v>132844.78597</v>
      </c>
      <c r="G472" s="45">
        <v>113801.38514429527</v>
      </c>
      <c r="H472" s="46">
        <v>0.27783651805423792</v>
      </c>
      <c r="I472" s="46">
        <v>-0.14335075845585121</v>
      </c>
      <c r="J472" s="46">
        <v>0.13783091193544594</v>
      </c>
    </row>
    <row r="473" spans="1:10" ht="11.25" customHeight="1" x14ac:dyDescent="0.2">
      <c r="A473" s="50" t="s">
        <v>50</v>
      </c>
      <c r="B473" s="45">
        <v>0</v>
      </c>
      <c r="C473" s="45">
        <v>0</v>
      </c>
      <c r="D473" s="45">
        <v>2827.5515399999999</v>
      </c>
      <c r="E473" s="45">
        <v>3613.1486144924975</v>
      </c>
      <c r="F473" s="45">
        <v>1407.8907299999998</v>
      </c>
      <c r="G473" s="45">
        <v>1206.0685260315381</v>
      </c>
      <c r="H473" s="46">
        <v>0.27783651805423815</v>
      </c>
      <c r="I473" s="46">
        <v>-0.14335075845585088</v>
      </c>
      <c r="J473" s="46">
        <v>0.13783091193544639</v>
      </c>
    </row>
    <row r="474" spans="1:10" ht="11.25" customHeight="1" x14ac:dyDescent="0.2">
      <c r="A474" s="51" t="s">
        <v>25</v>
      </c>
      <c r="B474" s="45">
        <v>0</v>
      </c>
      <c r="C474" s="45">
        <v>0</v>
      </c>
      <c r="D474" s="45">
        <v>2827.5515399999999</v>
      </c>
      <c r="E474" s="45">
        <v>3613.1486144924975</v>
      </c>
      <c r="F474" s="45">
        <v>1407.8907299999998</v>
      </c>
      <c r="G474" s="45">
        <v>1206.0685260315381</v>
      </c>
      <c r="H474" s="46">
        <v>0.27783651805423815</v>
      </c>
      <c r="I474" s="46">
        <v>-0.14335075845585088</v>
      </c>
      <c r="J474" s="46">
        <v>0.13783091193544639</v>
      </c>
    </row>
    <row r="475" spans="1:10" ht="11.25" customHeight="1" x14ac:dyDescent="0.2">
      <c r="A475" s="52" t="s">
        <v>25</v>
      </c>
      <c r="B475" s="45">
        <v>0</v>
      </c>
      <c r="C475" s="45">
        <v>0</v>
      </c>
      <c r="D475" s="45">
        <v>2827.5515399999999</v>
      </c>
      <c r="E475" s="45">
        <v>3613.1486144924975</v>
      </c>
      <c r="F475" s="45">
        <v>1407.8907299999998</v>
      </c>
      <c r="G475" s="45">
        <v>1206.0685260315381</v>
      </c>
      <c r="H475" s="46">
        <v>0.27783651805423815</v>
      </c>
      <c r="I475" s="46">
        <v>-0.14335075845585088</v>
      </c>
      <c r="J475" s="46">
        <v>0.13783091193544639</v>
      </c>
    </row>
    <row r="476" spans="1:10" ht="11.25" customHeight="1" x14ac:dyDescent="0.2">
      <c r="A476" s="53" t="s">
        <v>25</v>
      </c>
      <c r="B476" s="45">
        <v>0</v>
      </c>
      <c r="C476" s="45">
        <v>0</v>
      </c>
      <c r="D476" s="45">
        <v>2827.5515399999999</v>
      </c>
      <c r="E476" s="45">
        <v>3613.1486144924975</v>
      </c>
      <c r="F476" s="45">
        <v>1407.8907299999998</v>
      </c>
      <c r="G476" s="45">
        <v>1206.0685260315381</v>
      </c>
      <c r="H476" s="46">
        <v>0.27783651805423815</v>
      </c>
      <c r="I476" s="46">
        <v>-0.14335075845585088</v>
      </c>
      <c r="J476" s="46">
        <v>0.13783091193544639</v>
      </c>
    </row>
    <row r="477" spans="1:10" ht="11.25" customHeight="1" x14ac:dyDescent="0.2">
      <c r="A477" s="54" t="s">
        <v>25</v>
      </c>
      <c r="B477" s="45">
        <v>0</v>
      </c>
      <c r="C477" s="45">
        <v>0</v>
      </c>
      <c r="D477" s="45">
        <v>2827.5515399999999</v>
      </c>
      <c r="E477" s="45">
        <v>3613.1486144924975</v>
      </c>
      <c r="F477" s="45">
        <v>1407.8907299999998</v>
      </c>
      <c r="G477" s="45">
        <v>1206.0685260315381</v>
      </c>
      <c r="H477" s="46">
        <v>0.27783651805423815</v>
      </c>
      <c r="I477" s="46">
        <v>-0.14335075845585088</v>
      </c>
      <c r="J477" s="46">
        <v>0.13783091193544639</v>
      </c>
    </row>
    <row r="478" spans="1:10" ht="11.25" customHeight="1" x14ac:dyDescent="0.2">
      <c r="A478" s="55">
        <v>44440</v>
      </c>
      <c r="B478" s="45">
        <v>0</v>
      </c>
      <c r="C478" s="45">
        <v>0</v>
      </c>
      <c r="D478" s="45">
        <v>139.91120000000001</v>
      </c>
      <c r="E478" s="45">
        <v>178.7836406447901</v>
      </c>
      <c r="F478" s="45">
        <v>69.664400000000001</v>
      </c>
      <c r="G478" s="45">
        <v>59.677955422628209</v>
      </c>
      <c r="H478" s="46">
        <v>0.27783651805423792</v>
      </c>
      <c r="I478" s="46">
        <v>-0.1433507584558511</v>
      </c>
      <c r="J478" s="46">
        <v>0.13783091193544617</v>
      </c>
    </row>
    <row r="479" spans="1:10" ht="11.25" customHeight="1" x14ac:dyDescent="0.2">
      <c r="A479" s="55">
        <v>44470</v>
      </c>
      <c r="B479" s="45">
        <v>0</v>
      </c>
      <c r="C479" s="45">
        <v>0</v>
      </c>
      <c r="D479" s="45">
        <v>139.37308000000002</v>
      </c>
      <c r="E479" s="45">
        <v>178.09601125769476</v>
      </c>
      <c r="F479" s="45">
        <v>69.396460000000005</v>
      </c>
      <c r="G479" s="45">
        <v>59.448424824848864</v>
      </c>
      <c r="H479" s="46">
        <v>0.27783651805423792</v>
      </c>
      <c r="I479" s="46">
        <v>-0.14335075845585121</v>
      </c>
      <c r="J479" s="46">
        <v>0.13783091193544617</v>
      </c>
    </row>
    <row r="480" spans="1:10" ht="11.25" customHeight="1" x14ac:dyDescent="0.2">
      <c r="A480" s="55">
        <v>44501</v>
      </c>
      <c r="B480" s="45">
        <v>0</v>
      </c>
      <c r="C480" s="45">
        <v>0</v>
      </c>
      <c r="D480" s="45">
        <v>126.99632</v>
      </c>
      <c r="E480" s="45">
        <v>162.28053535450175</v>
      </c>
      <c r="F480" s="45">
        <v>63.233839999999994</v>
      </c>
      <c r="G480" s="45">
        <v>54.169221075924057</v>
      </c>
      <c r="H480" s="46">
        <v>0.2778365180542377</v>
      </c>
      <c r="I480" s="46">
        <v>-0.1433507584558511</v>
      </c>
      <c r="J480" s="46">
        <v>0.13783091193544594</v>
      </c>
    </row>
    <row r="481" spans="1:10" ht="11.25" customHeight="1" x14ac:dyDescent="0.2">
      <c r="A481" s="55">
        <v>44531</v>
      </c>
      <c r="B481" s="45">
        <v>0</v>
      </c>
      <c r="C481" s="45">
        <v>0</v>
      </c>
      <c r="D481" s="45">
        <v>205.56184000000002</v>
      </c>
      <c r="E481" s="45">
        <v>262.67442587042234</v>
      </c>
      <c r="F481" s="45">
        <v>102.35308000000001</v>
      </c>
      <c r="G481" s="45">
        <v>87.680688351707587</v>
      </c>
      <c r="H481" s="46">
        <v>0.2778365180542377</v>
      </c>
      <c r="I481" s="46">
        <v>-0.14335075845585121</v>
      </c>
      <c r="J481" s="46">
        <v>0.13783091193544594</v>
      </c>
    </row>
    <row r="482" spans="1:10" ht="11.25" customHeight="1" x14ac:dyDescent="0.2">
      <c r="A482" s="55">
        <v>44562</v>
      </c>
      <c r="B482" s="45">
        <v>0</v>
      </c>
      <c r="C482" s="45">
        <v>0</v>
      </c>
      <c r="D482" s="45">
        <v>211.48116000000002</v>
      </c>
      <c r="E482" s="45">
        <v>270.23834912847116</v>
      </c>
      <c r="F482" s="45">
        <v>105.30042</v>
      </c>
      <c r="G482" s="45">
        <v>90.205524927280322</v>
      </c>
      <c r="H482" s="46">
        <v>0.2778365180542377</v>
      </c>
      <c r="I482" s="46">
        <v>-0.14335075845585121</v>
      </c>
      <c r="J482" s="46">
        <v>0.13783091193544617</v>
      </c>
    </row>
    <row r="483" spans="1:10" ht="11.25" customHeight="1" x14ac:dyDescent="0.2">
      <c r="A483" s="55">
        <v>44593</v>
      </c>
      <c r="B483" s="45">
        <v>0</v>
      </c>
      <c r="C483" s="45">
        <v>0</v>
      </c>
      <c r="D483" s="45">
        <v>237.04186000000001</v>
      </c>
      <c r="E483" s="45">
        <v>302.90074501550015</v>
      </c>
      <c r="F483" s="45">
        <v>118.02757</v>
      </c>
      <c r="G483" s="45">
        <v>101.10822832179893</v>
      </c>
      <c r="H483" s="46">
        <v>0.27783651805423792</v>
      </c>
      <c r="I483" s="46">
        <v>-0.14335075845585121</v>
      </c>
      <c r="J483" s="46">
        <v>0.13783091193544617</v>
      </c>
    </row>
    <row r="484" spans="1:10" ht="11.25" customHeight="1" x14ac:dyDescent="0.2">
      <c r="A484" s="55">
        <v>44621</v>
      </c>
      <c r="B484" s="45">
        <v>0</v>
      </c>
      <c r="C484" s="45">
        <v>0</v>
      </c>
      <c r="D484" s="45">
        <v>274.17213999999996</v>
      </c>
      <c r="E484" s="45">
        <v>350.34717272507902</v>
      </c>
      <c r="F484" s="45">
        <v>136.51542999999998</v>
      </c>
      <c r="G484" s="45">
        <v>116.94583956857333</v>
      </c>
      <c r="H484" s="46">
        <v>0.27783651805423792</v>
      </c>
      <c r="I484" s="46">
        <v>-0.1433507584558511</v>
      </c>
      <c r="J484" s="46">
        <v>0.13783091193544617</v>
      </c>
    </row>
    <row r="485" spans="1:10" ht="11.25" customHeight="1" x14ac:dyDescent="0.2">
      <c r="A485" s="55">
        <v>44652</v>
      </c>
      <c r="B485" s="45">
        <v>0</v>
      </c>
      <c r="C485" s="45">
        <v>0</v>
      </c>
      <c r="D485" s="45">
        <v>385.29391999999996</v>
      </c>
      <c r="E485" s="45">
        <v>492.34264116026804</v>
      </c>
      <c r="F485" s="45">
        <v>191.84503999999998</v>
      </c>
      <c r="G485" s="45">
        <v>164.34390801000691</v>
      </c>
      <c r="H485" s="46">
        <v>0.27783651805423792</v>
      </c>
      <c r="I485" s="46">
        <v>-0.14335075845585099</v>
      </c>
      <c r="J485" s="46">
        <v>0.13783091193544617</v>
      </c>
    </row>
    <row r="486" spans="1:10" ht="11.25" customHeight="1" x14ac:dyDescent="0.2">
      <c r="A486" s="55">
        <v>44682</v>
      </c>
      <c r="B486" s="45">
        <v>0</v>
      </c>
      <c r="C486" s="45">
        <v>0</v>
      </c>
      <c r="D486" s="45">
        <v>277.66991999999999</v>
      </c>
      <c r="E486" s="45">
        <v>354.81676374119877</v>
      </c>
      <c r="F486" s="45">
        <v>138.25704000000002</v>
      </c>
      <c r="G486" s="45">
        <v>118.43778845413905</v>
      </c>
      <c r="H486" s="46">
        <v>0.27783651805423792</v>
      </c>
      <c r="I486" s="46">
        <v>-0.14335075845585121</v>
      </c>
      <c r="J486" s="46">
        <v>0.13783091193544617</v>
      </c>
    </row>
    <row r="487" spans="1:10" ht="11.25" customHeight="1" x14ac:dyDescent="0.2">
      <c r="A487" s="55">
        <v>44713</v>
      </c>
      <c r="B487" s="45">
        <v>0</v>
      </c>
      <c r="C487" s="45">
        <v>0</v>
      </c>
      <c r="D487" s="45">
        <v>276.86273999999997</v>
      </c>
      <c r="E487" s="45">
        <v>353.78531966055573</v>
      </c>
      <c r="F487" s="45">
        <v>137.85513</v>
      </c>
      <c r="G487" s="45">
        <v>118.09349255747004</v>
      </c>
      <c r="H487" s="46">
        <v>0.27783651805423792</v>
      </c>
      <c r="I487" s="46">
        <v>-0.1433507584558511</v>
      </c>
      <c r="J487" s="46">
        <v>0.13783091193544617</v>
      </c>
    </row>
    <row r="488" spans="1:10" ht="11.25" customHeight="1" x14ac:dyDescent="0.2">
      <c r="A488" s="55">
        <v>44743</v>
      </c>
      <c r="B488" s="45">
        <v>0</v>
      </c>
      <c r="C488" s="45">
        <v>0</v>
      </c>
      <c r="D488" s="45">
        <v>276.59368000000001</v>
      </c>
      <c r="E488" s="45">
        <v>353.44150496700809</v>
      </c>
      <c r="F488" s="45">
        <v>137.72116</v>
      </c>
      <c r="G488" s="45">
        <v>117.97872725858036</v>
      </c>
      <c r="H488" s="46">
        <v>0.27783651805423792</v>
      </c>
      <c r="I488" s="46">
        <v>-0.14335075845585121</v>
      </c>
      <c r="J488" s="46">
        <v>0.13783091193544617</v>
      </c>
    </row>
    <row r="489" spans="1:10" ht="11.25" customHeight="1" x14ac:dyDescent="0.2">
      <c r="A489" s="55">
        <v>44774</v>
      </c>
      <c r="B489" s="45">
        <v>0</v>
      </c>
      <c r="C489" s="45">
        <v>0</v>
      </c>
      <c r="D489" s="45">
        <v>276.59368000000001</v>
      </c>
      <c r="E489" s="45">
        <v>353.44150496700809</v>
      </c>
      <c r="F489" s="45">
        <v>137.72116</v>
      </c>
      <c r="G489" s="45">
        <v>117.97872725858036</v>
      </c>
      <c r="H489" s="46">
        <v>0.27783651805423792</v>
      </c>
      <c r="I489" s="46">
        <v>-0.14335075845585121</v>
      </c>
      <c r="J489" s="46">
        <v>0.13783091193544617</v>
      </c>
    </row>
    <row r="490" spans="1:10" ht="11.25" customHeight="1" x14ac:dyDescent="0.2">
      <c r="A490" s="50" t="s">
        <v>34</v>
      </c>
      <c r="B490" s="45">
        <v>0</v>
      </c>
      <c r="C490" s="45">
        <v>0</v>
      </c>
      <c r="D490" s="45">
        <v>1331702.5147800001</v>
      </c>
      <c r="E490" s="45">
        <v>1701698.1045705478</v>
      </c>
      <c r="F490" s="45">
        <v>663079.55810999998</v>
      </c>
      <c r="G490" s="45">
        <v>568026.60053836077</v>
      </c>
      <c r="H490" s="46">
        <v>0.27783651805423726</v>
      </c>
      <c r="I490" s="46">
        <v>-0.1433507584558511</v>
      </c>
      <c r="J490" s="46">
        <v>0.13783091193544572</v>
      </c>
    </row>
    <row r="491" spans="1:10" ht="11.25" customHeight="1" x14ac:dyDescent="0.2">
      <c r="A491" s="51" t="s">
        <v>25</v>
      </c>
      <c r="B491" s="45">
        <v>0</v>
      </c>
      <c r="C491" s="45">
        <v>0</v>
      </c>
      <c r="D491" s="45">
        <v>1331702.5147800001</v>
      </c>
      <c r="E491" s="45">
        <v>1701698.1045705478</v>
      </c>
      <c r="F491" s="45">
        <v>663079.55810999998</v>
      </c>
      <c r="G491" s="45">
        <v>568026.60053836077</v>
      </c>
      <c r="H491" s="46">
        <v>0.27783651805423726</v>
      </c>
      <c r="I491" s="46">
        <v>-0.1433507584558511</v>
      </c>
      <c r="J491" s="46">
        <v>0.13783091193544572</v>
      </c>
    </row>
    <row r="492" spans="1:10" ht="11.25" customHeight="1" x14ac:dyDescent="0.2">
      <c r="A492" s="52" t="s">
        <v>25</v>
      </c>
      <c r="B492" s="45">
        <v>0</v>
      </c>
      <c r="C492" s="45">
        <v>0</v>
      </c>
      <c r="D492" s="45">
        <v>1331702.5147800001</v>
      </c>
      <c r="E492" s="45">
        <v>1701698.1045705478</v>
      </c>
      <c r="F492" s="45">
        <v>663079.55810999998</v>
      </c>
      <c r="G492" s="45">
        <v>568026.60053836077</v>
      </c>
      <c r="H492" s="46">
        <v>0.27783651805423726</v>
      </c>
      <c r="I492" s="46">
        <v>-0.1433507584558511</v>
      </c>
      <c r="J492" s="46">
        <v>0.13783091193544572</v>
      </c>
    </row>
    <row r="493" spans="1:10" ht="11.25" customHeight="1" x14ac:dyDescent="0.2">
      <c r="A493" s="53" t="s">
        <v>25</v>
      </c>
      <c r="B493" s="45">
        <v>0</v>
      </c>
      <c r="C493" s="45">
        <v>0</v>
      </c>
      <c r="D493" s="45">
        <v>1331702.5147800001</v>
      </c>
      <c r="E493" s="45">
        <v>1701698.1045705478</v>
      </c>
      <c r="F493" s="45">
        <v>663079.55810999998</v>
      </c>
      <c r="G493" s="45">
        <v>568026.60053836077</v>
      </c>
      <c r="H493" s="46">
        <v>0.27783651805423726</v>
      </c>
      <c r="I493" s="46">
        <v>-0.1433507584558511</v>
      </c>
      <c r="J493" s="46">
        <v>0.13783091193544572</v>
      </c>
    </row>
    <row r="494" spans="1:10" ht="11.25" customHeight="1" x14ac:dyDescent="0.2">
      <c r="A494" s="54" t="s">
        <v>25</v>
      </c>
      <c r="B494" s="45">
        <v>0</v>
      </c>
      <c r="C494" s="45">
        <v>0</v>
      </c>
      <c r="D494" s="45">
        <v>1331702.5147800001</v>
      </c>
      <c r="E494" s="45">
        <v>1701698.1045705478</v>
      </c>
      <c r="F494" s="45">
        <v>663079.55810999998</v>
      </c>
      <c r="G494" s="45">
        <v>568026.60053836077</v>
      </c>
      <c r="H494" s="46">
        <v>0.27783651805423726</v>
      </c>
      <c r="I494" s="46">
        <v>-0.1433507584558511</v>
      </c>
      <c r="J494" s="46">
        <v>0.13783091193544572</v>
      </c>
    </row>
    <row r="495" spans="1:10" ht="11.25" customHeight="1" x14ac:dyDescent="0.2">
      <c r="A495" s="55">
        <v>44440</v>
      </c>
      <c r="B495" s="45">
        <v>0</v>
      </c>
      <c r="C495" s="45">
        <v>0</v>
      </c>
      <c r="D495" s="45">
        <v>115642.52611999999</v>
      </c>
      <c r="E495" s="45">
        <v>147772.24291617706</v>
      </c>
      <c r="F495" s="45">
        <v>57580.573939999995</v>
      </c>
      <c r="G495" s="45">
        <v>49326.354993377783</v>
      </c>
      <c r="H495" s="46">
        <v>0.27783651805423792</v>
      </c>
      <c r="I495" s="46">
        <v>-0.1433507584558511</v>
      </c>
      <c r="J495" s="46">
        <v>0.13783091193544617</v>
      </c>
    </row>
    <row r="496" spans="1:10" ht="11.25" customHeight="1" x14ac:dyDescent="0.2">
      <c r="A496" s="55">
        <v>44470</v>
      </c>
      <c r="B496" s="45">
        <v>0</v>
      </c>
      <c r="C496" s="45">
        <v>0</v>
      </c>
      <c r="D496" s="45">
        <v>110636.93388</v>
      </c>
      <c r="E496" s="45">
        <v>141375.91435741616</v>
      </c>
      <c r="F496" s="45">
        <v>55088.196060000002</v>
      </c>
      <c r="G496" s="45">
        <v>47191.261372834371</v>
      </c>
      <c r="H496" s="46">
        <v>0.27783651805423815</v>
      </c>
      <c r="I496" s="46">
        <v>-0.1433507584558511</v>
      </c>
      <c r="J496" s="46">
        <v>0.13783091193544617</v>
      </c>
    </row>
    <row r="497" spans="1:10" ht="11.25" customHeight="1" x14ac:dyDescent="0.2">
      <c r="A497" s="55">
        <v>44501</v>
      </c>
      <c r="B497" s="45">
        <v>0</v>
      </c>
      <c r="C497" s="45">
        <v>0</v>
      </c>
      <c r="D497" s="45">
        <v>107409.29012000001</v>
      </c>
      <c r="E497" s="45">
        <v>137251.51329361828</v>
      </c>
      <c r="F497" s="45">
        <v>53481.091940000006</v>
      </c>
      <c r="G497" s="45">
        <v>45814.536847353891</v>
      </c>
      <c r="H497" s="46">
        <v>0.27783651805423815</v>
      </c>
      <c r="I497" s="46">
        <v>-0.14335075845585121</v>
      </c>
      <c r="J497" s="46">
        <v>0.13783091193544617</v>
      </c>
    </row>
    <row r="498" spans="1:10" ht="11.25" customHeight="1" x14ac:dyDescent="0.2">
      <c r="A498" s="55">
        <v>44531</v>
      </c>
      <c r="B498" s="45">
        <v>0</v>
      </c>
      <c r="C498" s="45">
        <v>0</v>
      </c>
      <c r="D498" s="45">
        <v>110441.59632</v>
      </c>
      <c r="E498" s="45">
        <v>141126.30488990052</v>
      </c>
      <c r="F498" s="45">
        <v>54990.933839999998</v>
      </c>
      <c r="G498" s="45">
        <v>47107.941765840471</v>
      </c>
      <c r="H498" s="46">
        <v>0.27783651805423792</v>
      </c>
      <c r="I498" s="46">
        <v>-0.1433507584558511</v>
      </c>
      <c r="J498" s="46">
        <v>0.13783091193544617</v>
      </c>
    </row>
    <row r="499" spans="1:10" ht="11.25" customHeight="1" x14ac:dyDescent="0.2">
      <c r="A499" s="55">
        <v>44562</v>
      </c>
      <c r="B499" s="45">
        <v>0</v>
      </c>
      <c r="C499" s="45">
        <v>0</v>
      </c>
      <c r="D499" s="45">
        <v>97116.668879999997</v>
      </c>
      <c r="E499" s="45">
        <v>124099.22600664556</v>
      </c>
      <c r="F499" s="45">
        <v>48356.203560000002</v>
      </c>
      <c r="G499" s="45">
        <v>41424.305103628467</v>
      </c>
      <c r="H499" s="46">
        <v>0.27783651805423792</v>
      </c>
      <c r="I499" s="46">
        <v>-0.14335075845585121</v>
      </c>
      <c r="J499" s="46">
        <v>0.13783091193544594</v>
      </c>
    </row>
    <row r="500" spans="1:10" ht="11.25" customHeight="1" x14ac:dyDescent="0.2">
      <c r="A500" s="55">
        <v>44593</v>
      </c>
      <c r="B500" s="45">
        <v>0</v>
      </c>
      <c r="C500" s="45">
        <v>0</v>
      </c>
      <c r="D500" s="45">
        <v>121781.39908</v>
      </c>
      <c r="E500" s="45">
        <v>155616.71896416077</v>
      </c>
      <c r="F500" s="45">
        <v>60637.233460000003</v>
      </c>
      <c r="G500" s="45">
        <v>51944.840052844484</v>
      </c>
      <c r="H500" s="46">
        <v>0.27783651805423792</v>
      </c>
      <c r="I500" s="46">
        <v>-0.14335075845585121</v>
      </c>
      <c r="J500" s="46">
        <v>0.13783091193544617</v>
      </c>
    </row>
    <row r="501" spans="1:10" ht="11.25" customHeight="1" x14ac:dyDescent="0.2">
      <c r="A501" s="55">
        <v>44621</v>
      </c>
      <c r="B501" s="45">
        <v>0</v>
      </c>
      <c r="C501" s="45">
        <v>0</v>
      </c>
      <c r="D501" s="45">
        <v>122856.8319</v>
      </c>
      <c r="E501" s="45">
        <v>156990.94629427081</v>
      </c>
      <c r="F501" s="45">
        <v>61172.711550000007</v>
      </c>
      <c r="G501" s="45">
        <v>52403.556952506493</v>
      </c>
      <c r="H501" s="46">
        <v>0.2778365180542377</v>
      </c>
      <c r="I501" s="46">
        <v>-0.14335075845585132</v>
      </c>
      <c r="J501" s="46">
        <v>0.13783091193544594</v>
      </c>
    </row>
    <row r="502" spans="1:10" ht="11.25" customHeight="1" x14ac:dyDescent="0.2">
      <c r="A502" s="55">
        <v>44652</v>
      </c>
      <c r="B502" s="45">
        <v>0</v>
      </c>
      <c r="C502" s="45">
        <v>0</v>
      </c>
      <c r="D502" s="45">
        <v>119063.08590000001</v>
      </c>
      <c r="E502" s="45">
        <v>152143.15911524862</v>
      </c>
      <c r="F502" s="45">
        <v>59283.734550000001</v>
      </c>
      <c r="G502" s="45">
        <v>50785.366238162154</v>
      </c>
      <c r="H502" s="46">
        <v>0.2778365180542377</v>
      </c>
      <c r="I502" s="46">
        <v>-0.1433507584558511</v>
      </c>
      <c r="J502" s="46">
        <v>0.13783091193544617</v>
      </c>
    </row>
    <row r="503" spans="1:10" ht="11.25" customHeight="1" x14ac:dyDescent="0.2">
      <c r="A503" s="55">
        <v>44682</v>
      </c>
      <c r="B503" s="45">
        <v>0</v>
      </c>
      <c r="C503" s="45">
        <v>0</v>
      </c>
      <c r="D503" s="45">
        <v>109681.50182</v>
      </c>
      <c r="E503" s="45">
        <v>140155.02838062836</v>
      </c>
      <c r="F503" s="45">
        <v>54612.468589999997</v>
      </c>
      <c r="G503" s="45">
        <v>46783.72979647715</v>
      </c>
      <c r="H503" s="46">
        <v>0.27783651805423792</v>
      </c>
      <c r="I503" s="46">
        <v>-0.1433507584558511</v>
      </c>
      <c r="J503" s="46">
        <v>0.13783091193544617</v>
      </c>
    </row>
    <row r="504" spans="1:10" ht="11.25" customHeight="1" x14ac:dyDescent="0.2">
      <c r="A504" s="55">
        <v>44713</v>
      </c>
      <c r="B504" s="45">
        <v>0</v>
      </c>
      <c r="C504" s="45">
        <v>0</v>
      </c>
      <c r="D504" s="45">
        <v>108638.35619999999</v>
      </c>
      <c r="E504" s="45">
        <v>138822.05881374402</v>
      </c>
      <c r="F504" s="45">
        <v>54093.066899999998</v>
      </c>
      <c r="G504" s="45">
        <v>46338.784732681903</v>
      </c>
      <c r="H504" s="46">
        <v>0.27783651805423792</v>
      </c>
      <c r="I504" s="46">
        <v>-0.1433507584558511</v>
      </c>
      <c r="J504" s="46">
        <v>0.13783091193544617</v>
      </c>
    </row>
    <row r="505" spans="1:10" ht="11.25" customHeight="1" x14ac:dyDescent="0.2">
      <c r="A505" s="55">
        <v>44743</v>
      </c>
      <c r="B505" s="45">
        <v>0</v>
      </c>
      <c r="C505" s="45">
        <v>0</v>
      </c>
      <c r="D505" s="45">
        <v>104217.16228</v>
      </c>
      <c r="E505" s="45">
        <v>133172.49576936866</v>
      </c>
      <c r="F505" s="45">
        <v>51891.671860000002</v>
      </c>
      <c r="G505" s="45">
        <v>44452.961341326853</v>
      </c>
      <c r="H505" s="46">
        <v>0.27783651805423792</v>
      </c>
      <c r="I505" s="46">
        <v>-0.14335075845585121</v>
      </c>
      <c r="J505" s="46">
        <v>0.13783091193544617</v>
      </c>
    </row>
    <row r="506" spans="1:10" ht="11.25" customHeight="1" x14ac:dyDescent="0.2">
      <c r="A506" s="55">
        <v>44774</v>
      </c>
      <c r="B506" s="45">
        <v>0</v>
      </c>
      <c r="C506" s="45">
        <v>0</v>
      </c>
      <c r="D506" s="45">
        <v>104217.16228</v>
      </c>
      <c r="E506" s="45">
        <v>133172.49576936866</v>
      </c>
      <c r="F506" s="45">
        <v>51891.671860000002</v>
      </c>
      <c r="G506" s="45">
        <v>44452.961341326853</v>
      </c>
      <c r="H506" s="46">
        <v>0.27783651805423792</v>
      </c>
      <c r="I506" s="46">
        <v>-0.14335075845585121</v>
      </c>
      <c r="J506" s="46">
        <v>0.13783091193544617</v>
      </c>
    </row>
    <row r="507" spans="1:10" ht="11.25" customHeight="1" x14ac:dyDescent="0.2">
      <c r="A507" s="50" t="s">
        <v>44</v>
      </c>
      <c r="B507" s="45">
        <v>0</v>
      </c>
      <c r="C507" s="45">
        <v>0</v>
      </c>
      <c r="D507" s="45">
        <v>581422.24734</v>
      </c>
      <c r="E507" s="45">
        <v>742962.58006021543</v>
      </c>
      <c r="F507" s="45">
        <v>289500.99783000001</v>
      </c>
      <c r="G507" s="45">
        <v>248000.81021734379</v>
      </c>
      <c r="H507" s="46">
        <v>0.27783651805423837</v>
      </c>
      <c r="I507" s="46">
        <v>-0.14335075845585099</v>
      </c>
      <c r="J507" s="46">
        <v>0.13783091193544661</v>
      </c>
    </row>
    <row r="508" spans="1:10" ht="11.25" customHeight="1" x14ac:dyDescent="0.2">
      <c r="A508" s="51" t="s">
        <v>25</v>
      </c>
      <c r="B508" s="45">
        <v>0</v>
      </c>
      <c r="C508" s="45">
        <v>0</v>
      </c>
      <c r="D508" s="45">
        <v>581422.24734</v>
      </c>
      <c r="E508" s="45">
        <v>742962.58006021543</v>
      </c>
      <c r="F508" s="45">
        <v>289500.99783000001</v>
      </c>
      <c r="G508" s="45">
        <v>248000.81021734379</v>
      </c>
      <c r="H508" s="46">
        <v>0.27783651805423837</v>
      </c>
      <c r="I508" s="46">
        <v>-0.14335075845585099</v>
      </c>
      <c r="J508" s="46">
        <v>0.13783091193544661</v>
      </c>
    </row>
    <row r="509" spans="1:10" ht="11.25" customHeight="1" x14ac:dyDescent="0.2">
      <c r="A509" s="52" t="s">
        <v>25</v>
      </c>
      <c r="B509" s="45">
        <v>0</v>
      </c>
      <c r="C509" s="45">
        <v>0</v>
      </c>
      <c r="D509" s="45">
        <v>581422.24734</v>
      </c>
      <c r="E509" s="45">
        <v>742962.58006021543</v>
      </c>
      <c r="F509" s="45">
        <v>289500.99783000001</v>
      </c>
      <c r="G509" s="45">
        <v>248000.81021734379</v>
      </c>
      <c r="H509" s="46">
        <v>0.27783651805423837</v>
      </c>
      <c r="I509" s="46">
        <v>-0.14335075845585099</v>
      </c>
      <c r="J509" s="46">
        <v>0.13783091193544661</v>
      </c>
    </row>
    <row r="510" spans="1:10" ht="11.25" customHeight="1" x14ac:dyDescent="0.2">
      <c r="A510" s="53" t="s">
        <v>25</v>
      </c>
      <c r="B510" s="45">
        <v>0</v>
      </c>
      <c r="C510" s="45">
        <v>0</v>
      </c>
      <c r="D510" s="45">
        <v>581422.24734</v>
      </c>
      <c r="E510" s="45">
        <v>742962.58006021543</v>
      </c>
      <c r="F510" s="45">
        <v>289500.99783000001</v>
      </c>
      <c r="G510" s="45">
        <v>248000.81021734379</v>
      </c>
      <c r="H510" s="46">
        <v>0.27783651805423837</v>
      </c>
      <c r="I510" s="46">
        <v>-0.14335075845585099</v>
      </c>
      <c r="J510" s="46">
        <v>0.13783091193544661</v>
      </c>
    </row>
    <row r="511" spans="1:10" ht="11.25" customHeight="1" x14ac:dyDescent="0.2">
      <c r="A511" s="54" t="s">
        <v>25</v>
      </c>
      <c r="B511" s="45">
        <v>0</v>
      </c>
      <c r="C511" s="45">
        <v>0</v>
      </c>
      <c r="D511" s="45">
        <v>581422.24734</v>
      </c>
      <c r="E511" s="45">
        <v>742962.58006021543</v>
      </c>
      <c r="F511" s="45">
        <v>289500.99783000001</v>
      </c>
      <c r="G511" s="45">
        <v>248000.81021734379</v>
      </c>
      <c r="H511" s="46">
        <v>0.27783651805423837</v>
      </c>
      <c r="I511" s="46">
        <v>-0.14335075845585099</v>
      </c>
      <c r="J511" s="46">
        <v>0.13783091193544661</v>
      </c>
    </row>
    <row r="512" spans="1:10" ht="11.25" customHeight="1" x14ac:dyDescent="0.2">
      <c r="A512" s="55">
        <v>44440</v>
      </c>
      <c r="B512" s="45">
        <v>0</v>
      </c>
      <c r="C512" s="45">
        <v>0</v>
      </c>
      <c r="D512" s="45">
        <v>44200.638679999996</v>
      </c>
      <c r="E512" s="45">
        <v>56481.190226624662</v>
      </c>
      <c r="F512" s="45">
        <v>22008.323659999998</v>
      </c>
      <c r="G512" s="45">
        <v>18853.413770997144</v>
      </c>
      <c r="H512" s="46">
        <v>0.27783651805423792</v>
      </c>
      <c r="I512" s="46">
        <v>-0.14335075845585121</v>
      </c>
      <c r="J512" s="46">
        <v>0.13783091193544594</v>
      </c>
    </row>
    <row r="513" spans="1:10" ht="11.25" customHeight="1" x14ac:dyDescent="0.2">
      <c r="A513" s="55">
        <v>44470</v>
      </c>
      <c r="B513" s="45">
        <v>0</v>
      </c>
      <c r="C513" s="45">
        <v>0</v>
      </c>
      <c r="D513" s="45">
        <v>43302.5164</v>
      </c>
      <c r="E513" s="45">
        <v>55333.536779562528</v>
      </c>
      <c r="F513" s="45">
        <v>21561.131799999999</v>
      </c>
      <c r="G513" s="45">
        <v>18470.32720330343</v>
      </c>
      <c r="H513" s="46">
        <v>0.2778365180542377</v>
      </c>
      <c r="I513" s="46">
        <v>-0.1433507584558511</v>
      </c>
      <c r="J513" s="46">
        <v>0.13783091193544639</v>
      </c>
    </row>
    <row r="514" spans="1:10" ht="11.25" customHeight="1" x14ac:dyDescent="0.2">
      <c r="A514" s="55">
        <v>44501</v>
      </c>
      <c r="B514" s="45">
        <v>0</v>
      </c>
      <c r="C514" s="45">
        <v>0</v>
      </c>
      <c r="D514" s="45">
        <v>49307.128420000001</v>
      </c>
      <c r="E514" s="45">
        <v>63006.449295465958</v>
      </c>
      <c r="F514" s="45">
        <v>24550.940290000002</v>
      </c>
      <c r="G514" s="45">
        <v>21031.544378624185</v>
      </c>
      <c r="H514" s="46">
        <v>0.27783651805423792</v>
      </c>
      <c r="I514" s="46">
        <v>-0.14335075845585121</v>
      </c>
      <c r="J514" s="46">
        <v>0.13783091193544617</v>
      </c>
    </row>
    <row r="515" spans="1:10" ht="11.25" customHeight="1" x14ac:dyDescent="0.2">
      <c r="A515" s="55">
        <v>44531</v>
      </c>
      <c r="B515" s="45">
        <v>0</v>
      </c>
      <c r="C515" s="45">
        <v>0</v>
      </c>
      <c r="D515" s="45">
        <v>54742.409480000002</v>
      </c>
      <c r="E515" s="45">
        <v>69951.849919822504</v>
      </c>
      <c r="F515" s="45">
        <v>27257.268260000001</v>
      </c>
      <c r="G515" s="45">
        <v>23349.918181494402</v>
      </c>
      <c r="H515" s="46">
        <v>0.27783651805423792</v>
      </c>
      <c r="I515" s="46">
        <v>-0.14335075845585121</v>
      </c>
      <c r="J515" s="46">
        <v>0.13783091193544617</v>
      </c>
    </row>
    <row r="516" spans="1:10" ht="11.25" customHeight="1" x14ac:dyDescent="0.2">
      <c r="A516" s="55">
        <v>44562</v>
      </c>
      <c r="B516" s="45">
        <v>0</v>
      </c>
      <c r="C516" s="45">
        <v>0</v>
      </c>
      <c r="D516" s="45">
        <v>45273.649959999995</v>
      </c>
      <c r="E516" s="45">
        <v>57852.323224492786</v>
      </c>
      <c r="F516" s="45">
        <v>22542.596019999997</v>
      </c>
      <c r="G516" s="45">
        <v>19311.097782969147</v>
      </c>
      <c r="H516" s="46">
        <v>0.27783651805423792</v>
      </c>
      <c r="I516" s="46">
        <v>-0.1433507584558511</v>
      </c>
      <c r="J516" s="46">
        <v>0.13783091193544617</v>
      </c>
    </row>
    <row r="517" spans="1:10" ht="11.25" customHeight="1" x14ac:dyDescent="0.2">
      <c r="A517" s="55">
        <v>44593</v>
      </c>
      <c r="B517" s="45">
        <v>0</v>
      </c>
      <c r="C517" s="45">
        <v>0</v>
      </c>
      <c r="D517" s="45">
        <v>51178.978840000003</v>
      </c>
      <c r="E517" s="45">
        <v>65398.368118477119</v>
      </c>
      <c r="F517" s="45">
        <v>25482.969580000001</v>
      </c>
      <c r="G517" s="45">
        <v>21829.966562999616</v>
      </c>
      <c r="H517" s="46">
        <v>0.27783651805423792</v>
      </c>
      <c r="I517" s="46">
        <v>-0.14335075845585121</v>
      </c>
      <c r="J517" s="46">
        <v>0.13783091193544594</v>
      </c>
    </row>
    <row r="518" spans="1:10" ht="11.25" customHeight="1" x14ac:dyDescent="0.2">
      <c r="A518" s="55">
        <v>44621</v>
      </c>
      <c r="B518" s="45">
        <v>0</v>
      </c>
      <c r="C518" s="45">
        <v>0</v>
      </c>
      <c r="D518" s="45">
        <v>72972.569780000005</v>
      </c>
      <c r="E518" s="45">
        <v>93247.014481145117</v>
      </c>
      <c r="F518" s="45">
        <v>36334.405610000002</v>
      </c>
      <c r="G518" s="45">
        <v>31125.841007763971</v>
      </c>
      <c r="H518" s="46">
        <v>0.27783651805423792</v>
      </c>
      <c r="I518" s="46">
        <v>-0.1433507584558511</v>
      </c>
      <c r="J518" s="46">
        <v>0.13783091193544617</v>
      </c>
    </row>
    <row r="519" spans="1:10" ht="11.25" customHeight="1" x14ac:dyDescent="0.2">
      <c r="A519" s="55">
        <v>44652</v>
      </c>
      <c r="B519" s="45">
        <v>0</v>
      </c>
      <c r="C519" s="45">
        <v>0</v>
      </c>
      <c r="D519" s="45">
        <v>54656.848399999995</v>
      </c>
      <c r="E519" s="45">
        <v>69842.516847274339</v>
      </c>
      <c r="F519" s="45">
        <v>27214.665799999999</v>
      </c>
      <c r="G519" s="45">
        <v>23313.422816447484</v>
      </c>
      <c r="H519" s="46">
        <v>0.27783651805423792</v>
      </c>
      <c r="I519" s="46">
        <v>-0.14335075845585121</v>
      </c>
      <c r="J519" s="46">
        <v>0.13783091193544639</v>
      </c>
    </row>
    <row r="520" spans="1:10" ht="11.25" customHeight="1" x14ac:dyDescent="0.2">
      <c r="A520" s="55">
        <v>44682</v>
      </c>
      <c r="B520" s="45">
        <v>0</v>
      </c>
      <c r="C520" s="45">
        <v>0</v>
      </c>
      <c r="D520" s="45">
        <v>41055.327279999998</v>
      </c>
      <c r="E520" s="45">
        <v>52461.996459052367</v>
      </c>
      <c r="F520" s="45">
        <v>20442.214360000002</v>
      </c>
      <c r="G520" s="45">
        <v>17511.807426976909</v>
      </c>
      <c r="H520" s="46">
        <v>0.27783651805423792</v>
      </c>
      <c r="I520" s="46">
        <v>-0.14335075845585121</v>
      </c>
      <c r="J520" s="46">
        <v>0.13783091193544617</v>
      </c>
    </row>
    <row r="521" spans="1:10" ht="11.25" customHeight="1" x14ac:dyDescent="0.2">
      <c r="A521" s="55">
        <v>44713</v>
      </c>
      <c r="B521" s="45">
        <v>0</v>
      </c>
      <c r="C521" s="45">
        <v>0</v>
      </c>
      <c r="D521" s="45">
        <v>40860.258780000004</v>
      </c>
      <c r="E521" s="45">
        <v>52212.730806230305</v>
      </c>
      <c r="F521" s="45">
        <v>20345.086110000004</v>
      </c>
      <c r="G521" s="45">
        <v>17428.6025852819</v>
      </c>
      <c r="H521" s="46">
        <v>0.27783651805423792</v>
      </c>
      <c r="I521" s="46">
        <v>-0.14335075845585121</v>
      </c>
      <c r="J521" s="46">
        <v>0.13783091193544617</v>
      </c>
    </row>
    <row r="522" spans="1:10" ht="11.25" customHeight="1" x14ac:dyDescent="0.2">
      <c r="A522" s="55">
        <v>44743</v>
      </c>
      <c r="B522" s="45">
        <v>0</v>
      </c>
      <c r="C522" s="45">
        <v>0</v>
      </c>
      <c r="D522" s="45">
        <v>41935.960659999997</v>
      </c>
      <c r="E522" s="45">
        <v>53587.3019510339</v>
      </c>
      <c r="F522" s="45">
        <v>20880.698170000003</v>
      </c>
      <c r="G522" s="45">
        <v>17887.434250242797</v>
      </c>
      <c r="H522" s="46">
        <v>0.27783651805423792</v>
      </c>
      <c r="I522" s="46">
        <v>-0.14335075845585132</v>
      </c>
      <c r="J522" s="46">
        <v>0.13783091193544617</v>
      </c>
    </row>
    <row r="523" spans="1:10" ht="11.25" customHeight="1" x14ac:dyDescent="0.2">
      <c r="A523" s="55">
        <v>44774</v>
      </c>
      <c r="B523" s="45">
        <v>0</v>
      </c>
      <c r="C523" s="45">
        <v>0</v>
      </c>
      <c r="D523" s="45">
        <v>41935.960659999997</v>
      </c>
      <c r="E523" s="45">
        <v>53587.3019510339</v>
      </c>
      <c r="F523" s="45">
        <v>20880.698170000003</v>
      </c>
      <c r="G523" s="45">
        <v>17887.434250242797</v>
      </c>
      <c r="H523" s="46">
        <v>0.27783651805423792</v>
      </c>
      <c r="I523" s="46">
        <v>-0.14335075845585132</v>
      </c>
      <c r="J523" s="46">
        <v>0.13783091193544617</v>
      </c>
    </row>
    <row r="524" spans="1:10" ht="11.25" customHeight="1" x14ac:dyDescent="0.2">
      <c r="A524" s="50" t="s">
        <v>48</v>
      </c>
      <c r="B524" s="45">
        <v>0</v>
      </c>
      <c r="C524" s="45">
        <v>0</v>
      </c>
      <c r="D524" s="45">
        <v>224968.8848836</v>
      </c>
      <c r="E524" s="45">
        <v>287473.45653020404</v>
      </c>
      <c r="F524" s="45">
        <v>112016.21016819999</v>
      </c>
      <c r="G524" s="45">
        <v>95958.601481238496</v>
      </c>
      <c r="H524" s="46">
        <v>0.2778365180542377</v>
      </c>
      <c r="I524" s="46">
        <v>-0.14335075845585121</v>
      </c>
      <c r="J524" s="46">
        <v>0.13783091193544594</v>
      </c>
    </row>
    <row r="525" spans="1:10" ht="11.25" customHeight="1" x14ac:dyDescent="0.2">
      <c r="A525" s="51" t="s">
        <v>49</v>
      </c>
      <c r="B525" s="45">
        <v>0</v>
      </c>
      <c r="C525" s="45">
        <v>0</v>
      </c>
      <c r="D525" s="45">
        <v>224968.8848836</v>
      </c>
      <c r="E525" s="45">
        <v>287473.45653020404</v>
      </c>
      <c r="F525" s="45">
        <v>112016.21016819999</v>
      </c>
      <c r="G525" s="45">
        <v>95958.601481238496</v>
      </c>
      <c r="H525" s="46">
        <v>0.2778365180542377</v>
      </c>
      <c r="I525" s="46">
        <v>-0.14335075845585121</v>
      </c>
      <c r="J525" s="46">
        <v>0.13783091193544594</v>
      </c>
    </row>
    <row r="526" spans="1:10" ht="11.25" customHeight="1" x14ac:dyDescent="0.2">
      <c r="A526" s="52" t="s">
        <v>25</v>
      </c>
      <c r="B526" s="45">
        <v>0</v>
      </c>
      <c r="C526" s="45">
        <v>0</v>
      </c>
      <c r="D526" s="45">
        <v>224968.8848836</v>
      </c>
      <c r="E526" s="45">
        <v>287473.45653020404</v>
      </c>
      <c r="F526" s="45">
        <v>112016.21016819999</v>
      </c>
      <c r="G526" s="45">
        <v>95958.601481238496</v>
      </c>
      <c r="H526" s="46">
        <v>0.2778365180542377</v>
      </c>
      <c r="I526" s="46">
        <v>-0.14335075845585121</v>
      </c>
      <c r="J526" s="46">
        <v>0.13783091193544594</v>
      </c>
    </row>
    <row r="527" spans="1:10" ht="11.25" customHeight="1" x14ac:dyDescent="0.2">
      <c r="A527" s="53" t="s">
        <v>25</v>
      </c>
      <c r="B527" s="45">
        <v>0</v>
      </c>
      <c r="C527" s="45">
        <v>0</v>
      </c>
      <c r="D527" s="45">
        <v>224968.8848836</v>
      </c>
      <c r="E527" s="45">
        <v>287473.45653020404</v>
      </c>
      <c r="F527" s="45">
        <v>112016.21016819999</v>
      </c>
      <c r="G527" s="45">
        <v>95958.601481238496</v>
      </c>
      <c r="H527" s="46">
        <v>0.2778365180542377</v>
      </c>
      <c r="I527" s="46">
        <v>-0.14335075845585121</v>
      </c>
      <c r="J527" s="46">
        <v>0.13783091193544594</v>
      </c>
    </row>
    <row r="528" spans="1:10" ht="11.25" customHeight="1" x14ac:dyDescent="0.2">
      <c r="A528" s="54" t="s">
        <v>25</v>
      </c>
      <c r="B528" s="45">
        <v>0</v>
      </c>
      <c r="C528" s="45">
        <v>0</v>
      </c>
      <c r="D528" s="45">
        <v>224968.8848836</v>
      </c>
      <c r="E528" s="45">
        <v>287473.45653020404</v>
      </c>
      <c r="F528" s="45">
        <v>112016.21016819999</v>
      </c>
      <c r="G528" s="45">
        <v>95958.601481238496</v>
      </c>
      <c r="H528" s="46">
        <v>0.2778365180542377</v>
      </c>
      <c r="I528" s="46">
        <v>-0.14335075845585121</v>
      </c>
      <c r="J528" s="46">
        <v>0.13783091193544594</v>
      </c>
    </row>
    <row r="529" spans="1:10" ht="11.25" customHeight="1" x14ac:dyDescent="0.2">
      <c r="A529" s="55">
        <v>44440</v>
      </c>
      <c r="B529" s="45">
        <v>0</v>
      </c>
      <c r="C529" s="45">
        <v>0</v>
      </c>
      <c r="D529" s="45">
        <v>19314.972551599996</v>
      </c>
      <c r="E529" s="45">
        <v>24681.377271649719</v>
      </c>
      <c r="F529" s="45">
        <v>9617.2856341999977</v>
      </c>
      <c r="G529" s="45">
        <v>8238.6404442508683</v>
      </c>
      <c r="H529" s="46">
        <v>0.27783651805423792</v>
      </c>
      <c r="I529" s="46">
        <v>-0.14335075845585099</v>
      </c>
      <c r="J529" s="46">
        <v>0.13783091193544617</v>
      </c>
    </row>
    <row r="530" spans="1:10" ht="11.25" customHeight="1" x14ac:dyDescent="0.2">
      <c r="A530" s="55">
        <v>44470</v>
      </c>
      <c r="B530" s="45">
        <v>0</v>
      </c>
      <c r="C530" s="45">
        <v>0</v>
      </c>
      <c r="D530" s="45">
        <v>19527.928160399999</v>
      </c>
      <c r="E530" s="45">
        <v>24953.499725298832</v>
      </c>
      <c r="F530" s="45">
        <v>9723.3202098000002</v>
      </c>
      <c r="G530" s="45">
        <v>8329.4748830160643</v>
      </c>
      <c r="H530" s="46">
        <v>0.27783651805423792</v>
      </c>
      <c r="I530" s="46">
        <v>-0.14335075845585121</v>
      </c>
      <c r="J530" s="46">
        <v>0.13783091193544594</v>
      </c>
    </row>
    <row r="531" spans="1:10" ht="11.25" customHeight="1" x14ac:dyDescent="0.2">
      <c r="A531" s="55">
        <v>44501</v>
      </c>
      <c r="B531" s="45">
        <v>0</v>
      </c>
      <c r="C531" s="45">
        <v>0</v>
      </c>
      <c r="D531" s="45">
        <v>18755.774391199997</v>
      </c>
      <c r="E531" s="45">
        <v>23966.813441461847</v>
      </c>
      <c r="F531" s="45">
        <v>9338.8504243999996</v>
      </c>
      <c r="G531" s="45">
        <v>8000.1191329565117</v>
      </c>
      <c r="H531" s="46">
        <v>0.27783651805423792</v>
      </c>
      <c r="I531" s="46">
        <v>-0.14335075845585121</v>
      </c>
      <c r="J531" s="46">
        <v>0.13783091193544617</v>
      </c>
    </row>
    <row r="532" spans="1:10" ht="11.25" customHeight="1" x14ac:dyDescent="0.2">
      <c r="A532" s="55">
        <v>44531</v>
      </c>
      <c r="B532" s="45">
        <v>0</v>
      </c>
      <c r="C532" s="45">
        <v>0</v>
      </c>
      <c r="D532" s="45">
        <v>18530.1729624</v>
      </c>
      <c r="E532" s="45">
        <v>23678.531697216</v>
      </c>
      <c r="F532" s="45">
        <v>9226.5192588000009</v>
      </c>
      <c r="G532" s="45">
        <v>7903.890725143503</v>
      </c>
      <c r="H532" s="46">
        <v>0.27783651805423792</v>
      </c>
      <c r="I532" s="46">
        <v>-0.14335075845585121</v>
      </c>
      <c r="J532" s="46">
        <v>0.13783091193544617</v>
      </c>
    </row>
    <row r="533" spans="1:10" ht="11.25" customHeight="1" x14ac:dyDescent="0.2">
      <c r="A533" s="55">
        <v>44562</v>
      </c>
      <c r="B533" s="45">
        <v>0</v>
      </c>
      <c r="C533" s="45">
        <v>0</v>
      </c>
      <c r="D533" s="45">
        <v>19487.461536400002</v>
      </c>
      <c r="E533" s="45">
        <v>24901.789995389267</v>
      </c>
      <c r="F533" s="45">
        <v>9703.1711218</v>
      </c>
      <c r="G533" s="45">
        <v>8312.2141820630586</v>
      </c>
      <c r="H533" s="46">
        <v>0.27783651805423792</v>
      </c>
      <c r="I533" s="46">
        <v>-0.1433507584558511</v>
      </c>
      <c r="J533" s="46">
        <v>0.13783091193544617</v>
      </c>
    </row>
    <row r="534" spans="1:10" ht="11.25" customHeight="1" x14ac:dyDescent="0.2">
      <c r="A534" s="55">
        <v>44593</v>
      </c>
      <c r="B534" s="45">
        <v>0</v>
      </c>
      <c r="C534" s="45">
        <v>0</v>
      </c>
      <c r="D534" s="45">
        <v>17815.684132400002</v>
      </c>
      <c r="E534" s="45">
        <v>22765.531778500153</v>
      </c>
      <c r="F534" s="45">
        <v>8870.7619238000007</v>
      </c>
      <c r="G534" s="45">
        <v>7599.131473941985</v>
      </c>
      <c r="H534" s="46">
        <v>0.27783651805423792</v>
      </c>
      <c r="I534" s="46">
        <v>-0.14335075845585121</v>
      </c>
      <c r="J534" s="46">
        <v>0.13783091193544617</v>
      </c>
    </row>
    <row r="535" spans="1:10" ht="11.25" customHeight="1" x14ac:dyDescent="0.2">
      <c r="A535" s="55">
        <v>44621</v>
      </c>
      <c r="B535" s="45">
        <v>0</v>
      </c>
      <c r="C535" s="45">
        <v>0</v>
      </c>
      <c r="D535" s="45">
        <v>18701.144448800002</v>
      </c>
      <c r="E535" s="45">
        <v>23897.005306083935</v>
      </c>
      <c r="F535" s="45">
        <v>9311.6491556000001</v>
      </c>
      <c r="G535" s="45">
        <v>7976.8171866699549</v>
      </c>
      <c r="H535" s="46">
        <v>0.27783651805423792</v>
      </c>
      <c r="I535" s="46">
        <v>-0.1433507584558511</v>
      </c>
      <c r="J535" s="46">
        <v>0.13783091193544617</v>
      </c>
    </row>
    <row r="536" spans="1:10" ht="11.25" customHeight="1" x14ac:dyDescent="0.2">
      <c r="A536" s="55">
        <v>44652</v>
      </c>
      <c r="B536" s="45">
        <v>0</v>
      </c>
      <c r="C536" s="45">
        <v>0</v>
      </c>
      <c r="D536" s="45">
        <v>19199.136840400002</v>
      </c>
      <c r="E536" s="45">
        <v>24533.35816978358</v>
      </c>
      <c r="F536" s="45">
        <v>9559.6088698000003</v>
      </c>
      <c r="G536" s="45">
        <v>8189.2316877728881</v>
      </c>
      <c r="H536" s="46">
        <v>0.2778365180542377</v>
      </c>
      <c r="I536" s="46">
        <v>-0.14335075845585121</v>
      </c>
      <c r="J536" s="46">
        <v>0.13783091193544594</v>
      </c>
    </row>
    <row r="537" spans="1:10" ht="11.25" customHeight="1" x14ac:dyDescent="0.2">
      <c r="A537" s="55">
        <v>44682</v>
      </c>
      <c r="B537" s="45">
        <v>0</v>
      </c>
      <c r="C537" s="45">
        <v>0</v>
      </c>
      <c r="D537" s="45">
        <v>18266.886989999999</v>
      </c>
      <c r="E537" s="45">
        <v>23342.095266991855</v>
      </c>
      <c r="F537" s="45">
        <v>9095.4242549999999</v>
      </c>
      <c r="G537" s="45">
        <v>7791.5882895680043</v>
      </c>
      <c r="H537" s="46">
        <v>0.2778365180542377</v>
      </c>
      <c r="I537" s="46">
        <v>-0.14335075845585121</v>
      </c>
      <c r="J537" s="46">
        <v>0.13783091193544617</v>
      </c>
    </row>
    <row r="538" spans="1:10" ht="11.25" customHeight="1" x14ac:dyDescent="0.2">
      <c r="A538" s="55">
        <v>44713</v>
      </c>
      <c r="B538" s="45">
        <v>0</v>
      </c>
      <c r="C538" s="45">
        <v>0</v>
      </c>
      <c r="D538" s="45">
        <v>19162.211046</v>
      </c>
      <c r="E538" s="45">
        <v>24486.173041241094</v>
      </c>
      <c r="F538" s="45">
        <v>9541.2228269999996</v>
      </c>
      <c r="G538" s="45">
        <v>8173.4812981532696</v>
      </c>
      <c r="H538" s="46">
        <v>0.2778365180542377</v>
      </c>
      <c r="I538" s="46">
        <v>-0.1433507584558511</v>
      </c>
      <c r="J538" s="46">
        <v>0.13783091193544617</v>
      </c>
    </row>
    <row r="539" spans="1:10" ht="11.25" customHeight="1" x14ac:dyDescent="0.2">
      <c r="A539" s="55">
        <v>44743</v>
      </c>
      <c r="B539" s="45">
        <v>0</v>
      </c>
      <c r="C539" s="45">
        <v>0</v>
      </c>
      <c r="D539" s="45">
        <v>18103.755912000001</v>
      </c>
      <c r="E539" s="45">
        <v>23133.640418293904</v>
      </c>
      <c r="F539" s="45">
        <v>9014.1982440000011</v>
      </c>
      <c r="G539" s="45">
        <v>7722.0060888511989</v>
      </c>
      <c r="H539" s="46">
        <v>0.27783651805423792</v>
      </c>
      <c r="I539" s="46">
        <v>-0.14335075845585121</v>
      </c>
      <c r="J539" s="46">
        <v>0.13783091193544617</v>
      </c>
    </row>
    <row r="540" spans="1:10" ht="11.25" customHeight="1" x14ac:dyDescent="0.2">
      <c r="A540" s="55">
        <v>44774</v>
      </c>
      <c r="B540" s="45">
        <v>0</v>
      </c>
      <c r="C540" s="45">
        <v>0</v>
      </c>
      <c r="D540" s="45">
        <v>18103.755912000001</v>
      </c>
      <c r="E540" s="45">
        <v>23133.640418293904</v>
      </c>
      <c r="F540" s="45">
        <v>9014.1982440000011</v>
      </c>
      <c r="G540" s="45">
        <v>7722.0060888511989</v>
      </c>
      <c r="H540" s="46">
        <v>0.27783651805423792</v>
      </c>
      <c r="I540" s="46">
        <v>-0.14335075845585121</v>
      </c>
      <c r="J540" s="46">
        <v>0.13783091193544617</v>
      </c>
    </row>
    <row r="541" spans="1:10" ht="11.25" customHeight="1" x14ac:dyDescent="0.2">
      <c r="A541" s="48" t="s">
        <v>45</v>
      </c>
      <c r="B541" s="45">
        <v>0</v>
      </c>
      <c r="C541" s="45">
        <v>0</v>
      </c>
      <c r="D541" s="45">
        <v>1550936.64964</v>
      </c>
      <c r="E541" s="45">
        <v>1981883.6660312705</v>
      </c>
      <c r="F541" s="45">
        <v>772219.30224000011</v>
      </c>
      <c r="G541" s="45">
        <v>661552.50361658749</v>
      </c>
      <c r="H541" s="46">
        <v>0.27786242364657587</v>
      </c>
      <c r="I541" s="46">
        <v>-0.14331006529155388</v>
      </c>
      <c r="J541" s="46">
        <v>0.13786427790552458</v>
      </c>
    </row>
    <row r="542" spans="1:10" ht="11.25" customHeight="1" x14ac:dyDescent="0.2">
      <c r="A542" s="49" t="s">
        <v>23</v>
      </c>
      <c r="B542" s="45">
        <v>0</v>
      </c>
      <c r="C542" s="45">
        <v>0</v>
      </c>
      <c r="D542" s="45">
        <v>1550936.64964</v>
      </c>
      <c r="E542" s="45">
        <v>1981883.6660312705</v>
      </c>
      <c r="F542" s="45">
        <v>772219.30224000011</v>
      </c>
      <c r="G542" s="45">
        <v>661552.50361658749</v>
      </c>
      <c r="H542" s="46">
        <v>0.27786242364657587</v>
      </c>
      <c r="I542" s="46">
        <v>-0.14331006529155388</v>
      </c>
      <c r="J542" s="46">
        <v>0.13786427790552458</v>
      </c>
    </row>
    <row r="543" spans="1:10" ht="11.25" customHeight="1" x14ac:dyDescent="0.2">
      <c r="A543" s="50" t="s">
        <v>46</v>
      </c>
      <c r="B543" s="45">
        <v>0</v>
      </c>
      <c r="C543" s="45">
        <v>0</v>
      </c>
      <c r="D543" s="45">
        <v>1550936.64964</v>
      </c>
      <c r="E543" s="45">
        <v>1981883.6660312705</v>
      </c>
      <c r="F543" s="45">
        <v>772219.30224000011</v>
      </c>
      <c r="G543" s="45">
        <v>661552.50361658749</v>
      </c>
      <c r="H543" s="46">
        <v>0.27786242364657587</v>
      </c>
      <c r="I543" s="46">
        <v>-0.14331006529155388</v>
      </c>
      <c r="J543" s="46">
        <v>0.13786427790552458</v>
      </c>
    </row>
    <row r="544" spans="1:10" ht="11.25" customHeight="1" x14ac:dyDescent="0.2">
      <c r="A544" s="51" t="s">
        <v>47</v>
      </c>
      <c r="B544" s="45">
        <v>0</v>
      </c>
      <c r="C544" s="45">
        <v>0</v>
      </c>
      <c r="D544" s="45">
        <v>1550936.64964</v>
      </c>
      <c r="E544" s="45">
        <v>1981883.6660312705</v>
      </c>
      <c r="F544" s="45">
        <v>772219.30224000011</v>
      </c>
      <c r="G544" s="45">
        <v>661552.50361658749</v>
      </c>
      <c r="H544" s="46">
        <v>0.27786242364657587</v>
      </c>
      <c r="I544" s="46">
        <v>-0.14331006529155388</v>
      </c>
      <c r="J544" s="46">
        <v>0.13786427790552458</v>
      </c>
    </row>
    <row r="545" spans="1:10" ht="11.25" customHeight="1" x14ac:dyDescent="0.2">
      <c r="A545" s="52" t="s">
        <v>25</v>
      </c>
      <c r="B545" s="45">
        <v>0</v>
      </c>
      <c r="C545" s="45">
        <v>0</v>
      </c>
      <c r="D545" s="45">
        <v>1550936.64964</v>
      </c>
      <c r="E545" s="45">
        <v>1981883.6660312705</v>
      </c>
      <c r="F545" s="45">
        <v>772219.30224000011</v>
      </c>
      <c r="G545" s="45">
        <v>661552.50361658749</v>
      </c>
      <c r="H545" s="46">
        <v>0.27786242364657587</v>
      </c>
      <c r="I545" s="46">
        <v>-0.14331006529155388</v>
      </c>
      <c r="J545" s="46">
        <v>0.13786427790552458</v>
      </c>
    </row>
    <row r="546" spans="1:10" ht="11.25" customHeight="1" x14ac:dyDescent="0.2">
      <c r="A546" s="53" t="s">
        <v>25</v>
      </c>
      <c r="B546" s="45">
        <v>0</v>
      </c>
      <c r="C546" s="45">
        <v>0</v>
      </c>
      <c r="D546" s="45">
        <v>1550936.64964</v>
      </c>
      <c r="E546" s="45">
        <v>1981883.6660312705</v>
      </c>
      <c r="F546" s="45">
        <v>772219.30224000011</v>
      </c>
      <c r="G546" s="45">
        <v>661552.50361658749</v>
      </c>
      <c r="H546" s="46">
        <v>0.27786242364657587</v>
      </c>
      <c r="I546" s="46">
        <v>-0.14331006529155388</v>
      </c>
      <c r="J546" s="46">
        <v>0.13786427790552458</v>
      </c>
    </row>
    <row r="547" spans="1:10" ht="11.25" customHeight="1" x14ac:dyDescent="0.2">
      <c r="A547" s="54" t="s">
        <v>25</v>
      </c>
      <c r="B547" s="45">
        <v>0</v>
      </c>
      <c r="C547" s="45">
        <v>0</v>
      </c>
      <c r="D547" s="45">
        <v>1550936.64964</v>
      </c>
      <c r="E547" s="45">
        <v>1981883.6660312705</v>
      </c>
      <c r="F547" s="45">
        <v>772219.30224000011</v>
      </c>
      <c r="G547" s="45">
        <v>661552.50361658749</v>
      </c>
      <c r="H547" s="46">
        <v>0.27786242364657587</v>
      </c>
      <c r="I547" s="46">
        <v>-0.14331006529155388</v>
      </c>
      <c r="J547" s="46">
        <v>0.13786427790552458</v>
      </c>
    </row>
    <row r="548" spans="1:10" ht="11.25" customHeight="1" x14ac:dyDescent="0.2">
      <c r="A548" s="55">
        <v>44440</v>
      </c>
      <c r="B548" s="45">
        <v>0</v>
      </c>
      <c r="C548" s="45">
        <v>0</v>
      </c>
      <c r="D548" s="45">
        <v>127149.29933999998</v>
      </c>
      <c r="E548" s="45">
        <v>162479.31181957634</v>
      </c>
      <c r="F548" s="45">
        <v>63308.28744</v>
      </c>
      <c r="G548" s="45">
        <v>54235.572633477132</v>
      </c>
      <c r="H548" s="46">
        <v>0.27786242364657587</v>
      </c>
      <c r="I548" s="46">
        <v>-0.14331006529155399</v>
      </c>
      <c r="J548" s="46">
        <v>0.13786427790552458</v>
      </c>
    </row>
    <row r="549" spans="1:10" ht="11.25" customHeight="1" x14ac:dyDescent="0.2">
      <c r="A549" s="55">
        <v>44470</v>
      </c>
      <c r="B549" s="45">
        <v>0</v>
      </c>
      <c r="C549" s="45">
        <v>0</v>
      </c>
      <c r="D549" s="45">
        <v>120999.99043999999</v>
      </c>
      <c r="E549" s="45">
        <v>154621.3410448709</v>
      </c>
      <c r="F549" s="45">
        <v>60246.515040000006</v>
      </c>
      <c r="G549" s="45">
        <v>51612.583036029013</v>
      </c>
      <c r="H549" s="46">
        <v>0.27786242364657587</v>
      </c>
      <c r="I549" s="46">
        <v>-0.14331006529155399</v>
      </c>
      <c r="J549" s="46">
        <v>0.1378642779055248</v>
      </c>
    </row>
    <row r="550" spans="1:10" ht="11.25" customHeight="1" x14ac:dyDescent="0.2">
      <c r="A550" s="55">
        <v>44501</v>
      </c>
      <c r="B550" s="45">
        <v>0</v>
      </c>
      <c r="C550" s="45">
        <v>0</v>
      </c>
      <c r="D550" s="45">
        <v>109036.54733999999</v>
      </c>
      <c r="E550" s="45">
        <v>139333.70664994698</v>
      </c>
      <c r="F550" s="45">
        <v>54289.855439999999</v>
      </c>
      <c r="G550" s="45">
        <v>46509.572712224573</v>
      </c>
      <c r="H550" s="46">
        <v>0.27786242364657565</v>
      </c>
      <c r="I550" s="46">
        <v>-0.14331006529155399</v>
      </c>
      <c r="J550" s="46">
        <v>0.13786427790552436</v>
      </c>
    </row>
    <row r="551" spans="1:10" ht="11.25" customHeight="1" x14ac:dyDescent="0.2">
      <c r="A551" s="55">
        <v>44531</v>
      </c>
      <c r="B551" s="45">
        <v>0</v>
      </c>
      <c r="C551" s="45">
        <v>0</v>
      </c>
      <c r="D551" s="45">
        <v>110554.97012</v>
      </c>
      <c r="E551" s="45">
        <v>141274.04206371796</v>
      </c>
      <c r="F551" s="45">
        <v>55045.885920000008</v>
      </c>
      <c r="G551" s="45">
        <v>47157.256414773372</v>
      </c>
      <c r="H551" s="46">
        <v>0.27786242364657587</v>
      </c>
      <c r="I551" s="46">
        <v>-0.14331006529155399</v>
      </c>
      <c r="J551" s="46">
        <v>0.13786427790552458</v>
      </c>
    </row>
    <row r="552" spans="1:10" ht="11.25" customHeight="1" x14ac:dyDescent="0.2">
      <c r="A552" s="55">
        <v>44562</v>
      </c>
      <c r="B552" s="45">
        <v>0</v>
      </c>
      <c r="C552" s="45">
        <v>0</v>
      </c>
      <c r="D552" s="45">
        <v>113419.86291999999</v>
      </c>
      <c r="E552" s="45">
        <v>144934.98092061357</v>
      </c>
      <c r="F552" s="45">
        <v>56472.330719999998</v>
      </c>
      <c r="G552" s="45">
        <v>48379.27731735057</v>
      </c>
      <c r="H552" s="46">
        <v>0.27786242364657565</v>
      </c>
      <c r="I552" s="46">
        <v>-0.14331006529155399</v>
      </c>
      <c r="J552" s="46">
        <v>0.13786427790552458</v>
      </c>
    </row>
    <row r="553" spans="1:10" ht="11.25" customHeight="1" x14ac:dyDescent="0.2">
      <c r="A553" s="55">
        <v>44593</v>
      </c>
      <c r="B553" s="45">
        <v>0</v>
      </c>
      <c r="C553" s="45">
        <v>0</v>
      </c>
      <c r="D553" s="45">
        <v>109347.30533999999</v>
      </c>
      <c r="E553" s="45">
        <v>139730.81262099455</v>
      </c>
      <c r="F553" s="45">
        <v>54444.583440000002</v>
      </c>
      <c r="G553" s="45">
        <v>46642.126632442145</v>
      </c>
      <c r="H553" s="46">
        <v>0.27786242364657587</v>
      </c>
      <c r="I553" s="46">
        <v>-0.14331006529155399</v>
      </c>
      <c r="J553" s="46">
        <v>0.1378642779055248</v>
      </c>
    </row>
    <row r="554" spans="1:10" ht="11.25" customHeight="1" x14ac:dyDescent="0.2">
      <c r="A554" s="55">
        <v>44621</v>
      </c>
      <c r="B554" s="45">
        <v>0</v>
      </c>
      <c r="C554" s="45">
        <v>0</v>
      </c>
      <c r="D554" s="45">
        <v>130331.16529999999</v>
      </c>
      <c r="E554" s="45">
        <v>166545.29876694048</v>
      </c>
      <c r="F554" s="45">
        <v>64892.554800000005</v>
      </c>
      <c r="G554" s="45">
        <v>55592.798534676258</v>
      </c>
      <c r="H554" s="46">
        <v>0.27786242364657565</v>
      </c>
      <c r="I554" s="46">
        <v>-0.14331006529155399</v>
      </c>
      <c r="J554" s="46">
        <v>0.13786427790552458</v>
      </c>
    </row>
    <row r="555" spans="1:10" ht="11.25" customHeight="1" x14ac:dyDescent="0.2">
      <c r="A555" s="55">
        <v>44652</v>
      </c>
      <c r="B555" s="45">
        <v>0</v>
      </c>
      <c r="C555" s="45">
        <v>0</v>
      </c>
      <c r="D555" s="45">
        <v>135584.01135999997</v>
      </c>
      <c r="E555" s="45">
        <v>173257.71336421446</v>
      </c>
      <c r="F555" s="45">
        <v>67507.973760000008</v>
      </c>
      <c r="G555" s="45">
        <v>57833.401632753892</v>
      </c>
      <c r="H555" s="46">
        <v>0.2778624236465761</v>
      </c>
      <c r="I555" s="46">
        <v>-0.14331006529155399</v>
      </c>
      <c r="J555" s="46">
        <v>0.1378642779055248</v>
      </c>
    </row>
    <row r="556" spans="1:10" ht="11.25" customHeight="1" x14ac:dyDescent="0.2">
      <c r="A556" s="55">
        <v>44682</v>
      </c>
      <c r="B556" s="45">
        <v>0</v>
      </c>
      <c r="C556" s="45">
        <v>0</v>
      </c>
      <c r="D556" s="45">
        <v>147986.65909999999</v>
      </c>
      <c r="E556" s="45">
        <v>189106.59086488557</v>
      </c>
      <c r="F556" s="45">
        <v>73683.315600000002</v>
      </c>
      <c r="G556" s="45">
        <v>63123.754830465827</v>
      </c>
      <c r="H556" s="46">
        <v>0.27786242364657565</v>
      </c>
      <c r="I556" s="46">
        <v>-0.14331006529155399</v>
      </c>
      <c r="J556" s="46">
        <v>0.13786427790552458</v>
      </c>
    </row>
    <row r="557" spans="1:10" ht="11.25" customHeight="1" x14ac:dyDescent="0.2">
      <c r="A557" s="55">
        <v>44713</v>
      </c>
      <c r="B557" s="45">
        <v>0</v>
      </c>
      <c r="C557" s="45">
        <v>0</v>
      </c>
      <c r="D557" s="45">
        <v>147060.30429999999</v>
      </c>
      <c r="E557" s="45">
        <v>187922.83687500094</v>
      </c>
      <c r="F557" s="45">
        <v>73222.078800000003</v>
      </c>
      <c r="G557" s="45">
        <v>62728.617906388696</v>
      </c>
      <c r="H557" s="46">
        <v>0.27786242364657587</v>
      </c>
      <c r="I557" s="46">
        <v>-0.14331006529155388</v>
      </c>
      <c r="J557" s="46">
        <v>0.13786427790552458</v>
      </c>
    </row>
    <row r="558" spans="1:10" ht="11.25" customHeight="1" x14ac:dyDescent="0.2">
      <c r="A558" s="55">
        <v>44743</v>
      </c>
      <c r="B558" s="45">
        <v>0</v>
      </c>
      <c r="C558" s="45">
        <v>0</v>
      </c>
      <c r="D558" s="45">
        <v>149733.26703999998</v>
      </c>
      <c r="E558" s="45">
        <v>191338.51552025432</v>
      </c>
      <c r="F558" s="45">
        <v>74552.960640000005</v>
      </c>
      <c r="G558" s="45">
        <v>63868.770983002949</v>
      </c>
      <c r="H558" s="46">
        <v>0.27786242364657587</v>
      </c>
      <c r="I558" s="46">
        <v>-0.14331006529155399</v>
      </c>
      <c r="J558" s="46">
        <v>0.1378642779055248</v>
      </c>
    </row>
    <row r="559" spans="1:10" ht="11.25" customHeight="1" x14ac:dyDescent="0.2">
      <c r="A559" s="55">
        <v>44774</v>
      </c>
      <c r="B559" s="45">
        <v>0</v>
      </c>
      <c r="C559" s="45">
        <v>0</v>
      </c>
      <c r="D559" s="45">
        <v>149733.26703999998</v>
      </c>
      <c r="E559" s="45">
        <v>191338.51552025432</v>
      </c>
      <c r="F559" s="45">
        <v>74552.960640000005</v>
      </c>
      <c r="G559" s="45">
        <v>63868.770983002949</v>
      </c>
      <c r="H559" s="46">
        <v>0.27786242364657587</v>
      </c>
      <c r="I559" s="46">
        <v>-0.14331006529155399</v>
      </c>
      <c r="J559" s="46">
        <v>0.1378642779055248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2576-EF71-4304-8AFF-DF2E2CBBDBE1}">
  <dimension ref="A1:G218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629</v>
      </c>
      <c r="B1" s="45" t="s">
        <v>655</v>
      </c>
      <c r="C1" s="45" t="s">
        <v>656</v>
      </c>
      <c r="D1" s="45" t="s">
        <v>657</v>
      </c>
      <c r="E1" s="45" t="s">
        <v>658</v>
      </c>
      <c r="F1" s="45" t="s">
        <v>659</v>
      </c>
      <c r="G1" s="45" t="s">
        <v>660</v>
      </c>
    </row>
    <row r="2" spans="1:7" ht="11.25" customHeight="1" x14ac:dyDescent="0.2">
      <c r="A2" s="47" t="s">
        <v>644</v>
      </c>
      <c r="B2" s="45">
        <v>42358.239000000009</v>
      </c>
      <c r="C2" s="45">
        <v>48415.444217400007</v>
      </c>
      <c r="D2" s="45">
        <v>52760.50809706538</v>
      </c>
      <c r="E2" s="45">
        <v>52789.717339687129</v>
      </c>
      <c r="F2" s="45">
        <v>90773.683217400016</v>
      </c>
      <c r="G2" s="45">
        <v>105550.22543675252</v>
      </c>
    </row>
    <row r="3" spans="1:7" ht="11.25" customHeight="1" x14ac:dyDescent="0.2">
      <c r="A3" s="48" t="s">
        <v>39</v>
      </c>
      <c r="B3" s="45">
        <v>42358.239000000009</v>
      </c>
      <c r="C3" s="45">
        <v>26905.757299199999</v>
      </c>
      <c r="D3" s="45">
        <v>52760.50809706538</v>
      </c>
      <c r="E3" s="45">
        <v>28315.330658105693</v>
      </c>
      <c r="F3" s="45">
        <v>69263.996299200007</v>
      </c>
      <c r="G3" s="45">
        <v>81075.838755171077</v>
      </c>
    </row>
    <row r="4" spans="1:7" ht="11.25" customHeight="1" x14ac:dyDescent="0.2">
      <c r="A4" s="49" t="s">
        <v>36</v>
      </c>
      <c r="B4" s="45">
        <v>42358.239000000009</v>
      </c>
      <c r="C4" s="45">
        <v>26905.757299199999</v>
      </c>
      <c r="D4" s="45">
        <v>52760.50809706538</v>
      </c>
      <c r="E4" s="45">
        <v>28315.330658105693</v>
      </c>
      <c r="F4" s="45">
        <v>69263.996299200007</v>
      </c>
      <c r="G4" s="45">
        <v>81075.838755171077</v>
      </c>
    </row>
    <row r="5" spans="1:7" ht="11.25" customHeight="1" x14ac:dyDescent="0.2">
      <c r="A5" s="50" t="s">
        <v>48</v>
      </c>
      <c r="B5" s="45">
        <v>42358.239000000009</v>
      </c>
      <c r="C5" s="45">
        <v>26905.757299199999</v>
      </c>
      <c r="D5" s="45">
        <v>52760.50809706538</v>
      </c>
      <c r="E5" s="45">
        <v>28315.330658105693</v>
      </c>
      <c r="F5" s="45">
        <v>69263.996299200007</v>
      </c>
      <c r="G5" s="45">
        <v>81075.838755171077</v>
      </c>
    </row>
    <row r="6" spans="1:7" ht="11.25" customHeight="1" x14ac:dyDescent="0.2">
      <c r="A6" s="51" t="s">
        <v>49</v>
      </c>
      <c r="B6" s="45">
        <v>42358.239000000009</v>
      </c>
      <c r="C6" s="45">
        <v>26905.757299199999</v>
      </c>
      <c r="D6" s="45">
        <v>52760.50809706538</v>
      </c>
      <c r="E6" s="45">
        <v>28315.330658105693</v>
      </c>
      <c r="F6" s="45">
        <v>69263.996299200007</v>
      </c>
      <c r="G6" s="45">
        <v>81075.838755171077</v>
      </c>
    </row>
    <row r="7" spans="1:7" ht="11.25" customHeight="1" x14ac:dyDescent="0.2">
      <c r="A7" s="52" t="s">
        <v>25</v>
      </c>
      <c r="B7" s="45">
        <v>42358.239000000009</v>
      </c>
      <c r="C7" s="45">
        <v>26905.757299199999</v>
      </c>
      <c r="D7" s="45">
        <v>52760.50809706538</v>
      </c>
      <c r="E7" s="45">
        <v>28315.330658105693</v>
      </c>
      <c r="F7" s="45">
        <v>69263.996299200007</v>
      </c>
      <c r="G7" s="45">
        <v>81075.838755171077</v>
      </c>
    </row>
    <row r="8" spans="1:7" ht="11.25" customHeight="1" x14ac:dyDescent="0.2">
      <c r="A8" s="53" t="s">
        <v>25</v>
      </c>
      <c r="B8" s="45">
        <v>42358.239000000009</v>
      </c>
      <c r="C8" s="45">
        <v>26905.757299199999</v>
      </c>
      <c r="D8" s="45">
        <v>52760.50809706538</v>
      </c>
      <c r="E8" s="45">
        <v>28315.330658105693</v>
      </c>
      <c r="F8" s="45">
        <v>69263.996299200007</v>
      </c>
      <c r="G8" s="45">
        <v>81075.838755171077</v>
      </c>
    </row>
    <row r="9" spans="1:7" ht="11.25" customHeight="1" x14ac:dyDescent="0.2">
      <c r="A9" s="54" t="s">
        <v>38</v>
      </c>
      <c r="B9" s="45">
        <v>12185.685000000001</v>
      </c>
      <c r="C9" s="45">
        <v>23867.267673599992</v>
      </c>
      <c r="D9" s="45">
        <v>15493.37199921176</v>
      </c>
      <c r="E9" s="45">
        <v>25117.656736745899</v>
      </c>
      <c r="F9" s="45">
        <v>36052.952673599997</v>
      </c>
      <c r="G9" s="45">
        <v>40611.028735957661</v>
      </c>
    </row>
    <row r="10" spans="1:7" ht="11.25" customHeight="1" x14ac:dyDescent="0.2">
      <c r="A10" s="55">
        <v>44440</v>
      </c>
      <c r="B10" s="45">
        <v>1094.5874999999999</v>
      </c>
      <c r="C10" s="45">
        <v>1966.0537728000036</v>
      </c>
      <c r="D10" s="45">
        <v>1391.7027498402595</v>
      </c>
      <c r="E10" s="45">
        <v>2069.053922154555</v>
      </c>
      <c r="F10" s="45">
        <v>3060.6412728000032</v>
      </c>
      <c r="G10" s="45">
        <v>3460.7566719948145</v>
      </c>
    </row>
    <row r="11" spans="1:7" ht="11.25" customHeight="1" x14ac:dyDescent="0.2">
      <c r="A11" s="55">
        <v>44470</v>
      </c>
      <c r="B11" s="45">
        <v>968.87250000000017</v>
      </c>
      <c r="C11" s="45">
        <v>1954.0310399999992</v>
      </c>
      <c r="D11" s="45">
        <v>1231.8636221358338</v>
      </c>
      <c r="E11" s="45">
        <v>2056.4013269920952</v>
      </c>
      <c r="F11" s="45">
        <v>2922.9035399999993</v>
      </c>
      <c r="G11" s="45">
        <v>3288.264949127929</v>
      </c>
    </row>
    <row r="12" spans="1:7" ht="11.25" customHeight="1" x14ac:dyDescent="0.2">
      <c r="A12" s="55">
        <v>44501</v>
      </c>
      <c r="B12" s="45">
        <v>968.87250000000017</v>
      </c>
      <c r="C12" s="45">
        <v>1970.2859903999997</v>
      </c>
      <c r="D12" s="45">
        <v>1231.8636221358338</v>
      </c>
      <c r="E12" s="45">
        <v>2073.507862604115</v>
      </c>
      <c r="F12" s="45">
        <v>2939.1584904000001</v>
      </c>
      <c r="G12" s="45">
        <v>3305.3714847399488</v>
      </c>
    </row>
    <row r="13" spans="1:7" ht="11.25" customHeight="1" x14ac:dyDescent="0.2">
      <c r="A13" s="55">
        <v>44531</v>
      </c>
      <c r="B13" s="45">
        <v>968.87250000000017</v>
      </c>
      <c r="C13" s="45">
        <v>1959.193267200003</v>
      </c>
      <c r="D13" s="45">
        <v>1231.8636221358338</v>
      </c>
      <c r="E13" s="45">
        <v>2061.8339995786696</v>
      </c>
      <c r="F13" s="45">
        <v>2928.0657672000034</v>
      </c>
      <c r="G13" s="45">
        <v>3293.6976217145034</v>
      </c>
    </row>
    <row r="14" spans="1:7" ht="11.25" customHeight="1" x14ac:dyDescent="0.2">
      <c r="A14" s="55">
        <v>44562</v>
      </c>
      <c r="B14" s="45">
        <v>968.87250000000017</v>
      </c>
      <c r="C14" s="45">
        <v>2033.1896832000014</v>
      </c>
      <c r="D14" s="45">
        <v>1231.8636221358338</v>
      </c>
      <c r="E14" s="45">
        <v>2139.7070348274115</v>
      </c>
      <c r="F14" s="45">
        <v>3002.0621832000015</v>
      </c>
      <c r="G14" s="45">
        <v>3371.5706569632453</v>
      </c>
    </row>
    <row r="15" spans="1:7" ht="11.25" customHeight="1" x14ac:dyDescent="0.2">
      <c r="A15" s="55">
        <v>44593</v>
      </c>
      <c r="B15" s="45">
        <v>968.87250000000017</v>
      </c>
      <c r="C15" s="45">
        <v>1996.9732223999981</v>
      </c>
      <c r="D15" s="45">
        <v>1231.8636221358338</v>
      </c>
      <c r="E15" s="45">
        <v>2101.5932195790701</v>
      </c>
      <c r="F15" s="45">
        <v>2965.8457223999985</v>
      </c>
      <c r="G15" s="45">
        <v>3333.4568417149039</v>
      </c>
    </row>
    <row r="16" spans="1:7" ht="11.25" customHeight="1" x14ac:dyDescent="0.2">
      <c r="A16" s="55">
        <v>44621</v>
      </c>
      <c r="B16" s="45">
        <v>968.87250000000017</v>
      </c>
      <c r="C16" s="45">
        <v>2159.792294400002</v>
      </c>
      <c r="D16" s="45">
        <v>1231.8636221358338</v>
      </c>
      <c r="E16" s="45">
        <v>2272.9422661737599</v>
      </c>
      <c r="F16" s="45">
        <v>3128.6647944000024</v>
      </c>
      <c r="G16" s="45">
        <v>3504.8058883095937</v>
      </c>
    </row>
    <row r="17" spans="1:7" ht="11.25" customHeight="1" x14ac:dyDescent="0.2">
      <c r="A17" s="55">
        <v>44652</v>
      </c>
      <c r="B17" s="45">
        <v>968.87250000000017</v>
      </c>
      <c r="C17" s="45">
        <v>1847.5786367999972</v>
      </c>
      <c r="D17" s="45">
        <v>1231.8636221358338</v>
      </c>
      <c r="E17" s="45">
        <v>1944.3719586142106</v>
      </c>
      <c r="F17" s="45">
        <v>2816.4511367999976</v>
      </c>
      <c r="G17" s="45">
        <v>3176.2355807500444</v>
      </c>
    </row>
    <row r="18" spans="1:7" ht="11.25" customHeight="1" x14ac:dyDescent="0.2">
      <c r="A18" s="55">
        <v>44682</v>
      </c>
      <c r="B18" s="45">
        <v>1077.2475000000002</v>
      </c>
      <c r="C18" s="45">
        <v>1758.3381503999965</v>
      </c>
      <c r="D18" s="45">
        <v>1369.6559736051663</v>
      </c>
      <c r="E18" s="45">
        <v>1850.4562270328015</v>
      </c>
      <c r="F18" s="45">
        <v>2835.5856503999967</v>
      </c>
      <c r="G18" s="45">
        <v>3220.1122006379678</v>
      </c>
    </row>
    <row r="19" spans="1:7" ht="11.25" customHeight="1" x14ac:dyDescent="0.2">
      <c r="A19" s="55">
        <v>44713</v>
      </c>
      <c r="B19" s="45">
        <v>1077.2475000000002</v>
      </c>
      <c r="C19" s="45">
        <v>1840.9203071999971</v>
      </c>
      <c r="D19" s="45">
        <v>1369.6559736051663</v>
      </c>
      <c r="E19" s="45">
        <v>1937.364803894196</v>
      </c>
      <c r="F19" s="45">
        <v>2918.1678071999972</v>
      </c>
      <c r="G19" s="45">
        <v>3307.0207774993623</v>
      </c>
    </row>
    <row r="20" spans="1:7" ht="11.25" customHeight="1" x14ac:dyDescent="0.2">
      <c r="A20" s="55">
        <v>44743</v>
      </c>
      <c r="B20" s="45">
        <v>1077.2475000000002</v>
      </c>
      <c r="C20" s="45">
        <v>2190.4556543999979</v>
      </c>
      <c r="D20" s="45">
        <v>1369.6559736051663</v>
      </c>
      <c r="E20" s="45">
        <v>2305.2120576475063</v>
      </c>
      <c r="F20" s="45">
        <v>3267.7031543999983</v>
      </c>
      <c r="G20" s="45">
        <v>3674.8680312526726</v>
      </c>
    </row>
    <row r="21" spans="1:7" ht="11.25" customHeight="1" x14ac:dyDescent="0.2">
      <c r="A21" s="55">
        <v>44774</v>
      </c>
      <c r="B21" s="45">
        <v>1077.2475000000002</v>
      </c>
      <c r="C21" s="45">
        <v>2190.4556543999979</v>
      </c>
      <c r="D21" s="45">
        <v>1369.6559736051663</v>
      </c>
      <c r="E21" s="45">
        <v>2305.2120576475063</v>
      </c>
      <c r="F21" s="45">
        <v>3267.7031543999983</v>
      </c>
      <c r="G21" s="45">
        <v>3674.8680312526726</v>
      </c>
    </row>
    <row r="22" spans="1:7" ht="11.25" customHeight="1" x14ac:dyDescent="0.2">
      <c r="A22" s="54" t="s">
        <v>37</v>
      </c>
      <c r="B22" s="45">
        <v>30172.554000000004</v>
      </c>
      <c r="C22" s="45">
        <v>3038.4896256000002</v>
      </c>
      <c r="D22" s="45">
        <v>37267.136097853618</v>
      </c>
      <c r="E22" s="45">
        <v>3197.6739213597948</v>
      </c>
      <c r="F22" s="45">
        <v>33211.043625600003</v>
      </c>
      <c r="G22" s="45">
        <v>40464.810019213415</v>
      </c>
    </row>
    <row r="23" spans="1:7" ht="11.25" customHeight="1" x14ac:dyDescent="0.2">
      <c r="A23" s="55">
        <v>44440</v>
      </c>
      <c r="B23" s="45">
        <v>2900.5470000000005</v>
      </c>
      <c r="C23" s="45">
        <v>247.80038400000029</v>
      </c>
      <c r="D23" s="45">
        <v>3582.5631402373497</v>
      </c>
      <c r="E23" s="45">
        <v>260.78246867908081</v>
      </c>
      <c r="F23" s="45">
        <v>3148.3473840000006</v>
      </c>
      <c r="G23" s="45">
        <v>3843.3456089164306</v>
      </c>
    </row>
    <row r="24" spans="1:7" ht="11.25" customHeight="1" x14ac:dyDescent="0.2">
      <c r="A24" s="55">
        <v>44470</v>
      </c>
      <c r="B24" s="45">
        <v>2305.5629999999996</v>
      </c>
      <c r="C24" s="45">
        <v>263.34097920000016</v>
      </c>
      <c r="D24" s="45">
        <v>2847.6783935219946</v>
      </c>
      <c r="E24" s="45">
        <v>277.13722453368928</v>
      </c>
      <c r="F24" s="45">
        <v>2568.9039791999999</v>
      </c>
      <c r="G24" s="45">
        <v>3124.8156180556839</v>
      </c>
    </row>
    <row r="25" spans="1:7" ht="11.25" customHeight="1" x14ac:dyDescent="0.2">
      <c r="A25" s="55">
        <v>44501</v>
      </c>
      <c r="B25" s="45">
        <v>2294.1210000000015</v>
      </c>
      <c r="C25" s="45">
        <v>242.93468160000015</v>
      </c>
      <c r="D25" s="45">
        <v>2833.5459945467014</v>
      </c>
      <c r="E25" s="45">
        <v>255.66185561445468</v>
      </c>
      <c r="F25" s="45">
        <v>2537.0556816000017</v>
      </c>
      <c r="G25" s="45">
        <v>3089.2078501611559</v>
      </c>
    </row>
    <row r="26" spans="1:7" ht="11.25" customHeight="1" x14ac:dyDescent="0.2">
      <c r="A26" s="55">
        <v>44531</v>
      </c>
      <c r="B26" s="45">
        <v>2208.3060000000014</v>
      </c>
      <c r="C26" s="45">
        <v>289.04428799999994</v>
      </c>
      <c r="D26" s="45">
        <v>2727.5530022319872</v>
      </c>
      <c r="E26" s="45">
        <v>304.18711127674078</v>
      </c>
      <c r="F26" s="45">
        <v>2497.3502880000015</v>
      </c>
      <c r="G26" s="45">
        <v>3031.740113508728</v>
      </c>
    </row>
    <row r="27" spans="1:7" ht="11.25" customHeight="1" x14ac:dyDescent="0.2">
      <c r="A27" s="55">
        <v>44562</v>
      </c>
      <c r="B27" s="45">
        <v>2214.0270000000005</v>
      </c>
      <c r="C27" s="45">
        <v>251.56085759999999</v>
      </c>
      <c r="D27" s="45">
        <v>2734.6192017196336</v>
      </c>
      <c r="E27" s="45">
        <v>264.73995079827887</v>
      </c>
      <c r="F27" s="45">
        <v>2465.5878576000005</v>
      </c>
      <c r="G27" s="45">
        <v>2999.3591525179127</v>
      </c>
    </row>
    <row r="28" spans="1:7" ht="11.25" customHeight="1" x14ac:dyDescent="0.2">
      <c r="A28" s="55">
        <v>44593</v>
      </c>
      <c r="B28" s="45">
        <v>2317.0050000000001</v>
      </c>
      <c r="C28" s="45">
        <v>242.54380800000058</v>
      </c>
      <c r="D28" s="45">
        <v>2861.8107924972905</v>
      </c>
      <c r="E28" s="45">
        <v>255.25050442643811</v>
      </c>
      <c r="F28" s="45">
        <v>2559.5488080000005</v>
      </c>
      <c r="G28" s="45">
        <v>3117.0612969237286</v>
      </c>
    </row>
    <row r="29" spans="1:7" ht="11.25" customHeight="1" x14ac:dyDescent="0.2">
      <c r="A29" s="55">
        <v>44621</v>
      </c>
      <c r="B29" s="45">
        <v>2374.2150000000001</v>
      </c>
      <c r="C29" s="45">
        <v>285.35120640000008</v>
      </c>
      <c r="D29" s="45">
        <v>2932.472787373767</v>
      </c>
      <c r="E29" s="45">
        <v>300.30055177616612</v>
      </c>
      <c r="F29" s="45">
        <v>2659.5662064000003</v>
      </c>
      <c r="G29" s="45">
        <v>3232.7733391499332</v>
      </c>
    </row>
    <row r="30" spans="1:7" ht="11.25" customHeight="1" x14ac:dyDescent="0.2">
      <c r="A30" s="55">
        <v>44652</v>
      </c>
      <c r="B30" s="45">
        <v>2185.4220000000005</v>
      </c>
      <c r="C30" s="45">
        <v>233.75589119999967</v>
      </c>
      <c r="D30" s="45">
        <v>2699.2882042813958</v>
      </c>
      <c r="E30" s="45">
        <v>246.00219495791603</v>
      </c>
      <c r="F30" s="45">
        <v>2419.1778912</v>
      </c>
      <c r="G30" s="45">
        <v>2945.2903992393117</v>
      </c>
    </row>
    <row r="31" spans="1:7" ht="11.25" customHeight="1" x14ac:dyDescent="0.2">
      <c r="A31" s="55">
        <v>44682</v>
      </c>
      <c r="B31" s="45">
        <v>2843.3370000000004</v>
      </c>
      <c r="C31" s="45">
        <v>213.47089919999985</v>
      </c>
      <c r="D31" s="45">
        <v>3511.9011453608732</v>
      </c>
      <c r="E31" s="45">
        <v>224.65448675220418</v>
      </c>
      <c r="F31" s="45">
        <v>3056.8078992000001</v>
      </c>
      <c r="G31" s="45">
        <v>3736.5556321130775</v>
      </c>
    </row>
    <row r="32" spans="1:7" ht="11.25" customHeight="1" x14ac:dyDescent="0.2">
      <c r="A32" s="55">
        <v>44713</v>
      </c>
      <c r="B32" s="45">
        <v>2843.3370000000004</v>
      </c>
      <c r="C32" s="45">
        <v>212.89132799999987</v>
      </c>
      <c r="D32" s="45">
        <v>3511.9011453608732</v>
      </c>
      <c r="E32" s="45">
        <v>224.04455223204096</v>
      </c>
      <c r="F32" s="45">
        <v>3056.2283280000001</v>
      </c>
      <c r="G32" s="45">
        <v>3735.9456975929143</v>
      </c>
    </row>
    <row r="33" spans="1:7" ht="11.25" customHeight="1" x14ac:dyDescent="0.2">
      <c r="A33" s="55">
        <v>44743</v>
      </c>
      <c r="B33" s="45">
        <v>2843.3370000000004</v>
      </c>
      <c r="C33" s="45">
        <v>277.89765119999976</v>
      </c>
      <c r="D33" s="45">
        <v>3511.9011453608732</v>
      </c>
      <c r="E33" s="45">
        <v>292.45651015639248</v>
      </c>
      <c r="F33" s="45">
        <v>3121.2346512000004</v>
      </c>
      <c r="G33" s="45">
        <v>3804.3576555172658</v>
      </c>
    </row>
    <row r="34" spans="1:7" ht="11.25" customHeight="1" x14ac:dyDescent="0.2">
      <c r="A34" s="55">
        <v>44774</v>
      </c>
      <c r="B34" s="45">
        <v>2843.3370000000004</v>
      </c>
      <c r="C34" s="45">
        <v>277.89765119999976</v>
      </c>
      <c r="D34" s="45">
        <v>3511.9011453608732</v>
      </c>
      <c r="E34" s="45">
        <v>292.45651015639248</v>
      </c>
      <c r="F34" s="45">
        <v>3121.2346512000004</v>
      </c>
      <c r="G34" s="45">
        <v>3804.3576555172658</v>
      </c>
    </row>
    <row r="35" spans="1:7" ht="11.25" customHeight="1" x14ac:dyDescent="0.2">
      <c r="A35" s="48" t="s">
        <v>33</v>
      </c>
      <c r="B35" s="45">
        <v>0</v>
      </c>
      <c r="C35" s="45">
        <v>21509.686918200001</v>
      </c>
      <c r="D35" s="45">
        <v>0</v>
      </c>
      <c r="E35" s="45">
        <v>24474.386681581444</v>
      </c>
      <c r="F35" s="45">
        <v>21509.686918200001</v>
      </c>
      <c r="G35" s="45">
        <v>24474.386681581444</v>
      </c>
    </row>
    <row r="36" spans="1:7" ht="11.25" customHeight="1" x14ac:dyDescent="0.2">
      <c r="A36" s="49" t="s">
        <v>23</v>
      </c>
      <c r="B36" s="45">
        <v>0</v>
      </c>
      <c r="C36" s="45">
        <v>21509.686918200001</v>
      </c>
      <c r="D36" s="45">
        <v>0</v>
      </c>
      <c r="E36" s="45">
        <v>24474.386681581444</v>
      </c>
      <c r="F36" s="45">
        <v>21509.686918200001</v>
      </c>
      <c r="G36" s="45">
        <v>24474.386681581444</v>
      </c>
    </row>
    <row r="37" spans="1:7" ht="11.25" customHeight="1" x14ac:dyDescent="0.2">
      <c r="A37" s="50" t="s">
        <v>48</v>
      </c>
      <c r="B37" s="45">
        <v>0</v>
      </c>
      <c r="C37" s="45">
        <v>21509.686918200001</v>
      </c>
      <c r="D37" s="45">
        <v>0</v>
      </c>
      <c r="E37" s="45">
        <v>24474.386681581444</v>
      </c>
      <c r="F37" s="45">
        <v>21509.686918200001</v>
      </c>
      <c r="G37" s="45">
        <v>24474.386681581444</v>
      </c>
    </row>
    <row r="38" spans="1:7" ht="11.25" customHeight="1" x14ac:dyDescent="0.2">
      <c r="A38" s="51" t="s">
        <v>49</v>
      </c>
      <c r="B38" s="45">
        <v>0</v>
      </c>
      <c r="C38" s="45">
        <v>21509.686918200001</v>
      </c>
      <c r="D38" s="45">
        <v>0</v>
      </c>
      <c r="E38" s="45">
        <v>24474.386681581444</v>
      </c>
      <c r="F38" s="45">
        <v>21509.686918200001</v>
      </c>
      <c r="G38" s="45">
        <v>24474.386681581444</v>
      </c>
    </row>
    <row r="39" spans="1:7" ht="11.25" customHeight="1" x14ac:dyDescent="0.2">
      <c r="A39" s="52" t="s">
        <v>25</v>
      </c>
      <c r="B39" s="45">
        <v>0</v>
      </c>
      <c r="C39" s="45">
        <v>21509.686918200001</v>
      </c>
      <c r="D39" s="45">
        <v>0</v>
      </c>
      <c r="E39" s="45">
        <v>24474.386681581444</v>
      </c>
      <c r="F39" s="45">
        <v>21509.686918200001</v>
      </c>
      <c r="G39" s="45">
        <v>24474.386681581444</v>
      </c>
    </row>
    <row r="40" spans="1:7" ht="11.25" customHeight="1" x14ac:dyDescent="0.2">
      <c r="A40" s="53" t="s">
        <v>25</v>
      </c>
      <c r="B40" s="45">
        <v>0</v>
      </c>
      <c r="C40" s="45">
        <v>21509.686918200001</v>
      </c>
      <c r="D40" s="45">
        <v>0</v>
      </c>
      <c r="E40" s="45">
        <v>24474.386681581444</v>
      </c>
      <c r="F40" s="45">
        <v>21509.686918200001</v>
      </c>
      <c r="G40" s="45">
        <v>24474.386681581444</v>
      </c>
    </row>
    <row r="41" spans="1:7" ht="11.25" customHeight="1" x14ac:dyDescent="0.2">
      <c r="A41" s="54" t="s">
        <v>25</v>
      </c>
      <c r="B41" s="45">
        <v>0</v>
      </c>
      <c r="C41" s="45">
        <v>21509.686918200001</v>
      </c>
      <c r="D41" s="45">
        <v>0</v>
      </c>
      <c r="E41" s="45">
        <v>24474.386681581444</v>
      </c>
      <c r="F41" s="45">
        <v>21509.686918200001</v>
      </c>
      <c r="G41" s="45">
        <v>24474.386681581444</v>
      </c>
    </row>
    <row r="42" spans="1:7" ht="11.25" customHeight="1" x14ac:dyDescent="0.2">
      <c r="A42" s="55">
        <v>44440</v>
      </c>
      <c r="B42" s="45">
        <v>0</v>
      </c>
      <c r="C42" s="45">
        <v>1846.7398842000039</v>
      </c>
      <c r="D42" s="45">
        <v>0</v>
      </c>
      <c r="E42" s="45">
        <v>2101.2777265468508</v>
      </c>
      <c r="F42" s="45">
        <v>1846.7398842000039</v>
      </c>
      <c r="G42" s="45">
        <v>2101.2777265468508</v>
      </c>
    </row>
    <row r="43" spans="1:7" ht="11.25" customHeight="1" x14ac:dyDescent="0.2">
      <c r="A43" s="55">
        <v>44470</v>
      </c>
      <c r="B43" s="45">
        <v>0</v>
      </c>
      <c r="C43" s="45">
        <v>1867.1009598000005</v>
      </c>
      <c r="D43" s="45">
        <v>0</v>
      </c>
      <c r="E43" s="45">
        <v>2124.4451877647816</v>
      </c>
      <c r="F43" s="45">
        <v>1867.1009598000005</v>
      </c>
      <c r="G43" s="45">
        <v>2124.4451877647816</v>
      </c>
    </row>
    <row r="44" spans="1:7" ht="11.25" customHeight="1" x14ac:dyDescent="0.2">
      <c r="A44" s="55">
        <v>44501</v>
      </c>
      <c r="B44" s="45">
        <v>0</v>
      </c>
      <c r="C44" s="45">
        <v>1793.2739244000031</v>
      </c>
      <c r="D44" s="45">
        <v>0</v>
      </c>
      <c r="E44" s="45">
        <v>2040.4425047501122</v>
      </c>
      <c r="F44" s="45">
        <v>1793.2739244000031</v>
      </c>
      <c r="G44" s="45">
        <v>2040.4425047501122</v>
      </c>
    </row>
    <row r="45" spans="1:7" ht="11.25" customHeight="1" x14ac:dyDescent="0.2">
      <c r="A45" s="55">
        <v>44531</v>
      </c>
      <c r="B45" s="45">
        <v>0</v>
      </c>
      <c r="C45" s="45">
        <v>1771.703758800001</v>
      </c>
      <c r="D45" s="45">
        <v>0</v>
      </c>
      <c r="E45" s="45">
        <v>2015.8993035548629</v>
      </c>
      <c r="F45" s="45">
        <v>1771.703758800001</v>
      </c>
      <c r="G45" s="45">
        <v>2015.8993035548629</v>
      </c>
    </row>
    <row r="46" spans="1:7" ht="11.25" customHeight="1" x14ac:dyDescent="0.2">
      <c r="A46" s="55">
        <v>44562</v>
      </c>
      <c r="B46" s="45">
        <v>0</v>
      </c>
      <c r="C46" s="45">
        <v>1863.2318717999981</v>
      </c>
      <c r="D46" s="45">
        <v>0</v>
      </c>
      <c r="E46" s="45">
        <v>2120.0428198373802</v>
      </c>
      <c r="F46" s="45">
        <v>1863.2318717999981</v>
      </c>
      <c r="G46" s="45">
        <v>2120.0428198373802</v>
      </c>
    </row>
    <row r="47" spans="1:7" ht="11.25" customHeight="1" x14ac:dyDescent="0.2">
      <c r="A47" s="55">
        <v>44593</v>
      </c>
      <c r="B47" s="45">
        <v>0</v>
      </c>
      <c r="C47" s="45">
        <v>1703.3901738000011</v>
      </c>
      <c r="D47" s="45">
        <v>0</v>
      </c>
      <c r="E47" s="45">
        <v>1938.1699948367336</v>
      </c>
      <c r="F47" s="45">
        <v>1703.3901738000011</v>
      </c>
      <c r="G47" s="45">
        <v>1938.1699948367336</v>
      </c>
    </row>
    <row r="48" spans="1:7" ht="11.25" customHeight="1" x14ac:dyDescent="0.2">
      <c r="A48" s="55">
        <v>44621</v>
      </c>
      <c r="B48" s="45">
        <v>0</v>
      </c>
      <c r="C48" s="45">
        <v>1788.0506555999948</v>
      </c>
      <c r="D48" s="45">
        <v>0</v>
      </c>
      <c r="E48" s="45">
        <v>2034.4993080481145</v>
      </c>
      <c r="F48" s="45">
        <v>1788.0506555999948</v>
      </c>
      <c r="G48" s="45">
        <v>2034.4993080481145</v>
      </c>
    </row>
    <row r="49" spans="1:7" ht="11.25" customHeight="1" x14ac:dyDescent="0.2">
      <c r="A49" s="55">
        <v>44652</v>
      </c>
      <c r="B49" s="45">
        <v>0</v>
      </c>
      <c r="C49" s="45">
        <v>1835.6646197999994</v>
      </c>
      <c r="D49" s="45">
        <v>0</v>
      </c>
      <c r="E49" s="45">
        <v>2088.6759483546675</v>
      </c>
      <c r="F49" s="45">
        <v>1835.6646197999994</v>
      </c>
      <c r="G49" s="45">
        <v>2088.6759483546675</v>
      </c>
    </row>
    <row r="50" spans="1:7" ht="11.25" customHeight="1" x14ac:dyDescent="0.2">
      <c r="A50" s="55">
        <v>44682</v>
      </c>
      <c r="B50" s="45">
        <v>0</v>
      </c>
      <c r="C50" s="45">
        <v>1746.5305050000004</v>
      </c>
      <c r="D50" s="45">
        <v>0</v>
      </c>
      <c r="E50" s="45">
        <v>1987.2563972272258</v>
      </c>
      <c r="F50" s="45">
        <v>1746.5305050000004</v>
      </c>
      <c r="G50" s="45">
        <v>1987.2563972272258</v>
      </c>
    </row>
    <row r="51" spans="1:7" ht="11.25" customHeight="1" x14ac:dyDescent="0.2">
      <c r="A51" s="55">
        <v>44713</v>
      </c>
      <c r="B51" s="45">
        <v>0</v>
      </c>
      <c r="C51" s="45">
        <v>1832.1340770000015</v>
      </c>
      <c r="D51" s="45">
        <v>0</v>
      </c>
      <c r="E51" s="45">
        <v>2084.6587876209182</v>
      </c>
      <c r="F51" s="45">
        <v>1832.1340770000015</v>
      </c>
      <c r="G51" s="45">
        <v>2084.6587876209182</v>
      </c>
    </row>
    <row r="52" spans="1:7" ht="11.25" customHeight="1" x14ac:dyDescent="0.2">
      <c r="A52" s="55">
        <v>44743</v>
      </c>
      <c r="B52" s="45">
        <v>0</v>
      </c>
      <c r="C52" s="45">
        <v>1730.933243999998</v>
      </c>
      <c r="D52" s="45">
        <v>0</v>
      </c>
      <c r="E52" s="45">
        <v>1969.5093515198978</v>
      </c>
      <c r="F52" s="45">
        <v>1730.933243999998</v>
      </c>
      <c r="G52" s="45">
        <v>1969.5093515198978</v>
      </c>
    </row>
    <row r="53" spans="1:7" ht="11.25" customHeight="1" x14ac:dyDescent="0.2">
      <c r="A53" s="55">
        <v>44774</v>
      </c>
      <c r="B53" s="45">
        <v>0</v>
      </c>
      <c r="C53" s="45">
        <v>1730.933243999998</v>
      </c>
      <c r="D53" s="45">
        <v>0</v>
      </c>
      <c r="E53" s="45">
        <v>1969.5093515198978</v>
      </c>
      <c r="F53" s="45">
        <v>1730.933243999998</v>
      </c>
      <c r="G53" s="45">
        <v>1969.5093515198978</v>
      </c>
    </row>
    <row r="54" spans="1:7" ht="11.25" customHeight="1" x14ac:dyDescent="0.2">
      <c r="A54" s="47" t="s">
        <v>645</v>
      </c>
      <c r="B54" s="45">
        <v>0</v>
      </c>
      <c r="C54" s="45">
        <v>112846.71196999996</v>
      </c>
      <c r="D54" s="45">
        <v>0</v>
      </c>
      <c r="E54" s="45">
        <v>118576.73565544355</v>
      </c>
      <c r="F54" s="45">
        <v>112846.71196999996</v>
      </c>
      <c r="G54" s="45">
        <v>118576.73565544355</v>
      </c>
    </row>
    <row r="55" spans="1:7" ht="11.25" customHeight="1" x14ac:dyDescent="0.2">
      <c r="A55" s="48" t="s">
        <v>22</v>
      </c>
      <c r="B55" s="45">
        <v>0</v>
      </c>
      <c r="C55" s="45">
        <v>112846.71196999996</v>
      </c>
      <c r="D55" s="45">
        <v>0</v>
      </c>
      <c r="E55" s="45">
        <v>118576.73565544355</v>
      </c>
      <c r="F55" s="45">
        <v>112846.71196999996</v>
      </c>
      <c r="G55" s="45">
        <v>118576.73565544355</v>
      </c>
    </row>
    <row r="56" spans="1:7" ht="11.25" customHeight="1" x14ac:dyDescent="0.2">
      <c r="A56" s="49" t="s">
        <v>23</v>
      </c>
      <c r="B56" s="45">
        <v>0</v>
      </c>
      <c r="C56" s="45">
        <v>112846.71196999996</v>
      </c>
      <c r="D56" s="45">
        <v>0</v>
      </c>
      <c r="E56" s="45">
        <v>118576.73565544355</v>
      </c>
      <c r="F56" s="45">
        <v>112846.71196999996</v>
      </c>
      <c r="G56" s="45">
        <v>118576.73565544355</v>
      </c>
    </row>
    <row r="57" spans="1:7" ht="11.25" customHeight="1" x14ac:dyDescent="0.2">
      <c r="A57" s="50" t="s">
        <v>24</v>
      </c>
      <c r="B57" s="45">
        <v>0</v>
      </c>
      <c r="C57" s="45">
        <v>112846.71196999996</v>
      </c>
      <c r="D57" s="45">
        <v>0</v>
      </c>
      <c r="E57" s="45">
        <v>118576.73565544355</v>
      </c>
      <c r="F57" s="45">
        <v>112846.71196999996</v>
      </c>
      <c r="G57" s="45">
        <v>118576.73565544355</v>
      </c>
    </row>
    <row r="58" spans="1:7" ht="11.25" customHeight="1" x14ac:dyDescent="0.2">
      <c r="A58" s="51" t="s">
        <v>29</v>
      </c>
      <c r="B58" s="45">
        <v>0</v>
      </c>
      <c r="C58" s="45">
        <v>41778.093799999988</v>
      </c>
      <c r="D58" s="45">
        <v>0</v>
      </c>
      <c r="E58" s="45">
        <v>43900.155331738242</v>
      </c>
      <c r="F58" s="45">
        <v>41778.093799999988</v>
      </c>
      <c r="G58" s="45">
        <v>43900.155331738242</v>
      </c>
    </row>
    <row r="59" spans="1:7" ht="11.25" customHeight="1" x14ac:dyDescent="0.2">
      <c r="A59" s="52" t="s">
        <v>25</v>
      </c>
      <c r="B59" s="45">
        <v>0</v>
      </c>
      <c r="C59" s="45">
        <v>41778.093799999988</v>
      </c>
      <c r="D59" s="45">
        <v>0</v>
      </c>
      <c r="E59" s="45">
        <v>43900.155331738242</v>
      </c>
      <c r="F59" s="45">
        <v>41778.093799999988</v>
      </c>
      <c r="G59" s="45">
        <v>43900.155331738242</v>
      </c>
    </row>
    <row r="60" spans="1:7" ht="11.25" customHeight="1" x14ac:dyDescent="0.2">
      <c r="A60" s="53" t="s">
        <v>25</v>
      </c>
      <c r="B60" s="45">
        <v>0</v>
      </c>
      <c r="C60" s="45">
        <v>41778.093799999988</v>
      </c>
      <c r="D60" s="45">
        <v>0</v>
      </c>
      <c r="E60" s="45">
        <v>43900.155331738242</v>
      </c>
      <c r="F60" s="45">
        <v>41778.093799999988</v>
      </c>
      <c r="G60" s="45">
        <v>43900.155331738242</v>
      </c>
    </row>
    <row r="61" spans="1:7" ht="11.25" customHeight="1" x14ac:dyDescent="0.2">
      <c r="A61" s="54" t="s">
        <v>25</v>
      </c>
      <c r="B61" s="45">
        <v>0</v>
      </c>
      <c r="C61" s="45">
        <v>41778.093799999988</v>
      </c>
      <c r="D61" s="45">
        <v>0</v>
      </c>
      <c r="E61" s="45">
        <v>43900.155331738242</v>
      </c>
      <c r="F61" s="45">
        <v>41778.093799999988</v>
      </c>
      <c r="G61" s="45">
        <v>43900.155331738242</v>
      </c>
    </row>
    <row r="62" spans="1:7" ht="11.25" customHeight="1" x14ac:dyDescent="0.2">
      <c r="A62" s="55">
        <v>44440</v>
      </c>
      <c r="B62" s="45">
        <v>0</v>
      </c>
      <c r="C62" s="45">
        <v>2519.4323999999997</v>
      </c>
      <c r="D62" s="45">
        <v>0</v>
      </c>
      <c r="E62" s="45">
        <v>2647.4035468754223</v>
      </c>
      <c r="F62" s="45">
        <v>2519.4323999999997</v>
      </c>
      <c r="G62" s="45">
        <v>2647.4035468754223</v>
      </c>
    </row>
    <row r="63" spans="1:7" ht="11.25" customHeight="1" x14ac:dyDescent="0.2">
      <c r="A63" s="55">
        <v>44470</v>
      </c>
      <c r="B63" s="45">
        <v>0</v>
      </c>
      <c r="C63" s="45">
        <v>2573.2919999999995</v>
      </c>
      <c r="D63" s="45">
        <v>0</v>
      </c>
      <c r="E63" s="45">
        <v>2703.9988721055379</v>
      </c>
      <c r="F63" s="45">
        <v>2573.2919999999995</v>
      </c>
      <c r="G63" s="45">
        <v>2703.9988721055379</v>
      </c>
    </row>
    <row r="64" spans="1:7" ht="11.25" customHeight="1" x14ac:dyDescent="0.2">
      <c r="A64" s="55">
        <v>44501</v>
      </c>
      <c r="B64" s="45">
        <v>0</v>
      </c>
      <c r="C64" s="45">
        <v>2622.1645999999996</v>
      </c>
      <c r="D64" s="45">
        <v>0</v>
      </c>
      <c r="E64" s="45">
        <v>2755.3538894439766</v>
      </c>
      <c r="F64" s="45">
        <v>2622.1645999999996</v>
      </c>
      <c r="G64" s="45">
        <v>2755.3538894439766</v>
      </c>
    </row>
    <row r="65" spans="1:7" ht="11.25" customHeight="1" x14ac:dyDescent="0.2">
      <c r="A65" s="55">
        <v>44531</v>
      </c>
      <c r="B65" s="45">
        <v>0</v>
      </c>
      <c r="C65" s="45">
        <v>2681.0111999999995</v>
      </c>
      <c r="D65" s="45">
        <v>0</v>
      </c>
      <c r="E65" s="45">
        <v>2817.1895225657699</v>
      </c>
      <c r="F65" s="45">
        <v>2681.0111999999995</v>
      </c>
      <c r="G65" s="45">
        <v>2817.1895225657699</v>
      </c>
    </row>
    <row r="66" spans="1:7" ht="11.25" customHeight="1" x14ac:dyDescent="0.2">
      <c r="A66" s="55">
        <v>44562</v>
      </c>
      <c r="B66" s="45">
        <v>0</v>
      </c>
      <c r="C66" s="45">
        <v>2698.9643999999994</v>
      </c>
      <c r="D66" s="45">
        <v>0</v>
      </c>
      <c r="E66" s="45">
        <v>2836.0546309758083</v>
      </c>
      <c r="F66" s="45">
        <v>2698.9643999999994</v>
      </c>
      <c r="G66" s="45">
        <v>2836.0546309758083</v>
      </c>
    </row>
    <row r="67" spans="1:7" ht="11.25" customHeight="1" x14ac:dyDescent="0.2">
      <c r="A67" s="55">
        <v>44593</v>
      </c>
      <c r="B67" s="45">
        <v>0</v>
      </c>
      <c r="C67" s="45">
        <v>2986.2155999999995</v>
      </c>
      <c r="D67" s="45">
        <v>0</v>
      </c>
      <c r="E67" s="45">
        <v>3137.8963655364269</v>
      </c>
      <c r="F67" s="45">
        <v>2986.2155999999995</v>
      </c>
      <c r="G67" s="45">
        <v>3137.8963655364269</v>
      </c>
    </row>
    <row r="68" spans="1:7" ht="11.25" customHeight="1" x14ac:dyDescent="0.2">
      <c r="A68" s="55">
        <v>44621</v>
      </c>
      <c r="B68" s="45">
        <v>0</v>
      </c>
      <c r="C68" s="45">
        <v>3877.8911999999996</v>
      </c>
      <c r="D68" s="45">
        <v>0</v>
      </c>
      <c r="E68" s="45">
        <v>4074.8634165683461</v>
      </c>
      <c r="F68" s="45">
        <v>3877.8911999999996</v>
      </c>
      <c r="G68" s="45">
        <v>4074.8634165683461</v>
      </c>
    </row>
    <row r="69" spans="1:7" ht="11.25" customHeight="1" x14ac:dyDescent="0.2">
      <c r="A69" s="55">
        <v>44652</v>
      </c>
      <c r="B69" s="45">
        <v>0</v>
      </c>
      <c r="C69" s="45">
        <v>4386.5651999999991</v>
      </c>
      <c r="D69" s="45">
        <v>0</v>
      </c>
      <c r="E69" s="45">
        <v>4609.37482151944</v>
      </c>
      <c r="F69" s="45">
        <v>4386.5651999999991</v>
      </c>
      <c r="G69" s="45">
        <v>4609.37482151944</v>
      </c>
    </row>
    <row r="70" spans="1:7" ht="11.25" customHeight="1" x14ac:dyDescent="0.2">
      <c r="A70" s="55">
        <v>44682</v>
      </c>
      <c r="B70" s="45">
        <v>0</v>
      </c>
      <c r="C70" s="45">
        <v>4542.159599999999</v>
      </c>
      <c r="D70" s="45">
        <v>0</v>
      </c>
      <c r="E70" s="45">
        <v>4772.872427739775</v>
      </c>
      <c r="F70" s="45">
        <v>4542.159599999999</v>
      </c>
      <c r="G70" s="45">
        <v>4772.872427739775</v>
      </c>
    </row>
    <row r="71" spans="1:7" ht="11.25" customHeight="1" x14ac:dyDescent="0.2">
      <c r="A71" s="55">
        <v>44713</v>
      </c>
      <c r="B71" s="45">
        <v>0</v>
      </c>
      <c r="C71" s="45">
        <v>4476.3311999999996</v>
      </c>
      <c r="D71" s="45">
        <v>0</v>
      </c>
      <c r="E71" s="45">
        <v>4703.7003635696337</v>
      </c>
      <c r="F71" s="45">
        <v>4476.3311999999996</v>
      </c>
      <c r="G71" s="45">
        <v>4703.7003635696337</v>
      </c>
    </row>
    <row r="72" spans="1:7" ht="11.25" customHeight="1" x14ac:dyDescent="0.2">
      <c r="A72" s="55">
        <v>44743</v>
      </c>
      <c r="B72" s="45">
        <v>0</v>
      </c>
      <c r="C72" s="45">
        <v>4207.0331999999989</v>
      </c>
      <c r="D72" s="45">
        <v>0</v>
      </c>
      <c r="E72" s="45">
        <v>4420.7237374190536</v>
      </c>
      <c r="F72" s="45">
        <v>4207.0331999999989</v>
      </c>
      <c r="G72" s="45">
        <v>4420.7237374190536</v>
      </c>
    </row>
    <row r="73" spans="1:7" ht="11.25" customHeight="1" x14ac:dyDescent="0.2">
      <c r="A73" s="55">
        <v>44774</v>
      </c>
      <c r="B73" s="45">
        <v>0</v>
      </c>
      <c r="C73" s="45">
        <v>4207.0331999999989</v>
      </c>
      <c r="D73" s="45">
        <v>0</v>
      </c>
      <c r="E73" s="45">
        <v>4420.7237374190536</v>
      </c>
      <c r="F73" s="45">
        <v>4207.0331999999989</v>
      </c>
      <c r="G73" s="45">
        <v>4420.7237374190536</v>
      </c>
    </row>
    <row r="74" spans="1:7" ht="11.25" customHeight="1" x14ac:dyDescent="0.2">
      <c r="A74" s="51" t="s">
        <v>30</v>
      </c>
      <c r="B74" s="45">
        <v>0</v>
      </c>
      <c r="C74" s="45">
        <v>55278.705239999996</v>
      </c>
      <c r="D74" s="45">
        <v>0</v>
      </c>
      <c r="E74" s="45">
        <v>58085.056081586255</v>
      </c>
      <c r="F74" s="45">
        <v>55278.705239999996</v>
      </c>
      <c r="G74" s="45">
        <v>58085.056081586255</v>
      </c>
    </row>
    <row r="75" spans="1:7" ht="11.25" customHeight="1" x14ac:dyDescent="0.2">
      <c r="A75" s="52" t="s">
        <v>25</v>
      </c>
      <c r="B75" s="45">
        <v>0</v>
      </c>
      <c r="C75" s="45">
        <v>55278.705239999996</v>
      </c>
      <c r="D75" s="45">
        <v>0</v>
      </c>
      <c r="E75" s="45">
        <v>58085.056081586255</v>
      </c>
      <c r="F75" s="45">
        <v>55278.705239999996</v>
      </c>
      <c r="G75" s="45">
        <v>58085.056081586255</v>
      </c>
    </row>
    <row r="76" spans="1:7" ht="11.25" customHeight="1" x14ac:dyDescent="0.2">
      <c r="A76" s="53" t="s">
        <v>25</v>
      </c>
      <c r="B76" s="45">
        <v>0</v>
      </c>
      <c r="C76" s="45">
        <v>55278.705239999996</v>
      </c>
      <c r="D76" s="45">
        <v>0</v>
      </c>
      <c r="E76" s="45">
        <v>58085.056081586255</v>
      </c>
      <c r="F76" s="45">
        <v>55278.705239999996</v>
      </c>
      <c r="G76" s="45">
        <v>58085.056081586255</v>
      </c>
    </row>
    <row r="77" spans="1:7" ht="11.25" customHeight="1" x14ac:dyDescent="0.2">
      <c r="A77" s="54" t="s">
        <v>25</v>
      </c>
      <c r="B77" s="45">
        <v>0</v>
      </c>
      <c r="C77" s="45">
        <v>55278.705239999996</v>
      </c>
      <c r="D77" s="45">
        <v>0</v>
      </c>
      <c r="E77" s="45">
        <v>58085.056081586255</v>
      </c>
      <c r="F77" s="45">
        <v>55278.705239999996</v>
      </c>
      <c r="G77" s="45">
        <v>58085.056081586255</v>
      </c>
    </row>
    <row r="78" spans="1:7" ht="11.25" customHeight="1" x14ac:dyDescent="0.2">
      <c r="A78" s="55">
        <v>44440</v>
      </c>
      <c r="B78" s="45">
        <v>0</v>
      </c>
      <c r="C78" s="45">
        <v>3348.0334799999996</v>
      </c>
      <c r="D78" s="45">
        <v>0</v>
      </c>
      <c r="E78" s="45">
        <v>3518.0041139622822</v>
      </c>
      <c r="F78" s="45">
        <v>3348.0334799999996</v>
      </c>
      <c r="G78" s="45">
        <v>3518.0041139622822</v>
      </c>
    </row>
    <row r="79" spans="1:7" ht="11.25" customHeight="1" x14ac:dyDescent="0.2">
      <c r="A79" s="55">
        <v>44470</v>
      </c>
      <c r="B79" s="45">
        <v>0</v>
      </c>
      <c r="C79" s="45">
        <v>3392.9636399999995</v>
      </c>
      <c r="D79" s="45">
        <v>0</v>
      </c>
      <c r="E79" s="45">
        <v>3565.2152570602252</v>
      </c>
      <c r="F79" s="45">
        <v>3392.9636399999995</v>
      </c>
      <c r="G79" s="45">
        <v>3565.2152570602252</v>
      </c>
    </row>
    <row r="80" spans="1:7" ht="11.25" customHeight="1" x14ac:dyDescent="0.2">
      <c r="A80" s="55">
        <v>44501</v>
      </c>
      <c r="B80" s="45">
        <v>0</v>
      </c>
      <c r="C80" s="45">
        <v>3484.1743200000001</v>
      </c>
      <c r="D80" s="45">
        <v>0</v>
      </c>
      <c r="E80" s="45">
        <v>3661.0564573929346</v>
      </c>
      <c r="F80" s="45">
        <v>3484.1743200000001</v>
      </c>
      <c r="G80" s="45">
        <v>3661.0564573929346</v>
      </c>
    </row>
    <row r="81" spans="1:7" ht="11.25" customHeight="1" x14ac:dyDescent="0.2">
      <c r="A81" s="55">
        <v>44531</v>
      </c>
      <c r="B81" s="45">
        <v>0</v>
      </c>
      <c r="C81" s="45">
        <v>3538.5569999999998</v>
      </c>
      <c r="D81" s="45">
        <v>0</v>
      </c>
      <c r="E81" s="45">
        <v>3718.1999994486409</v>
      </c>
      <c r="F81" s="45">
        <v>3538.5569999999998</v>
      </c>
      <c r="G81" s="45">
        <v>3718.1999994486409</v>
      </c>
    </row>
    <row r="82" spans="1:7" ht="11.25" customHeight="1" x14ac:dyDescent="0.2">
      <c r="A82" s="55">
        <v>44562</v>
      </c>
      <c r="B82" s="45">
        <v>0</v>
      </c>
      <c r="C82" s="45">
        <v>3651.8644799999997</v>
      </c>
      <c r="D82" s="45">
        <v>0</v>
      </c>
      <c r="E82" s="45">
        <v>3837.259794747552</v>
      </c>
      <c r="F82" s="45">
        <v>3651.8644799999997</v>
      </c>
      <c r="G82" s="45">
        <v>3837.259794747552</v>
      </c>
    </row>
    <row r="83" spans="1:7" ht="11.25" customHeight="1" x14ac:dyDescent="0.2">
      <c r="A83" s="55">
        <v>44593</v>
      </c>
      <c r="B83" s="45">
        <v>0</v>
      </c>
      <c r="C83" s="45">
        <v>4060.7780399999997</v>
      </c>
      <c r="D83" s="45">
        <v>0</v>
      </c>
      <c r="E83" s="45">
        <v>4266.9327938165343</v>
      </c>
      <c r="F83" s="45">
        <v>4060.7780399999997</v>
      </c>
      <c r="G83" s="45">
        <v>4266.9327938165343</v>
      </c>
    </row>
    <row r="84" spans="1:7" ht="11.25" customHeight="1" x14ac:dyDescent="0.2">
      <c r="A84" s="55">
        <v>44621</v>
      </c>
      <c r="B84" s="45">
        <v>0</v>
      </c>
      <c r="C84" s="45">
        <v>5251.7955599999996</v>
      </c>
      <c r="D84" s="45">
        <v>0</v>
      </c>
      <c r="E84" s="45">
        <v>5518.4150624947897</v>
      </c>
      <c r="F84" s="45">
        <v>5251.7955599999996</v>
      </c>
      <c r="G84" s="45">
        <v>5518.4150624947897</v>
      </c>
    </row>
    <row r="85" spans="1:7" ht="11.25" customHeight="1" x14ac:dyDescent="0.2">
      <c r="A85" s="55">
        <v>44652</v>
      </c>
      <c r="B85" s="45">
        <v>0</v>
      </c>
      <c r="C85" s="45">
        <v>5860.071359999999</v>
      </c>
      <c r="D85" s="45">
        <v>0</v>
      </c>
      <c r="E85" s="45">
        <v>6157.571385036611</v>
      </c>
      <c r="F85" s="45">
        <v>5860.071359999999</v>
      </c>
      <c r="G85" s="45">
        <v>6157.571385036611</v>
      </c>
    </row>
    <row r="86" spans="1:7" ht="11.25" customHeight="1" x14ac:dyDescent="0.2">
      <c r="A86" s="55">
        <v>44682</v>
      </c>
      <c r="B86" s="45">
        <v>0</v>
      </c>
      <c r="C86" s="45">
        <v>5903.2828799999997</v>
      </c>
      <c r="D86" s="45">
        <v>0</v>
      </c>
      <c r="E86" s="45">
        <v>6202.9766374149613</v>
      </c>
      <c r="F86" s="45">
        <v>5903.2828799999997</v>
      </c>
      <c r="G86" s="45">
        <v>6202.9766374149613</v>
      </c>
    </row>
    <row r="87" spans="1:7" ht="11.25" customHeight="1" x14ac:dyDescent="0.2">
      <c r="A87" s="55">
        <v>44713</v>
      </c>
      <c r="B87" s="45">
        <v>0</v>
      </c>
      <c r="C87" s="45">
        <v>5800.6555200000003</v>
      </c>
      <c r="D87" s="45">
        <v>0</v>
      </c>
      <c r="E87" s="45">
        <v>6095.1391630163816</v>
      </c>
      <c r="F87" s="45">
        <v>5800.6555200000003</v>
      </c>
      <c r="G87" s="45">
        <v>6095.1391630163816</v>
      </c>
    </row>
    <row r="88" spans="1:7" ht="11.25" customHeight="1" x14ac:dyDescent="0.2">
      <c r="A88" s="55">
        <v>44743</v>
      </c>
      <c r="B88" s="45">
        <v>0</v>
      </c>
      <c r="C88" s="45">
        <v>5493.2644799999989</v>
      </c>
      <c r="D88" s="45">
        <v>0</v>
      </c>
      <c r="E88" s="45">
        <v>5772.1427085976684</v>
      </c>
      <c r="F88" s="45">
        <v>5493.2644799999989</v>
      </c>
      <c r="G88" s="45">
        <v>5772.1427085976684</v>
      </c>
    </row>
    <row r="89" spans="1:7" ht="11.25" customHeight="1" x14ac:dyDescent="0.2">
      <c r="A89" s="55">
        <v>44774</v>
      </c>
      <c r="B89" s="45">
        <v>0</v>
      </c>
      <c r="C89" s="45">
        <v>5493.2644799999989</v>
      </c>
      <c r="D89" s="45">
        <v>0</v>
      </c>
      <c r="E89" s="45">
        <v>5772.1427085976684</v>
      </c>
      <c r="F89" s="45">
        <v>5493.2644799999989</v>
      </c>
      <c r="G89" s="45">
        <v>5772.1427085976684</v>
      </c>
    </row>
    <row r="90" spans="1:7" ht="11.25" customHeight="1" x14ac:dyDescent="0.2">
      <c r="A90" s="51" t="s">
        <v>31</v>
      </c>
      <c r="B90" s="45">
        <v>0</v>
      </c>
      <c r="C90" s="45">
        <v>15789.912929999997</v>
      </c>
      <c r="D90" s="45">
        <v>0</v>
      </c>
      <c r="E90" s="45">
        <v>16591.524242119052</v>
      </c>
      <c r="F90" s="45">
        <v>15789.912929999997</v>
      </c>
      <c r="G90" s="45">
        <v>16591.524242119052</v>
      </c>
    </row>
    <row r="91" spans="1:7" ht="11.25" customHeight="1" x14ac:dyDescent="0.2">
      <c r="A91" s="52" t="s">
        <v>25</v>
      </c>
      <c r="B91" s="45">
        <v>0</v>
      </c>
      <c r="C91" s="45">
        <v>15789.912929999997</v>
      </c>
      <c r="D91" s="45">
        <v>0</v>
      </c>
      <c r="E91" s="45">
        <v>16591.524242119052</v>
      </c>
      <c r="F91" s="45">
        <v>15789.912929999997</v>
      </c>
      <c r="G91" s="45">
        <v>16591.524242119052</v>
      </c>
    </row>
    <row r="92" spans="1:7" ht="11.25" customHeight="1" x14ac:dyDescent="0.2">
      <c r="A92" s="53" t="s">
        <v>25</v>
      </c>
      <c r="B92" s="45">
        <v>0</v>
      </c>
      <c r="C92" s="45">
        <v>15789.912929999997</v>
      </c>
      <c r="D92" s="45">
        <v>0</v>
      </c>
      <c r="E92" s="45">
        <v>16591.524242119052</v>
      </c>
      <c r="F92" s="45">
        <v>15789.912929999997</v>
      </c>
      <c r="G92" s="45">
        <v>16591.524242119052</v>
      </c>
    </row>
    <row r="93" spans="1:7" ht="11.25" customHeight="1" x14ac:dyDescent="0.2">
      <c r="A93" s="54" t="s">
        <v>25</v>
      </c>
      <c r="B93" s="45">
        <v>0</v>
      </c>
      <c r="C93" s="45">
        <v>15789.912929999997</v>
      </c>
      <c r="D93" s="45">
        <v>0</v>
      </c>
      <c r="E93" s="45">
        <v>16591.524242119052</v>
      </c>
      <c r="F93" s="45">
        <v>15789.912929999997</v>
      </c>
      <c r="G93" s="45">
        <v>16591.524242119052</v>
      </c>
    </row>
    <row r="94" spans="1:7" ht="11.25" customHeight="1" x14ac:dyDescent="0.2">
      <c r="A94" s="55">
        <v>44440</v>
      </c>
      <c r="B94" s="45">
        <v>0</v>
      </c>
      <c r="C94" s="45">
        <v>981.34343999999987</v>
      </c>
      <c r="D94" s="45">
        <v>0</v>
      </c>
      <c r="E94" s="45">
        <v>1031.1636008878552</v>
      </c>
      <c r="F94" s="45">
        <v>981.34343999999987</v>
      </c>
      <c r="G94" s="45">
        <v>1031.1636008878552</v>
      </c>
    </row>
    <row r="95" spans="1:7" ht="11.25" customHeight="1" x14ac:dyDescent="0.2">
      <c r="A95" s="55">
        <v>44470</v>
      </c>
      <c r="B95" s="45">
        <v>0</v>
      </c>
      <c r="C95" s="45">
        <v>983.49173999999994</v>
      </c>
      <c r="D95" s="45">
        <v>0</v>
      </c>
      <c r="E95" s="45">
        <v>1033.4209642873468</v>
      </c>
      <c r="F95" s="45">
        <v>983.49173999999994</v>
      </c>
      <c r="G95" s="45">
        <v>1033.4209642873468</v>
      </c>
    </row>
    <row r="96" spans="1:7" ht="11.25" customHeight="1" x14ac:dyDescent="0.2">
      <c r="A96" s="55">
        <v>44501</v>
      </c>
      <c r="B96" s="45">
        <v>0</v>
      </c>
      <c r="C96" s="45">
        <v>988.2486899999999</v>
      </c>
      <c r="D96" s="45">
        <v>0</v>
      </c>
      <c r="E96" s="45">
        <v>1038.419411814793</v>
      </c>
      <c r="F96" s="45">
        <v>988.2486899999999</v>
      </c>
      <c r="G96" s="45">
        <v>1038.419411814793</v>
      </c>
    </row>
    <row r="97" spans="1:7" ht="11.25" customHeight="1" x14ac:dyDescent="0.2">
      <c r="A97" s="55">
        <v>44531</v>
      </c>
      <c r="B97" s="45">
        <v>0</v>
      </c>
      <c r="C97" s="45">
        <v>1024.9539299999999</v>
      </c>
      <c r="D97" s="45">
        <v>0</v>
      </c>
      <c r="E97" s="45">
        <v>1076.9880778975387</v>
      </c>
      <c r="F97" s="45">
        <v>1024.9539299999999</v>
      </c>
      <c r="G97" s="45">
        <v>1076.9880778975387</v>
      </c>
    </row>
    <row r="98" spans="1:7" ht="11.25" customHeight="1" x14ac:dyDescent="0.2">
      <c r="A98" s="55">
        <v>44562</v>
      </c>
      <c r="B98" s="45">
        <v>0</v>
      </c>
      <c r="C98" s="45">
        <v>1212.7153499999999</v>
      </c>
      <c r="D98" s="45">
        <v>0</v>
      </c>
      <c r="E98" s="45">
        <v>1274.2816390131222</v>
      </c>
      <c r="F98" s="45">
        <v>1212.7153499999999</v>
      </c>
      <c r="G98" s="45">
        <v>1274.2816390131222</v>
      </c>
    </row>
    <row r="99" spans="1:7" ht="11.25" customHeight="1" x14ac:dyDescent="0.2">
      <c r="A99" s="55">
        <v>44593</v>
      </c>
      <c r="B99" s="45">
        <v>0</v>
      </c>
      <c r="C99" s="45">
        <v>1305.2456999999997</v>
      </c>
      <c r="D99" s="45">
        <v>0</v>
      </c>
      <c r="E99" s="45">
        <v>1371.5095054340904</v>
      </c>
      <c r="F99" s="45">
        <v>1305.2456999999997</v>
      </c>
      <c r="G99" s="45">
        <v>1371.5095054340904</v>
      </c>
    </row>
    <row r="100" spans="1:7" ht="11.25" customHeight="1" x14ac:dyDescent="0.2">
      <c r="A100" s="55">
        <v>44621</v>
      </c>
      <c r="B100" s="45">
        <v>0</v>
      </c>
      <c r="C100" s="45">
        <v>1635.3166499999998</v>
      </c>
      <c r="D100" s="45">
        <v>0</v>
      </c>
      <c r="E100" s="45">
        <v>1718.3372677417237</v>
      </c>
      <c r="F100" s="45">
        <v>1635.3166499999998</v>
      </c>
      <c r="G100" s="45">
        <v>1718.3372677417237</v>
      </c>
    </row>
    <row r="101" spans="1:7" ht="11.25" customHeight="1" x14ac:dyDescent="0.2">
      <c r="A101" s="55">
        <v>44652</v>
      </c>
      <c r="B101" s="45">
        <v>0</v>
      </c>
      <c r="C101" s="45">
        <v>1683.9602999999997</v>
      </c>
      <c r="D101" s="45">
        <v>0</v>
      </c>
      <c r="E101" s="45">
        <v>1769.4504247159309</v>
      </c>
      <c r="F101" s="45">
        <v>1683.9602999999997</v>
      </c>
      <c r="G101" s="45">
        <v>1769.4504247159309</v>
      </c>
    </row>
    <row r="102" spans="1:7" ht="11.25" customHeight="1" x14ac:dyDescent="0.2">
      <c r="A102" s="55">
        <v>44682</v>
      </c>
      <c r="B102" s="45">
        <v>0</v>
      </c>
      <c r="C102" s="45">
        <v>1490.9201999999998</v>
      </c>
      <c r="D102" s="45">
        <v>0</v>
      </c>
      <c r="E102" s="45">
        <v>1566.6101992473104</v>
      </c>
      <c r="F102" s="45">
        <v>1490.9201999999998</v>
      </c>
      <c r="G102" s="45">
        <v>1566.6101992473104</v>
      </c>
    </row>
    <row r="103" spans="1:7" ht="11.25" customHeight="1" x14ac:dyDescent="0.2">
      <c r="A103" s="55">
        <v>44713</v>
      </c>
      <c r="B103" s="45">
        <v>0</v>
      </c>
      <c r="C103" s="45">
        <v>1517.9580899999999</v>
      </c>
      <c r="D103" s="45">
        <v>0</v>
      </c>
      <c r="E103" s="45">
        <v>1595.020730032343</v>
      </c>
      <c r="F103" s="45">
        <v>1517.9580899999999</v>
      </c>
      <c r="G103" s="45">
        <v>1595.020730032343</v>
      </c>
    </row>
    <row r="104" spans="1:7" ht="11.25" customHeight="1" x14ac:dyDescent="0.2">
      <c r="A104" s="55">
        <v>44743</v>
      </c>
      <c r="B104" s="45">
        <v>0</v>
      </c>
      <c r="C104" s="45">
        <v>1482.8794199999998</v>
      </c>
      <c r="D104" s="45">
        <v>0</v>
      </c>
      <c r="E104" s="45">
        <v>1558.1612105234983</v>
      </c>
      <c r="F104" s="45">
        <v>1482.8794199999998</v>
      </c>
      <c r="G104" s="45">
        <v>1558.1612105234983</v>
      </c>
    </row>
    <row r="105" spans="1:7" ht="11.25" customHeight="1" x14ac:dyDescent="0.2">
      <c r="A105" s="55">
        <v>44774</v>
      </c>
      <c r="B105" s="45">
        <v>0</v>
      </c>
      <c r="C105" s="45">
        <v>1482.8794199999998</v>
      </c>
      <c r="D105" s="45">
        <v>0</v>
      </c>
      <c r="E105" s="45">
        <v>1558.1612105234983</v>
      </c>
      <c r="F105" s="45">
        <v>1482.8794199999998</v>
      </c>
      <c r="G105" s="45">
        <v>1558.1612105234983</v>
      </c>
    </row>
    <row r="106" spans="1:7" ht="11.25" customHeight="1" x14ac:dyDescent="0.2">
      <c r="A106" s="51" t="s">
        <v>32</v>
      </c>
      <c r="B106" s="45">
        <v>0</v>
      </c>
      <c r="C106" s="45">
        <v>-7.8980804119055379E-12</v>
      </c>
      <c r="D106" s="45">
        <v>0</v>
      </c>
      <c r="E106" s="45">
        <v>0</v>
      </c>
      <c r="F106" s="45">
        <v>-7.8980804119055379E-12</v>
      </c>
      <c r="G106" s="45">
        <v>0</v>
      </c>
    </row>
    <row r="107" spans="1:7" ht="11.25" customHeight="1" x14ac:dyDescent="0.2">
      <c r="A107" s="52" t="s">
        <v>25</v>
      </c>
      <c r="B107" s="45">
        <v>0</v>
      </c>
      <c r="C107" s="45">
        <v>-7.8980804119055379E-12</v>
      </c>
      <c r="D107" s="45">
        <v>0</v>
      </c>
      <c r="E107" s="45">
        <v>0</v>
      </c>
      <c r="F107" s="45">
        <v>-7.8980804119055379E-12</v>
      </c>
      <c r="G107" s="45">
        <v>0</v>
      </c>
    </row>
    <row r="108" spans="1:7" ht="11.25" customHeight="1" x14ac:dyDescent="0.2">
      <c r="A108" s="53" t="s">
        <v>25</v>
      </c>
      <c r="B108" s="45">
        <v>0</v>
      </c>
      <c r="C108" s="45">
        <v>-7.8980804119055379E-12</v>
      </c>
      <c r="D108" s="45">
        <v>0</v>
      </c>
      <c r="E108" s="45">
        <v>0</v>
      </c>
      <c r="F108" s="45">
        <v>-7.8980804119055379E-12</v>
      </c>
      <c r="G108" s="45">
        <v>0</v>
      </c>
    </row>
    <row r="109" spans="1:7" ht="11.25" customHeight="1" x14ac:dyDescent="0.2">
      <c r="A109" s="54" t="s">
        <v>25</v>
      </c>
      <c r="B109" s="45">
        <v>0</v>
      </c>
      <c r="C109" s="45">
        <v>-7.8980804119055379E-12</v>
      </c>
      <c r="D109" s="45">
        <v>0</v>
      </c>
      <c r="E109" s="45">
        <v>0</v>
      </c>
      <c r="F109" s="45">
        <v>-7.8980804119055379E-12</v>
      </c>
      <c r="G109" s="45">
        <v>0</v>
      </c>
    </row>
    <row r="110" spans="1:7" ht="11.25" customHeight="1" x14ac:dyDescent="0.2">
      <c r="A110" s="55">
        <v>44440</v>
      </c>
      <c r="B110" s="45">
        <v>0</v>
      </c>
      <c r="C110" s="45">
        <v>-3.2548541639698669E-13</v>
      </c>
      <c r="D110" s="45">
        <v>0</v>
      </c>
      <c r="E110" s="45">
        <v>0</v>
      </c>
      <c r="F110" s="45">
        <v>-3.2548541639698669E-13</v>
      </c>
      <c r="G110" s="45">
        <v>0</v>
      </c>
    </row>
    <row r="111" spans="1:7" ht="11.25" customHeight="1" x14ac:dyDescent="0.2">
      <c r="A111" s="55">
        <v>44470</v>
      </c>
      <c r="B111" s="45">
        <v>0</v>
      </c>
      <c r="C111" s="45">
        <v>-3.1621993912267497E-13</v>
      </c>
      <c r="D111" s="45">
        <v>0</v>
      </c>
      <c r="E111" s="45">
        <v>0</v>
      </c>
      <c r="F111" s="45">
        <v>-3.1621993912267497E-13</v>
      </c>
      <c r="G111" s="45">
        <v>0</v>
      </c>
    </row>
    <row r="112" spans="1:7" ht="11.25" customHeight="1" x14ac:dyDescent="0.2">
      <c r="A112" s="55">
        <v>44501</v>
      </c>
      <c r="B112" s="45">
        <v>0</v>
      </c>
      <c r="C112" s="45">
        <v>-3.127240688627353E-13</v>
      </c>
      <c r="D112" s="45">
        <v>0</v>
      </c>
      <c r="E112" s="45">
        <v>0</v>
      </c>
      <c r="F112" s="45">
        <v>-3.127240688627353E-13</v>
      </c>
      <c r="G112" s="45">
        <v>0</v>
      </c>
    </row>
    <row r="113" spans="1:7" ht="11.25" customHeight="1" x14ac:dyDescent="0.2">
      <c r="A113" s="55">
        <v>44531</v>
      </c>
      <c r="B113" s="45">
        <v>0</v>
      </c>
      <c r="C113" s="45">
        <v>-3.9480596569774207E-13</v>
      </c>
      <c r="D113" s="45">
        <v>0</v>
      </c>
      <c r="E113" s="45">
        <v>0</v>
      </c>
      <c r="F113" s="45">
        <v>-3.9480596569774207E-13</v>
      </c>
      <c r="G113" s="45">
        <v>0</v>
      </c>
    </row>
    <row r="114" spans="1:7" ht="11.25" customHeight="1" x14ac:dyDescent="0.2">
      <c r="A114" s="55">
        <v>44562</v>
      </c>
      <c r="B114" s="45">
        <v>0</v>
      </c>
      <c r="C114" s="45">
        <v>-8.8468254944018551E-13</v>
      </c>
      <c r="D114" s="45">
        <v>0</v>
      </c>
      <c r="E114" s="45">
        <v>0</v>
      </c>
      <c r="F114" s="45">
        <v>-8.8468254944018551E-13</v>
      </c>
      <c r="G114" s="45">
        <v>0</v>
      </c>
    </row>
    <row r="115" spans="1:7" ht="11.25" customHeight="1" x14ac:dyDescent="0.2">
      <c r="A115" s="55">
        <v>44593</v>
      </c>
      <c r="B115" s="45">
        <v>0</v>
      </c>
      <c r="C115" s="45">
        <v>-9.9717567536572442E-13</v>
      </c>
      <c r="D115" s="45">
        <v>0</v>
      </c>
      <c r="E115" s="45">
        <v>0</v>
      </c>
      <c r="F115" s="45">
        <v>-9.9717567536572442E-13</v>
      </c>
      <c r="G115" s="45">
        <v>0</v>
      </c>
    </row>
    <row r="116" spans="1:7" ht="11.25" customHeight="1" x14ac:dyDescent="0.2">
      <c r="A116" s="55">
        <v>44621</v>
      </c>
      <c r="B116" s="45">
        <v>0</v>
      </c>
      <c r="C116" s="45">
        <v>-1.1652332432277034E-12</v>
      </c>
      <c r="D116" s="45">
        <v>0</v>
      </c>
      <c r="E116" s="45">
        <v>0</v>
      </c>
      <c r="F116" s="45">
        <v>-1.1652332432277034E-12</v>
      </c>
      <c r="G116" s="45">
        <v>0</v>
      </c>
    </row>
    <row r="117" spans="1:7" ht="11.25" customHeight="1" x14ac:dyDescent="0.2">
      <c r="A117" s="55">
        <v>44652</v>
      </c>
      <c r="B117" s="45">
        <v>0</v>
      </c>
      <c r="C117" s="45">
        <v>-8.0152062764682343E-13</v>
      </c>
      <c r="D117" s="45">
        <v>0</v>
      </c>
      <c r="E117" s="45">
        <v>0</v>
      </c>
      <c r="F117" s="45">
        <v>-8.0152062764682343E-13</v>
      </c>
      <c r="G117" s="45">
        <v>0</v>
      </c>
    </row>
    <row r="118" spans="1:7" ht="11.25" customHeight="1" x14ac:dyDescent="0.2">
      <c r="A118" s="55">
        <v>44682</v>
      </c>
      <c r="B118" s="45">
        <v>0</v>
      </c>
      <c r="C118" s="45">
        <v>-5.5729287851136179E-13</v>
      </c>
      <c r="D118" s="45">
        <v>0</v>
      </c>
      <c r="E118" s="45">
        <v>0</v>
      </c>
      <c r="F118" s="45">
        <v>-5.5729287851136179E-13</v>
      </c>
      <c r="G118" s="45">
        <v>0</v>
      </c>
    </row>
    <row r="119" spans="1:7" ht="11.25" customHeight="1" x14ac:dyDescent="0.2">
      <c r="A119" s="55">
        <v>44713</v>
      </c>
      <c r="B119" s="45">
        <v>0</v>
      </c>
      <c r="C119" s="45">
        <v>-7.2606098910910076E-13</v>
      </c>
      <c r="D119" s="45">
        <v>0</v>
      </c>
      <c r="E119" s="45">
        <v>0</v>
      </c>
      <c r="F119" s="45">
        <v>-7.2606098910910076E-13</v>
      </c>
      <c r="G119" s="45">
        <v>0</v>
      </c>
    </row>
    <row r="120" spans="1:7" ht="11.25" customHeight="1" x14ac:dyDescent="0.2">
      <c r="A120" s="55">
        <v>44743</v>
      </c>
      <c r="B120" s="45">
        <v>0</v>
      </c>
      <c r="C120" s="45">
        <v>-7.0843952926225024E-13</v>
      </c>
      <c r="D120" s="45">
        <v>0</v>
      </c>
      <c r="E120" s="45">
        <v>0</v>
      </c>
      <c r="F120" s="45">
        <v>-7.0843952926225024E-13</v>
      </c>
      <c r="G120" s="45">
        <v>0</v>
      </c>
    </row>
    <row r="121" spans="1:7" ht="11.25" customHeight="1" x14ac:dyDescent="0.2">
      <c r="A121" s="55">
        <v>44774</v>
      </c>
      <c r="B121" s="45">
        <v>0</v>
      </c>
      <c r="C121" s="45">
        <v>-7.0843952926225024E-13</v>
      </c>
      <c r="D121" s="45">
        <v>0</v>
      </c>
      <c r="E121" s="45">
        <v>0</v>
      </c>
      <c r="F121" s="45">
        <v>-7.0843952926225024E-13</v>
      </c>
      <c r="G121" s="45">
        <v>0</v>
      </c>
    </row>
    <row r="122" spans="1:7" ht="11.25" customHeight="1" x14ac:dyDescent="0.2">
      <c r="A122" s="47" t="s">
        <v>647</v>
      </c>
      <c r="B122" s="45">
        <v>0</v>
      </c>
      <c r="C122" s="45">
        <v>168623.13372999991</v>
      </c>
      <c r="D122" s="45">
        <v>0</v>
      </c>
      <c r="E122" s="45">
        <v>184756.70617069083</v>
      </c>
      <c r="F122" s="45">
        <v>168623.13372999991</v>
      </c>
      <c r="G122" s="45">
        <v>184756.70617069083</v>
      </c>
    </row>
    <row r="123" spans="1:7" ht="11.25" customHeight="1" x14ac:dyDescent="0.2">
      <c r="A123" s="48" t="s">
        <v>42</v>
      </c>
      <c r="B123" s="45">
        <v>0</v>
      </c>
      <c r="C123" s="45">
        <v>168623.13372999991</v>
      </c>
      <c r="D123" s="45">
        <v>0</v>
      </c>
      <c r="E123" s="45">
        <v>184756.70617069083</v>
      </c>
      <c r="F123" s="45">
        <v>168623.13372999991</v>
      </c>
      <c r="G123" s="45">
        <v>184756.70617069083</v>
      </c>
    </row>
    <row r="124" spans="1:7" ht="11.25" customHeight="1" x14ac:dyDescent="0.2">
      <c r="A124" s="49" t="s">
        <v>23</v>
      </c>
      <c r="B124" s="45">
        <v>0</v>
      </c>
      <c r="C124" s="45">
        <v>168623.13372999991</v>
      </c>
      <c r="D124" s="45">
        <v>0</v>
      </c>
      <c r="E124" s="45">
        <v>184756.70617069083</v>
      </c>
      <c r="F124" s="45">
        <v>168623.13372999991</v>
      </c>
      <c r="G124" s="45">
        <v>184756.70617069083</v>
      </c>
    </row>
    <row r="125" spans="1:7" ht="11.25" customHeight="1" x14ac:dyDescent="0.2">
      <c r="A125" s="50" t="s">
        <v>43</v>
      </c>
      <c r="B125" s="45">
        <v>0</v>
      </c>
      <c r="C125" s="45">
        <v>168623.13372999991</v>
      </c>
      <c r="D125" s="45">
        <v>0</v>
      </c>
      <c r="E125" s="45">
        <v>184756.70617069083</v>
      </c>
      <c r="F125" s="45">
        <v>168623.13372999991</v>
      </c>
      <c r="G125" s="45">
        <v>184756.70617069083</v>
      </c>
    </row>
    <row r="126" spans="1:7" ht="11.25" customHeight="1" x14ac:dyDescent="0.2">
      <c r="A126" s="51" t="s">
        <v>51</v>
      </c>
      <c r="B126" s="45">
        <v>0</v>
      </c>
      <c r="C126" s="45">
        <v>164734.89432199995</v>
      </c>
      <c r="D126" s="45">
        <v>0</v>
      </c>
      <c r="E126" s="45">
        <v>180496.4466799887</v>
      </c>
      <c r="F126" s="45">
        <v>164734.89432199995</v>
      </c>
      <c r="G126" s="45">
        <v>180496.4466799887</v>
      </c>
    </row>
    <row r="127" spans="1:7" ht="11.25" customHeight="1" x14ac:dyDescent="0.2">
      <c r="A127" s="52" t="s">
        <v>53</v>
      </c>
      <c r="B127" s="45">
        <v>0</v>
      </c>
      <c r="C127" s="45">
        <v>164734.89432199995</v>
      </c>
      <c r="D127" s="45">
        <v>0</v>
      </c>
      <c r="E127" s="45">
        <v>180496.4466799887</v>
      </c>
      <c r="F127" s="45">
        <v>164734.89432199995</v>
      </c>
      <c r="G127" s="45">
        <v>180496.4466799887</v>
      </c>
    </row>
    <row r="128" spans="1:7" ht="11.25" customHeight="1" x14ac:dyDescent="0.2">
      <c r="A128" s="53" t="s">
        <v>25</v>
      </c>
      <c r="B128" s="45">
        <v>0</v>
      </c>
      <c r="C128" s="45">
        <v>164734.89432199995</v>
      </c>
      <c r="D128" s="45">
        <v>0</v>
      </c>
      <c r="E128" s="45">
        <v>180496.4466799887</v>
      </c>
      <c r="F128" s="45">
        <v>164734.89432199995</v>
      </c>
      <c r="G128" s="45">
        <v>180496.4466799887</v>
      </c>
    </row>
    <row r="129" spans="1:7" ht="11.25" customHeight="1" x14ac:dyDescent="0.2">
      <c r="A129" s="54" t="s">
        <v>25</v>
      </c>
      <c r="B129" s="45">
        <v>0</v>
      </c>
      <c r="C129" s="45">
        <v>164734.89432199995</v>
      </c>
      <c r="D129" s="45">
        <v>0</v>
      </c>
      <c r="E129" s="45">
        <v>180496.4466799887</v>
      </c>
      <c r="F129" s="45">
        <v>164734.89432199995</v>
      </c>
      <c r="G129" s="45">
        <v>180496.4466799887</v>
      </c>
    </row>
    <row r="130" spans="1:7" ht="11.25" customHeight="1" x14ac:dyDescent="0.2">
      <c r="A130" s="55">
        <v>44440</v>
      </c>
      <c r="B130" s="45">
        <v>0</v>
      </c>
      <c r="C130" s="45">
        <v>26937.967069999992</v>
      </c>
      <c r="D130" s="45">
        <v>0</v>
      </c>
      <c r="E130" s="45">
        <v>29515.345591648631</v>
      </c>
      <c r="F130" s="45">
        <v>26937.967069999992</v>
      </c>
      <c r="G130" s="45">
        <v>29515.345591648631</v>
      </c>
    </row>
    <row r="131" spans="1:7" ht="11.25" customHeight="1" x14ac:dyDescent="0.2">
      <c r="A131" s="55">
        <v>44470</v>
      </c>
      <c r="B131" s="45">
        <v>0</v>
      </c>
      <c r="C131" s="45">
        <v>20776.277632000001</v>
      </c>
      <c r="D131" s="45">
        <v>0</v>
      </c>
      <c r="E131" s="45">
        <v>22764.116268426314</v>
      </c>
      <c r="F131" s="45">
        <v>20776.277632000001</v>
      </c>
      <c r="G131" s="45">
        <v>22764.116268426314</v>
      </c>
    </row>
    <row r="132" spans="1:7" ht="11.25" customHeight="1" x14ac:dyDescent="0.2">
      <c r="A132" s="55">
        <v>44501</v>
      </c>
      <c r="B132" s="45">
        <v>0</v>
      </c>
      <c r="C132" s="45">
        <v>28396.318013999997</v>
      </c>
      <c r="D132" s="45">
        <v>0</v>
      </c>
      <c r="E132" s="45">
        <v>31113.22905457719</v>
      </c>
      <c r="F132" s="45">
        <v>28396.318013999997</v>
      </c>
      <c r="G132" s="45">
        <v>31113.22905457719</v>
      </c>
    </row>
    <row r="133" spans="1:7" ht="11.25" customHeight="1" x14ac:dyDescent="0.2">
      <c r="A133" s="55">
        <v>44531</v>
      </c>
      <c r="B133" s="45">
        <v>0</v>
      </c>
      <c r="C133" s="45">
        <v>33465.550073999999</v>
      </c>
      <c r="D133" s="45">
        <v>0</v>
      </c>
      <c r="E133" s="45">
        <v>36667.476550179497</v>
      </c>
      <c r="F133" s="45">
        <v>33465.550073999999</v>
      </c>
      <c r="G133" s="45">
        <v>36667.476550179497</v>
      </c>
    </row>
    <row r="134" spans="1:7" ht="11.25" customHeight="1" x14ac:dyDescent="0.2">
      <c r="A134" s="55">
        <v>44562</v>
      </c>
      <c r="B134" s="45">
        <v>0</v>
      </c>
      <c r="C134" s="45">
        <v>37941.151816000005</v>
      </c>
      <c r="D134" s="45">
        <v>0</v>
      </c>
      <c r="E134" s="45">
        <v>41571.296196348318</v>
      </c>
      <c r="F134" s="45">
        <v>37941.151816000005</v>
      </c>
      <c r="G134" s="45">
        <v>41571.296196348318</v>
      </c>
    </row>
    <row r="135" spans="1:7" ht="11.25" customHeight="1" x14ac:dyDescent="0.2">
      <c r="A135" s="55">
        <v>44593</v>
      </c>
      <c r="B135" s="45">
        <v>0</v>
      </c>
      <c r="C135" s="45">
        <v>10765.262519999998</v>
      </c>
      <c r="D135" s="45">
        <v>0</v>
      </c>
      <c r="E135" s="45">
        <v>11795.264387878779</v>
      </c>
      <c r="F135" s="45">
        <v>10765.262519999998</v>
      </c>
      <c r="G135" s="45">
        <v>11795.264387878779</v>
      </c>
    </row>
    <row r="136" spans="1:7" ht="11.25" customHeight="1" x14ac:dyDescent="0.2">
      <c r="A136" s="55">
        <v>44621</v>
      </c>
      <c r="B136" s="45">
        <v>0</v>
      </c>
      <c r="C136" s="45">
        <v>3744.3369419999995</v>
      </c>
      <c r="D136" s="45">
        <v>0</v>
      </c>
      <c r="E136" s="45">
        <v>4102.5886833822915</v>
      </c>
      <c r="F136" s="45">
        <v>3744.3369419999995</v>
      </c>
      <c r="G136" s="45">
        <v>4102.5886833822915</v>
      </c>
    </row>
    <row r="137" spans="1:7" ht="11.25" customHeight="1" x14ac:dyDescent="0.2">
      <c r="A137" s="55">
        <v>44652</v>
      </c>
      <c r="B137" s="45">
        <v>0</v>
      </c>
      <c r="C137" s="45">
        <v>418.12676599999998</v>
      </c>
      <c r="D137" s="45">
        <v>0</v>
      </c>
      <c r="E137" s="45">
        <v>458.13241836472406</v>
      </c>
      <c r="F137" s="45">
        <v>418.12676599999998</v>
      </c>
      <c r="G137" s="45">
        <v>458.13241836472406</v>
      </c>
    </row>
    <row r="138" spans="1:7" ht="11.25" customHeight="1" x14ac:dyDescent="0.2">
      <c r="A138" s="55">
        <v>44682</v>
      </c>
      <c r="B138" s="45">
        <v>0</v>
      </c>
      <c r="C138" s="45">
        <v>324.36817199999996</v>
      </c>
      <c r="D138" s="45">
        <v>0</v>
      </c>
      <c r="E138" s="45">
        <v>355.40316277888024</v>
      </c>
      <c r="F138" s="45">
        <v>324.36817199999996</v>
      </c>
      <c r="G138" s="45">
        <v>355.40316277888024</v>
      </c>
    </row>
    <row r="139" spans="1:7" ht="11.25" customHeight="1" x14ac:dyDescent="0.2">
      <c r="A139" s="55">
        <v>44713</v>
      </c>
      <c r="B139" s="45">
        <v>0</v>
      </c>
      <c r="C139" s="45">
        <v>167.66857199999998</v>
      </c>
      <c r="D139" s="45">
        <v>0</v>
      </c>
      <c r="E139" s="45">
        <v>183.71081361033907</v>
      </c>
      <c r="F139" s="45">
        <v>167.66857199999998</v>
      </c>
      <c r="G139" s="45">
        <v>183.71081361033907</v>
      </c>
    </row>
    <row r="140" spans="1:7" ht="11.25" customHeight="1" x14ac:dyDescent="0.2">
      <c r="A140" s="55">
        <v>44743</v>
      </c>
      <c r="B140" s="45">
        <v>0</v>
      </c>
      <c r="C140" s="45">
        <v>898.93337199999996</v>
      </c>
      <c r="D140" s="45">
        <v>0</v>
      </c>
      <c r="E140" s="45">
        <v>984.9417763968645</v>
      </c>
      <c r="F140" s="45">
        <v>898.93337199999996</v>
      </c>
      <c r="G140" s="45">
        <v>984.9417763968645</v>
      </c>
    </row>
    <row r="141" spans="1:7" ht="11.25" customHeight="1" x14ac:dyDescent="0.2">
      <c r="A141" s="55">
        <v>44774</v>
      </c>
      <c r="B141" s="45">
        <v>0</v>
      </c>
      <c r="C141" s="45">
        <v>898.93337199999996</v>
      </c>
      <c r="D141" s="45">
        <v>0</v>
      </c>
      <c r="E141" s="45">
        <v>984.9417763968645</v>
      </c>
      <c r="F141" s="45">
        <v>898.93337199999996</v>
      </c>
      <c r="G141" s="45">
        <v>984.9417763968645</v>
      </c>
    </row>
    <row r="142" spans="1:7" ht="11.25" customHeight="1" x14ac:dyDescent="0.2">
      <c r="A142" s="51" t="s">
        <v>54</v>
      </c>
      <c r="B142" s="45">
        <v>0</v>
      </c>
      <c r="C142" s="45">
        <v>3888.239407999999</v>
      </c>
      <c r="D142" s="45">
        <v>0</v>
      </c>
      <c r="E142" s="45">
        <v>4260.2594907020684</v>
      </c>
      <c r="F142" s="45">
        <v>3888.239407999999</v>
      </c>
      <c r="G142" s="45">
        <v>4260.2594907020684</v>
      </c>
    </row>
    <row r="143" spans="1:7" ht="11.25" customHeight="1" x14ac:dyDescent="0.2">
      <c r="A143" s="52" t="s">
        <v>53</v>
      </c>
      <c r="B143" s="45">
        <v>0</v>
      </c>
      <c r="C143" s="45">
        <v>3888.239407999999</v>
      </c>
      <c r="D143" s="45">
        <v>0</v>
      </c>
      <c r="E143" s="45">
        <v>4260.2594907020684</v>
      </c>
      <c r="F143" s="45">
        <v>3888.239407999999</v>
      </c>
      <c r="G143" s="45">
        <v>4260.2594907020684</v>
      </c>
    </row>
    <row r="144" spans="1:7" ht="11.25" customHeight="1" x14ac:dyDescent="0.2">
      <c r="A144" s="53" t="s">
        <v>25</v>
      </c>
      <c r="B144" s="45">
        <v>0</v>
      </c>
      <c r="C144" s="45">
        <v>3888.239407999999</v>
      </c>
      <c r="D144" s="45">
        <v>0</v>
      </c>
      <c r="E144" s="45">
        <v>4260.2594907020684</v>
      </c>
      <c r="F144" s="45">
        <v>3888.239407999999</v>
      </c>
      <c r="G144" s="45">
        <v>4260.2594907020684</v>
      </c>
    </row>
    <row r="145" spans="1:7" ht="11.25" customHeight="1" x14ac:dyDescent="0.2">
      <c r="A145" s="54" t="s">
        <v>25</v>
      </c>
      <c r="B145" s="45">
        <v>0</v>
      </c>
      <c r="C145" s="45">
        <v>3888.239407999999</v>
      </c>
      <c r="D145" s="45">
        <v>0</v>
      </c>
      <c r="E145" s="45">
        <v>4260.2594907020684</v>
      </c>
      <c r="F145" s="45">
        <v>3888.239407999999</v>
      </c>
      <c r="G145" s="45">
        <v>4260.2594907020684</v>
      </c>
    </row>
    <row r="146" spans="1:7" ht="11.25" customHeight="1" x14ac:dyDescent="0.2">
      <c r="A146" s="55">
        <v>44440</v>
      </c>
      <c r="B146" s="45">
        <v>0</v>
      </c>
      <c r="C146" s="45">
        <v>10.968971999999999</v>
      </c>
      <c r="D146" s="45">
        <v>0</v>
      </c>
      <c r="E146" s="45">
        <v>12.018464441797883</v>
      </c>
      <c r="F146" s="45">
        <v>10.968971999999999</v>
      </c>
      <c r="G146" s="45">
        <v>12.018464441797883</v>
      </c>
    </row>
    <row r="147" spans="1:7" ht="11.25" customHeight="1" x14ac:dyDescent="0.2">
      <c r="A147" s="55">
        <v>44470</v>
      </c>
      <c r="B147" s="45">
        <v>0</v>
      </c>
      <c r="C147" s="45">
        <v>8.6184779999999996</v>
      </c>
      <c r="D147" s="45">
        <v>0</v>
      </c>
      <c r="E147" s="45">
        <v>9.4430792042697647</v>
      </c>
      <c r="F147" s="45">
        <v>8.6184779999999996</v>
      </c>
      <c r="G147" s="45">
        <v>9.4430792042697647</v>
      </c>
    </row>
    <row r="148" spans="1:7" ht="11.25" customHeight="1" x14ac:dyDescent="0.2">
      <c r="A148" s="55">
        <v>44501</v>
      </c>
      <c r="B148" s="45">
        <v>0</v>
      </c>
      <c r="C148" s="45">
        <v>6.7903159999999989</v>
      </c>
      <c r="D148" s="45">
        <v>0</v>
      </c>
      <c r="E148" s="45">
        <v>7.4400017973034505</v>
      </c>
      <c r="F148" s="45">
        <v>6.7903159999999989</v>
      </c>
      <c r="G148" s="45">
        <v>7.4400017973034505</v>
      </c>
    </row>
    <row r="149" spans="1:7" ht="11.25" customHeight="1" x14ac:dyDescent="0.2">
      <c r="A149" s="55">
        <v>44531</v>
      </c>
      <c r="B149" s="45">
        <v>0</v>
      </c>
      <c r="C149" s="45">
        <v>187.25602199999997</v>
      </c>
      <c r="D149" s="45">
        <v>0</v>
      </c>
      <c r="E149" s="45">
        <v>205.17235725640668</v>
      </c>
      <c r="F149" s="45">
        <v>187.25602199999997</v>
      </c>
      <c r="G149" s="45">
        <v>205.17235725640668</v>
      </c>
    </row>
    <row r="150" spans="1:7" ht="11.25" customHeight="1" x14ac:dyDescent="0.2">
      <c r="A150" s="55">
        <v>44562</v>
      </c>
      <c r="B150" s="45">
        <v>0</v>
      </c>
      <c r="C150" s="45">
        <v>518.15334399999983</v>
      </c>
      <c r="D150" s="45">
        <v>0</v>
      </c>
      <c r="E150" s="45">
        <v>567.72936791730945</v>
      </c>
      <c r="F150" s="45">
        <v>518.15334399999983</v>
      </c>
      <c r="G150" s="45">
        <v>567.72936791730945</v>
      </c>
    </row>
    <row r="151" spans="1:7" ht="11.25" customHeight="1" x14ac:dyDescent="0.2">
      <c r="A151" s="55">
        <v>44593</v>
      </c>
      <c r="B151" s="45">
        <v>0</v>
      </c>
      <c r="C151" s="45">
        <v>639.59553399999982</v>
      </c>
      <c r="D151" s="45">
        <v>0</v>
      </c>
      <c r="E151" s="45">
        <v>700.79093852292885</v>
      </c>
      <c r="F151" s="45">
        <v>639.59553399999982</v>
      </c>
      <c r="G151" s="45">
        <v>700.79093852292885</v>
      </c>
    </row>
    <row r="152" spans="1:7" ht="11.25" customHeight="1" x14ac:dyDescent="0.2">
      <c r="A152" s="55">
        <v>44621</v>
      </c>
      <c r="B152" s="45">
        <v>0</v>
      </c>
      <c r="C152" s="45">
        <v>841.21568599999989</v>
      </c>
      <c r="D152" s="45">
        <v>0</v>
      </c>
      <c r="E152" s="45">
        <v>921.70176111978526</v>
      </c>
      <c r="F152" s="45">
        <v>841.21568599999989</v>
      </c>
      <c r="G152" s="45">
        <v>921.70176111978526</v>
      </c>
    </row>
    <row r="153" spans="1:7" ht="11.25" customHeight="1" x14ac:dyDescent="0.2">
      <c r="A153" s="55">
        <v>44652</v>
      </c>
      <c r="B153" s="45">
        <v>0</v>
      </c>
      <c r="C153" s="45">
        <v>781.14750600000002</v>
      </c>
      <c r="D153" s="45">
        <v>0</v>
      </c>
      <c r="E153" s="45">
        <v>855.88636060517774</v>
      </c>
      <c r="F153" s="45">
        <v>781.14750600000002</v>
      </c>
      <c r="G153" s="45">
        <v>855.88636060517774</v>
      </c>
    </row>
    <row r="154" spans="1:7" ht="11.25" customHeight="1" x14ac:dyDescent="0.2">
      <c r="A154" s="55">
        <v>44682</v>
      </c>
      <c r="B154" s="45">
        <v>0</v>
      </c>
      <c r="C154" s="45">
        <v>527.55531999999994</v>
      </c>
      <c r="D154" s="45">
        <v>0</v>
      </c>
      <c r="E154" s="45">
        <v>578.030908867422</v>
      </c>
      <c r="F154" s="45">
        <v>527.55531999999994</v>
      </c>
      <c r="G154" s="45">
        <v>578.030908867422</v>
      </c>
    </row>
    <row r="155" spans="1:7" ht="11.25" customHeight="1" x14ac:dyDescent="0.2">
      <c r="A155" s="55">
        <v>44713</v>
      </c>
      <c r="B155" s="45">
        <v>0</v>
      </c>
      <c r="C155" s="45">
        <v>289.63309399999997</v>
      </c>
      <c r="D155" s="45">
        <v>0</v>
      </c>
      <c r="E155" s="45">
        <v>317.34469204652027</v>
      </c>
      <c r="F155" s="45">
        <v>289.63309399999997</v>
      </c>
      <c r="G155" s="45">
        <v>317.34469204652027</v>
      </c>
    </row>
    <row r="156" spans="1:7" ht="11.25" customHeight="1" x14ac:dyDescent="0.2">
      <c r="A156" s="55">
        <v>44743</v>
      </c>
      <c r="B156" s="45">
        <v>0</v>
      </c>
      <c r="C156" s="45">
        <v>38.652567999999988</v>
      </c>
      <c r="D156" s="45">
        <v>0</v>
      </c>
      <c r="E156" s="45">
        <v>42.350779461573488</v>
      </c>
      <c r="F156" s="45">
        <v>38.652567999999988</v>
      </c>
      <c r="G156" s="45">
        <v>42.350779461573488</v>
      </c>
    </row>
    <row r="157" spans="1:7" ht="11.25" customHeight="1" x14ac:dyDescent="0.2">
      <c r="A157" s="55">
        <v>44774</v>
      </c>
      <c r="B157" s="45">
        <v>0</v>
      </c>
      <c r="C157" s="45">
        <v>38.652567999999988</v>
      </c>
      <c r="D157" s="45">
        <v>0</v>
      </c>
      <c r="E157" s="45">
        <v>42.350779461573488</v>
      </c>
      <c r="F157" s="45">
        <v>38.652567999999988</v>
      </c>
      <c r="G157" s="45">
        <v>42.350779461573488</v>
      </c>
    </row>
    <row r="158" spans="1:7" ht="11.25" customHeight="1" x14ac:dyDescent="0.2">
      <c r="A158" s="47" t="s">
        <v>646</v>
      </c>
      <c r="B158" s="45">
        <v>0</v>
      </c>
      <c r="C158" s="45">
        <v>742322.39423999947</v>
      </c>
      <c r="D158" s="45">
        <v>0</v>
      </c>
      <c r="E158" s="45">
        <v>422262.80496586714</v>
      </c>
      <c r="F158" s="45">
        <v>742322.39423999935</v>
      </c>
      <c r="G158" s="45">
        <v>422262.8049658672</v>
      </c>
    </row>
    <row r="159" spans="1:7" ht="11.25" customHeight="1" x14ac:dyDescent="0.2">
      <c r="A159" s="48" t="s">
        <v>42</v>
      </c>
      <c r="B159" s="45">
        <v>0</v>
      </c>
      <c r="C159" s="45">
        <v>742322.39423999947</v>
      </c>
      <c r="D159" s="45">
        <v>0</v>
      </c>
      <c r="E159" s="45">
        <v>422262.80496586714</v>
      </c>
      <c r="F159" s="45">
        <v>742322.39423999935</v>
      </c>
      <c r="G159" s="45">
        <v>422262.8049658672</v>
      </c>
    </row>
    <row r="160" spans="1:7" ht="11.25" customHeight="1" x14ac:dyDescent="0.2">
      <c r="A160" s="49" t="s">
        <v>23</v>
      </c>
      <c r="B160" s="45">
        <v>0</v>
      </c>
      <c r="C160" s="45">
        <v>742322.39423999947</v>
      </c>
      <c r="D160" s="45">
        <v>0</v>
      </c>
      <c r="E160" s="45">
        <v>422262.80496586714</v>
      </c>
      <c r="F160" s="45">
        <v>742322.39423999935</v>
      </c>
      <c r="G160" s="45">
        <v>422262.8049658672</v>
      </c>
    </row>
    <row r="161" spans="1:7" ht="11.25" customHeight="1" x14ac:dyDescent="0.2">
      <c r="A161" s="50" t="s">
        <v>43</v>
      </c>
      <c r="B161" s="45">
        <v>0</v>
      </c>
      <c r="C161" s="45">
        <v>742322.39423999947</v>
      </c>
      <c r="D161" s="45">
        <v>0</v>
      </c>
      <c r="E161" s="45">
        <v>422262.80496586714</v>
      </c>
      <c r="F161" s="45">
        <v>742322.39423999935</v>
      </c>
      <c r="G161" s="45">
        <v>422262.8049658672</v>
      </c>
    </row>
    <row r="162" spans="1:7" ht="11.25" customHeight="1" x14ac:dyDescent="0.2">
      <c r="A162" s="51" t="s">
        <v>51</v>
      </c>
      <c r="B162" s="45">
        <v>0</v>
      </c>
      <c r="C162" s="45">
        <v>49582.732639999958</v>
      </c>
      <c r="D162" s="45">
        <v>0</v>
      </c>
      <c r="E162" s="45">
        <v>28204.65060046396</v>
      </c>
      <c r="F162" s="45">
        <v>49582.732639999958</v>
      </c>
      <c r="G162" s="45">
        <v>28204.65060046396</v>
      </c>
    </row>
    <row r="163" spans="1:7" ht="11.25" customHeight="1" x14ac:dyDescent="0.2">
      <c r="A163" s="52" t="s">
        <v>52</v>
      </c>
      <c r="B163" s="45">
        <v>0</v>
      </c>
      <c r="C163" s="45">
        <v>49582.732639999958</v>
      </c>
      <c r="D163" s="45">
        <v>0</v>
      </c>
      <c r="E163" s="45">
        <v>28204.65060046396</v>
      </c>
      <c r="F163" s="45">
        <v>49582.732639999958</v>
      </c>
      <c r="G163" s="45">
        <v>28204.65060046396</v>
      </c>
    </row>
    <row r="164" spans="1:7" ht="11.25" customHeight="1" x14ac:dyDescent="0.2">
      <c r="A164" s="53" t="s">
        <v>25</v>
      </c>
      <c r="B164" s="45">
        <v>0</v>
      </c>
      <c r="C164" s="45">
        <v>49582.732639999958</v>
      </c>
      <c r="D164" s="45">
        <v>0</v>
      </c>
      <c r="E164" s="45">
        <v>28204.65060046396</v>
      </c>
      <c r="F164" s="45">
        <v>49582.732639999958</v>
      </c>
      <c r="G164" s="45">
        <v>28204.65060046396</v>
      </c>
    </row>
    <row r="165" spans="1:7" ht="11.25" customHeight="1" x14ac:dyDescent="0.2">
      <c r="A165" s="54" t="s">
        <v>25</v>
      </c>
      <c r="B165" s="45">
        <v>0</v>
      </c>
      <c r="C165" s="45">
        <v>49582.732639999958</v>
      </c>
      <c r="D165" s="45">
        <v>0</v>
      </c>
      <c r="E165" s="45">
        <v>28204.65060046396</v>
      </c>
      <c r="F165" s="45">
        <v>49582.732639999958</v>
      </c>
      <c r="G165" s="45">
        <v>28204.65060046396</v>
      </c>
    </row>
    <row r="166" spans="1:7" ht="11.25" customHeight="1" x14ac:dyDescent="0.2">
      <c r="A166" s="55">
        <v>44440</v>
      </c>
      <c r="B166" s="45">
        <v>0</v>
      </c>
      <c r="C166" s="45">
        <v>10571.31186999999</v>
      </c>
      <c r="D166" s="45">
        <v>0</v>
      </c>
      <c r="E166" s="45">
        <v>6013.3869556304317</v>
      </c>
      <c r="F166" s="45">
        <v>10571.31186999999</v>
      </c>
      <c r="G166" s="45">
        <v>6013.3869556304317</v>
      </c>
    </row>
    <row r="167" spans="1:7" ht="11.25" customHeight="1" x14ac:dyDescent="0.2">
      <c r="A167" s="55">
        <v>44470</v>
      </c>
      <c r="B167" s="45">
        <v>0</v>
      </c>
      <c r="C167" s="45">
        <v>6764.1575399999956</v>
      </c>
      <c r="D167" s="45">
        <v>0</v>
      </c>
      <c r="E167" s="45">
        <v>3847.7245981453798</v>
      </c>
      <c r="F167" s="45">
        <v>6764.1575399999956</v>
      </c>
      <c r="G167" s="45">
        <v>3847.7245981453798</v>
      </c>
    </row>
    <row r="168" spans="1:7" ht="11.25" customHeight="1" x14ac:dyDescent="0.2">
      <c r="A168" s="55">
        <v>44501</v>
      </c>
      <c r="B168" s="45">
        <v>0</v>
      </c>
      <c r="C168" s="45">
        <v>8307.5474999999933</v>
      </c>
      <c r="D168" s="45">
        <v>0</v>
      </c>
      <c r="E168" s="45">
        <v>4725.6668220668244</v>
      </c>
      <c r="F168" s="45">
        <v>8307.5474999999933</v>
      </c>
      <c r="G168" s="45">
        <v>4725.6668220668244</v>
      </c>
    </row>
    <row r="169" spans="1:7" ht="11.25" customHeight="1" x14ac:dyDescent="0.2">
      <c r="A169" s="55">
        <v>44531</v>
      </c>
      <c r="B169" s="45">
        <v>0</v>
      </c>
      <c r="C169" s="45">
        <v>7893.2584499999939</v>
      </c>
      <c r="D169" s="45">
        <v>0</v>
      </c>
      <c r="E169" s="45">
        <v>4490.0025639532741</v>
      </c>
      <c r="F169" s="45">
        <v>7893.2584499999939</v>
      </c>
      <c r="G169" s="45">
        <v>4490.0025639532741</v>
      </c>
    </row>
    <row r="170" spans="1:7" ht="11.25" customHeight="1" x14ac:dyDescent="0.2">
      <c r="A170" s="55">
        <v>44562</v>
      </c>
      <c r="B170" s="45">
        <v>0</v>
      </c>
      <c r="C170" s="45">
        <v>9694.702359999992</v>
      </c>
      <c r="D170" s="45">
        <v>0</v>
      </c>
      <c r="E170" s="45">
        <v>5514.7362434539127</v>
      </c>
      <c r="F170" s="45">
        <v>9694.702359999992</v>
      </c>
      <c r="G170" s="45">
        <v>5514.7362434539127</v>
      </c>
    </row>
    <row r="171" spans="1:7" ht="11.25" customHeight="1" x14ac:dyDescent="0.2">
      <c r="A171" s="55">
        <v>44593</v>
      </c>
      <c r="B171" s="45">
        <v>0</v>
      </c>
      <c r="C171" s="45">
        <v>2461.6944099999982</v>
      </c>
      <c r="D171" s="45">
        <v>0</v>
      </c>
      <c r="E171" s="45">
        <v>1400.3106933068234</v>
      </c>
      <c r="F171" s="45">
        <v>2461.6944099999982</v>
      </c>
      <c r="G171" s="45">
        <v>1400.3106933068234</v>
      </c>
    </row>
    <row r="172" spans="1:7" ht="11.25" customHeight="1" x14ac:dyDescent="0.2">
      <c r="A172" s="55">
        <v>44621</v>
      </c>
      <c r="B172" s="45">
        <v>0</v>
      </c>
      <c r="C172" s="45">
        <v>1127.069369999999</v>
      </c>
      <c r="D172" s="45">
        <v>0</v>
      </c>
      <c r="E172" s="45">
        <v>641.12234422695246</v>
      </c>
      <c r="F172" s="45">
        <v>1127.069369999999</v>
      </c>
      <c r="G172" s="45">
        <v>641.12234422695246</v>
      </c>
    </row>
    <row r="173" spans="1:7" ht="11.25" customHeight="1" x14ac:dyDescent="0.2">
      <c r="A173" s="55">
        <v>44652</v>
      </c>
      <c r="B173" s="45">
        <v>0</v>
      </c>
      <c r="C173" s="45">
        <v>968.51250999999922</v>
      </c>
      <c r="D173" s="45">
        <v>0</v>
      </c>
      <c r="E173" s="45">
        <v>550.92883131437577</v>
      </c>
      <c r="F173" s="45">
        <v>968.51250999999922</v>
      </c>
      <c r="G173" s="45">
        <v>550.92883131437577</v>
      </c>
    </row>
    <row r="174" spans="1:7" ht="11.25" customHeight="1" x14ac:dyDescent="0.2">
      <c r="A174" s="55">
        <v>44682</v>
      </c>
      <c r="B174" s="45">
        <v>0</v>
      </c>
      <c r="C174" s="45">
        <v>34.632919999999956</v>
      </c>
      <c r="D174" s="45">
        <v>0</v>
      </c>
      <c r="E174" s="45">
        <v>19.700596475108284</v>
      </c>
      <c r="F174" s="45">
        <v>34.632919999999956</v>
      </c>
      <c r="G174" s="45">
        <v>19.700596475108284</v>
      </c>
    </row>
    <row r="175" spans="1:7" ht="11.25" customHeight="1" x14ac:dyDescent="0.2">
      <c r="A175" s="55">
        <v>44713</v>
      </c>
      <c r="B175" s="45">
        <v>0</v>
      </c>
      <c r="C175" s="45">
        <v>442.34364999999963</v>
      </c>
      <c r="D175" s="45">
        <v>0</v>
      </c>
      <c r="E175" s="45">
        <v>251.62284185037038</v>
      </c>
      <c r="F175" s="45">
        <v>442.34364999999963</v>
      </c>
      <c r="G175" s="45">
        <v>251.62284185037038</v>
      </c>
    </row>
    <row r="176" spans="1:7" ht="11.25" customHeight="1" x14ac:dyDescent="0.2">
      <c r="A176" s="55">
        <v>44743</v>
      </c>
      <c r="B176" s="45">
        <v>0</v>
      </c>
      <c r="C176" s="45">
        <v>658.75102999999945</v>
      </c>
      <c r="D176" s="45">
        <v>0</v>
      </c>
      <c r="E176" s="45">
        <v>374.72405502025089</v>
      </c>
      <c r="F176" s="45">
        <v>658.75102999999945</v>
      </c>
      <c r="G176" s="45">
        <v>374.72405502025089</v>
      </c>
    </row>
    <row r="177" spans="1:7" ht="11.25" customHeight="1" x14ac:dyDescent="0.2">
      <c r="A177" s="55">
        <v>44774</v>
      </c>
      <c r="B177" s="45">
        <v>0</v>
      </c>
      <c r="C177" s="45">
        <v>658.75102999999945</v>
      </c>
      <c r="D177" s="45">
        <v>0</v>
      </c>
      <c r="E177" s="45">
        <v>374.72405502025089</v>
      </c>
      <c r="F177" s="45">
        <v>658.75102999999945</v>
      </c>
      <c r="G177" s="45">
        <v>374.72405502025089</v>
      </c>
    </row>
    <row r="178" spans="1:7" ht="11.25" customHeight="1" x14ac:dyDescent="0.2">
      <c r="A178" s="51" t="s">
        <v>54</v>
      </c>
      <c r="B178" s="45">
        <v>0</v>
      </c>
      <c r="C178" s="45">
        <v>382.36484999999976</v>
      </c>
      <c r="D178" s="45">
        <v>0</v>
      </c>
      <c r="E178" s="45">
        <v>217.50449041303202</v>
      </c>
      <c r="F178" s="45">
        <v>382.36484999999976</v>
      </c>
      <c r="G178" s="45">
        <v>217.50449041303202</v>
      </c>
    </row>
    <row r="179" spans="1:7" ht="11.25" customHeight="1" x14ac:dyDescent="0.2">
      <c r="A179" s="52" t="s">
        <v>52</v>
      </c>
      <c r="B179" s="45">
        <v>0</v>
      </c>
      <c r="C179" s="45">
        <v>382.36484999999976</v>
      </c>
      <c r="D179" s="45">
        <v>0</v>
      </c>
      <c r="E179" s="45">
        <v>217.50449041303202</v>
      </c>
      <c r="F179" s="45">
        <v>382.36484999999976</v>
      </c>
      <c r="G179" s="45">
        <v>217.50449041303202</v>
      </c>
    </row>
    <row r="180" spans="1:7" ht="11.25" customHeight="1" x14ac:dyDescent="0.2">
      <c r="A180" s="53" t="s">
        <v>25</v>
      </c>
      <c r="B180" s="45">
        <v>0</v>
      </c>
      <c r="C180" s="45">
        <v>382.36484999999976</v>
      </c>
      <c r="D180" s="45">
        <v>0</v>
      </c>
      <c r="E180" s="45">
        <v>217.50449041303202</v>
      </c>
      <c r="F180" s="45">
        <v>382.36484999999976</v>
      </c>
      <c r="G180" s="45">
        <v>217.50449041303202</v>
      </c>
    </row>
    <row r="181" spans="1:7" ht="11.25" customHeight="1" x14ac:dyDescent="0.2">
      <c r="A181" s="54" t="s">
        <v>25</v>
      </c>
      <c r="B181" s="45">
        <v>0</v>
      </c>
      <c r="C181" s="45">
        <v>382.36484999999976</v>
      </c>
      <c r="D181" s="45">
        <v>0</v>
      </c>
      <c r="E181" s="45">
        <v>217.50449041303202</v>
      </c>
      <c r="F181" s="45">
        <v>382.36484999999976</v>
      </c>
      <c r="G181" s="45">
        <v>217.50449041303202</v>
      </c>
    </row>
    <row r="182" spans="1:7" ht="11.25" customHeight="1" x14ac:dyDescent="0.2">
      <c r="A182" s="55">
        <v>44440</v>
      </c>
      <c r="B182" s="45">
        <v>0</v>
      </c>
      <c r="C182" s="45">
        <v>3.2407899999999978</v>
      </c>
      <c r="D182" s="45">
        <v>0</v>
      </c>
      <c r="E182" s="45">
        <v>1.8434915695981209</v>
      </c>
      <c r="F182" s="45">
        <v>3.2407899999999978</v>
      </c>
      <c r="G182" s="45">
        <v>1.8434915695981209</v>
      </c>
    </row>
    <row r="183" spans="1:7" ht="11.25" customHeight="1" x14ac:dyDescent="0.2">
      <c r="A183" s="55">
        <v>44470</v>
      </c>
      <c r="B183" s="45">
        <v>0</v>
      </c>
      <c r="C183" s="45">
        <v>3.2407899999999978</v>
      </c>
      <c r="D183" s="45">
        <v>0</v>
      </c>
      <c r="E183" s="45">
        <v>1.8434915695981209</v>
      </c>
      <c r="F183" s="45">
        <v>3.2407899999999978</v>
      </c>
      <c r="G183" s="45">
        <v>1.8434915695981209</v>
      </c>
    </row>
    <row r="184" spans="1:7" ht="11.25" customHeight="1" x14ac:dyDescent="0.2">
      <c r="A184" s="55">
        <v>44501</v>
      </c>
      <c r="B184" s="45">
        <v>0</v>
      </c>
      <c r="C184" s="45">
        <v>3.5793799999999969</v>
      </c>
      <c r="D184" s="45">
        <v>0</v>
      </c>
      <c r="E184" s="45">
        <v>2.0360951664218052</v>
      </c>
      <c r="F184" s="45">
        <v>3.5793799999999969</v>
      </c>
      <c r="G184" s="45">
        <v>2.0360951664218052</v>
      </c>
    </row>
    <row r="185" spans="1:7" ht="11.25" customHeight="1" x14ac:dyDescent="0.2">
      <c r="A185" s="55">
        <v>44531</v>
      </c>
      <c r="B185" s="45">
        <v>0</v>
      </c>
      <c r="C185" s="45">
        <v>13.35011999999999</v>
      </c>
      <c r="D185" s="45">
        <v>0</v>
      </c>
      <c r="E185" s="45">
        <v>7.5940846747624091</v>
      </c>
      <c r="F185" s="45">
        <v>13.35011999999999</v>
      </c>
      <c r="G185" s="45">
        <v>7.5940846747624091</v>
      </c>
    </row>
    <row r="186" spans="1:7" ht="11.25" customHeight="1" x14ac:dyDescent="0.2">
      <c r="A186" s="55">
        <v>44562</v>
      </c>
      <c r="B186" s="45">
        <v>0</v>
      </c>
      <c r="C186" s="45">
        <v>46.87052999999996</v>
      </c>
      <c r="D186" s="45">
        <v>0</v>
      </c>
      <c r="E186" s="45">
        <v>26.66184076030715</v>
      </c>
      <c r="F186" s="45">
        <v>46.87052999999996</v>
      </c>
      <c r="G186" s="45">
        <v>26.66184076030715</v>
      </c>
    </row>
    <row r="187" spans="1:7" ht="11.25" customHeight="1" x14ac:dyDescent="0.2">
      <c r="A187" s="55">
        <v>44593</v>
      </c>
      <c r="B187" s="45">
        <v>0</v>
      </c>
      <c r="C187" s="45">
        <v>50.740129999999958</v>
      </c>
      <c r="D187" s="45">
        <v>0</v>
      </c>
      <c r="E187" s="45">
        <v>28.863024724006397</v>
      </c>
      <c r="F187" s="45">
        <v>50.740129999999958</v>
      </c>
      <c r="G187" s="45">
        <v>28.863024724006397</v>
      </c>
    </row>
    <row r="188" spans="1:7" ht="11.25" customHeight="1" x14ac:dyDescent="0.2">
      <c r="A188" s="55">
        <v>44621</v>
      </c>
      <c r="B188" s="45">
        <v>0</v>
      </c>
      <c r="C188" s="45">
        <v>81.116489999999942</v>
      </c>
      <c r="D188" s="45">
        <v>0</v>
      </c>
      <c r="E188" s="45">
        <v>46.142318839045501</v>
      </c>
      <c r="F188" s="45">
        <v>81.116489999999942</v>
      </c>
      <c r="G188" s="45">
        <v>46.142318839045501</v>
      </c>
    </row>
    <row r="189" spans="1:7" ht="11.25" customHeight="1" x14ac:dyDescent="0.2">
      <c r="A189" s="55">
        <v>44652</v>
      </c>
      <c r="B189" s="45">
        <v>0</v>
      </c>
      <c r="C189" s="45">
        <v>77.633849999999939</v>
      </c>
      <c r="D189" s="45">
        <v>0</v>
      </c>
      <c r="E189" s="45">
        <v>44.161253271716177</v>
      </c>
      <c r="F189" s="45">
        <v>77.633849999999939</v>
      </c>
      <c r="G189" s="45">
        <v>44.161253271716177</v>
      </c>
    </row>
    <row r="190" spans="1:7" ht="11.25" customHeight="1" x14ac:dyDescent="0.2">
      <c r="A190" s="55">
        <v>44682</v>
      </c>
      <c r="B190" s="45">
        <v>0</v>
      </c>
      <c r="C190" s="45">
        <v>53.352109999999954</v>
      </c>
      <c r="D190" s="45">
        <v>0</v>
      </c>
      <c r="E190" s="45">
        <v>30.348823899503394</v>
      </c>
      <c r="F190" s="45">
        <v>53.352109999999954</v>
      </c>
      <c r="G190" s="45">
        <v>30.348823899503394</v>
      </c>
    </row>
    <row r="191" spans="1:7" ht="11.25" customHeight="1" x14ac:dyDescent="0.2">
      <c r="A191" s="55">
        <v>44713</v>
      </c>
      <c r="B191" s="45">
        <v>0</v>
      </c>
      <c r="C191" s="45">
        <v>39.179699999999968</v>
      </c>
      <c r="D191" s="45">
        <v>0</v>
      </c>
      <c r="E191" s="45">
        <v>22.286987632454895</v>
      </c>
      <c r="F191" s="45">
        <v>39.179699999999968</v>
      </c>
      <c r="G191" s="45">
        <v>22.286987632454895</v>
      </c>
    </row>
    <row r="192" spans="1:7" ht="11.25" customHeight="1" x14ac:dyDescent="0.2">
      <c r="A192" s="55">
        <v>44743</v>
      </c>
      <c r="B192" s="45">
        <v>0</v>
      </c>
      <c r="C192" s="45">
        <v>5.0304799999999954</v>
      </c>
      <c r="D192" s="45">
        <v>0</v>
      </c>
      <c r="E192" s="45">
        <v>2.8615391528090233</v>
      </c>
      <c r="F192" s="45">
        <v>5.0304799999999954</v>
      </c>
      <c r="G192" s="45">
        <v>2.8615391528090233</v>
      </c>
    </row>
    <row r="193" spans="1:7" ht="11.25" customHeight="1" x14ac:dyDescent="0.2">
      <c r="A193" s="55">
        <v>44774</v>
      </c>
      <c r="B193" s="45">
        <v>0</v>
      </c>
      <c r="C193" s="45">
        <v>5.0304799999999954</v>
      </c>
      <c r="D193" s="45">
        <v>0</v>
      </c>
      <c r="E193" s="45">
        <v>2.8615391528090233</v>
      </c>
      <c r="F193" s="45">
        <v>5.0304799999999954</v>
      </c>
      <c r="G193" s="45">
        <v>2.8615391528090233</v>
      </c>
    </row>
    <row r="194" spans="1:7" ht="11.25" customHeight="1" x14ac:dyDescent="0.2">
      <c r="A194" s="51" t="s">
        <v>25</v>
      </c>
      <c r="B194" s="45">
        <v>0</v>
      </c>
      <c r="C194" s="45">
        <v>692357.29674999951</v>
      </c>
      <c r="D194" s="45">
        <v>0</v>
      </c>
      <c r="E194" s="45">
        <v>393840.64987499017</v>
      </c>
      <c r="F194" s="45">
        <v>692357.2967499994</v>
      </c>
      <c r="G194" s="45">
        <v>393840.64987499022</v>
      </c>
    </row>
    <row r="195" spans="1:7" ht="11.25" customHeight="1" x14ac:dyDescent="0.2">
      <c r="A195" s="52" t="s">
        <v>25</v>
      </c>
      <c r="B195" s="45">
        <v>0</v>
      </c>
      <c r="C195" s="45">
        <v>692357.29674999951</v>
      </c>
      <c r="D195" s="45">
        <v>0</v>
      </c>
      <c r="E195" s="45">
        <v>393840.64987499017</v>
      </c>
      <c r="F195" s="45">
        <v>692357.2967499994</v>
      </c>
      <c r="G195" s="45">
        <v>393840.64987499022</v>
      </c>
    </row>
    <row r="196" spans="1:7" ht="11.25" customHeight="1" x14ac:dyDescent="0.2">
      <c r="A196" s="53" t="s">
        <v>25</v>
      </c>
      <c r="B196" s="45">
        <v>0</v>
      </c>
      <c r="C196" s="45">
        <v>692357.29674999951</v>
      </c>
      <c r="D196" s="45">
        <v>0</v>
      </c>
      <c r="E196" s="45">
        <v>393840.64987499017</v>
      </c>
      <c r="F196" s="45">
        <v>692357.2967499994</v>
      </c>
      <c r="G196" s="45">
        <v>393840.64987499022</v>
      </c>
    </row>
    <row r="197" spans="1:7" ht="11.25" customHeight="1" x14ac:dyDescent="0.2">
      <c r="A197" s="54" t="s">
        <v>25</v>
      </c>
      <c r="B197" s="45">
        <v>0</v>
      </c>
      <c r="C197" s="45">
        <v>692357.29674999951</v>
      </c>
      <c r="D197" s="45">
        <v>0</v>
      </c>
      <c r="E197" s="45">
        <v>393840.64987499017</v>
      </c>
      <c r="F197" s="45">
        <v>692357.2967499994</v>
      </c>
      <c r="G197" s="45">
        <v>393840.64987499022</v>
      </c>
    </row>
    <row r="198" spans="1:7" ht="11.25" customHeight="1" x14ac:dyDescent="0.2">
      <c r="A198" s="55">
        <v>44440</v>
      </c>
      <c r="B198" s="45">
        <v>0</v>
      </c>
      <c r="C198" s="45">
        <v>55601.750329999959</v>
      </c>
      <c r="D198" s="45">
        <v>0</v>
      </c>
      <c r="E198" s="45">
        <v>31628.509711599498</v>
      </c>
      <c r="F198" s="45">
        <v>55601.750329999959</v>
      </c>
      <c r="G198" s="45">
        <v>31628.509711599498</v>
      </c>
    </row>
    <row r="199" spans="1:7" ht="11.25" customHeight="1" x14ac:dyDescent="0.2">
      <c r="A199" s="55">
        <v>44470</v>
      </c>
      <c r="B199" s="45">
        <v>0</v>
      </c>
      <c r="C199" s="45">
        <v>56750.489459999953</v>
      </c>
      <c r="D199" s="45">
        <v>0</v>
      </c>
      <c r="E199" s="45">
        <v>32281.958686023165</v>
      </c>
      <c r="F199" s="45">
        <v>56750.489459999953</v>
      </c>
      <c r="G199" s="45">
        <v>32281.958686023165</v>
      </c>
    </row>
    <row r="200" spans="1:7" ht="11.25" customHeight="1" x14ac:dyDescent="0.2">
      <c r="A200" s="55">
        <v>44501</v>
      </c>
      <c r="B200" s="45">
        <v>0</v>
      </c>
      <c r="C200" s="45">
        <v>60714.943029999951</v>
      </c>
      <c r="D200" s="45">
        <v>0</v>
      </c>
      <c r="E200" s="45">
        <v>34537.099171632595</v>
      </c>
      <c r="F200" s="45">
        <v>60714.943029999951</v>
      </c>
      <c r="G200" s="45">
        <v>34537.099171632595</v>
      </c>
    </row>
    <row r="201" spans="1:7" ht="11.25" customHeight="1" x14ac:dyDescent="0.2">
      <c r="A201" s="55">
        <v>44531</v>
      </c>
      <c r="B201" s="45">
        <v>0</v>
      </c>
      <c r="C201" s="45">
        <v>60612.592109999947</v>
      </c>
      <c r="D201" s="45">
        <v>0</v>
      </c>
      <c r="E201" s="45">
        <v>34478.877855792744</v>
      </c>
      <c r="F201" s="45">
        <v>60612.592109999947</v>
      </c>
      <c r="G201" s="45">
        <v>34478.877855792744</v>
      </c>
    </row>
    <row r="202" spans="1:7" ht="11.25" customHeight="1" x14ac:dyDescent="0.2">
      <c r="A202" s="55">
        <v>44562</v>
      </c>
      <c r="B202" s="45">
        <v>0</v>
      </c>
      <c r="C202" s="45">
        <v>72312.376079999944</v>
      </c>
      <c r="D202" s="45">
        <v>0</v>
      </c>
      <c r="E202" s="45">
        <v>41134.185084836972</v>
      </c>
      <c r="F202" s="45">
        <v>72312.376079999944</v>
      </c>
      <c r="G202" s="45">
        <v>41134.185084836972</v>
      </c>
    </row>
    <row r="203" spans="1:7" ht="11.25" customHeight="1" x14ac:dyDescent="0.2">
      <c r="A203" s="55">
        <v>44593</v>
      </c>
      <c r="B203" s="45">
        <v>0</v>
      </c>
      <c r="C203" s="45">
        <v>69793.798549999949</v>
      </c>
      <c r="D203" s="45">
        <v>0</v>
      </c>
      <c r="E203" s="45">
        <v>39701.516987263778</v>
      </c>
      <c r="F203" s="45">
        <v>69793.798549999949</v>
      </c>
      <c r="G203" s="45">
        <v>39701.516987263778</v>
      </c>
    </row>
    <row r="204" spans="1:7" ht="11.25" customHeight="1" x14ac:dyDescent="0.2">
      <c r="A204" s="55">
        <v>44621</v>
      </c>
      <c r="B204" s="45">
        <v>0</v>
      </c>
      <c r="C204" s="45">
        <v>70628.374529999943</v>
      </c>
      <c r="D204" s="45">
        <v>0</v>
      </c>
      <c r="E204" s="45">
        <v>40176.257338634605</v>
      </c>
      <c r="F204" s="45">
        <v>70628.374529999943</v>
      </c>
      <c r="G204" s="45">
        <v>40176.257338634605</v>
      </c>
    </row>
    <row r="205" spans="1:7" ht="11.25" customHeight="1" x14ac:dyDescent="0.2">
      <c r="A205" s="55">
        <v>44652</v>
      </c>
      <c r="B205" s="45">
        <v>0</v>
      </c>
      <c r="C205" s="45">
        <v>56902.226149999959</v>
      </c>
      <c r="D205" s="45">
        <v>0</v>
      </c>
      <c r="E205" s="45">
        <v>32368.272612199722</v>
      </c>
      <c r="F205" s="45">
        <v>56902.226149999959</v>
      </c>
      <c r="G205" s="45">
        <v>32368.272612199722</v>
      </c>
    </row>
    <row r="206" spans="1:7" ht="11.25" customHeight="1" x14ac:dyDescent="0.2">
      <c r="A206" s="55">
        <v>44682</v>
      </c>
      <c r="B206" s="45">
        <v>0</v>
      </c>
      <c r="C206" s="45">
        <v>48230.64602999996</v>
      </c>
      <c r="D206" s="45">
        <v>0</v>
      </c>
      <c r="E206" s="45">
        <v>27435.529408747891</v>
      </c>
      <c r="F206" s="45">
        <v>48230.64602999996</v>
      </c>
      <c r="G206" s="45">
        <v>27435.529408747891</v>
      </c>
    </row>
    <row r="207" spans="1:7" ht="11.25" customHeight="1" x14ac:dyDescent="0.2">
      <c r="A207" s="55">
        <v>44713</v>
      </c>
      <c r="B207" s="45">
        <v>0</v>
      </c>
      <c r="C207" s="45">
        <v>46635.161579999964</v>
      </c>
      <c r="D207" s="45">
        <v>0</v>
      </c>
      <c r="E207" s="45">
        <v>26527.953745715145</v>
      </c>
      <c r="F207" s="45">
        <v>46635.161579999964</v>
      </c>
      <c r="G207" s="45">
        <v>26527.953745715145</v>
      </c>
    </row>
    <row r="208" spans="1:7" ht="11.25" customHeight="1" x14ac:dyDescent="0.2">
      <c r="A208" s="55">
        <v>44743</v>
      </c>
      <c r="B208" s="45">
        <v>0</v>
      </c>
      <c r="C208" s="45">
        <v>47087.46944999996</v>
      </c>
      <c r="D208" s="45">
        <v>0</v>
      </c>
      <c r="E208" s="45">
        <v>26785.24463627204</v>
      </c>
      <c r="F208" s="45">
        <v>47087.46944999996</v>
      </c>
      <c r="G208" s="45">
        <v>26785.24463627204</v>
      </c>
    </row>
    <row r="209" spans="1:7" ht="11.25" customHeight="1" x14ac:dyDescent="0.2">
      <c r="A209" s="55">
        <v>44774</v>
      </c>
      <c r="B209" s="45">
        <v>0</v>
      </c>
      <c r="C209" s="45">
        <v>47087.46944999996</v>
      </c>
      <c r="D209" s="45">
        <v>0</v>
      </c>
      <c r="E209" s="45">
        <v>26785.24463627204</v>
      </c>
      <c r="F209" s="45">
        <v>47087.46944999996</v>
      </c>
      <c r="G209" s="45">
        <v>26785.24463627204</v>
      </c>
    </row>
    <row r="210" spans="1:7" ht="11.25" customHeight="1" x14ac:dyDescent="0.2">
      <c r="A210" s="47" t="s">
        <v>654</v>
      </c>
      <c r="B210" s="45">
        <v>0</v>
      </c>
      <c r="C210" s="45">
        <v>0</v>
      </c>
      <c r="D210" s="45">
        <v>0</v>
      </c>
      <c r="E210" s="45">
        <v>0</v>
      </c>
      <c r="F210" s="45">
        <v>0</v>
      </c>
      <c r="G210" s="45">
        <v>0</v>
      </c>
    </row>
    <row r="211" spans="1:7" ht="11.25" customHeight="1" x14ac:dyDescent="0.2">
      <c r="A211" s="48" t="s">
        <v>22</v>
      </c>
      <c r="B211" s="45">
        <v>0</v>
      </c>
      <c r="C211" s="45">
        <v>0</v>
      </c>
      <c r="D211" s="45">
        <v>0</v>
      </c>
      <c r="E211" s="45">
        <v>0</v>
      </c>
      <c r="F211" s="45">
        <v>0</v>
      </c>
      <c r="G211" s="45">
        <v>0</v>
      </c>
    </row>
    <row r="212" spans="1:7" ht="11.25" customHeight="1" x14ac:dyDescent="0.2">
      <c r="A212" s="49" t="s">
        <v>23</v>
      </c>
      <c r="B212" s="45">
        <v>0</v>
      </c>
      <c r="C212" s="45">
        <v>0</v>
      </c>
      <c r="D212" s="45">
        <v>0</v>
      </c>
      <c r="E212" s="45">
        <v>0</v>
      </c>
      <c r="F212" s="45">
        <v>0</v>
      </c>
      <c r="G212" s="45">
        <v>0</v>
      </c>
    </row>
    <row r="213" spans="1:7" ht="11.25" customHeight="1" x14ac:dyDescent="0.2">
      <c r="A213" s="50" t="s">
        <v>24</v>
      </c>
      <c r="B213" s="45">
        <v>0</v>
      </c>
      <c r="C213" s="45">
        <v>0</v>
      </c>
      <c r="D213" s="45">
        <v>0</v>
      </c>
      <c r="E213" s="45">
        <v>0</v>
      </c>
      <c r="F213" s="45">
        <v>0</v>
      </c>
      <c r="G213" s="45">
        <v>0</v>
      </c>
    </row>
    <row r="214" spans="1:7" ht="11.25" customHeight="1" x14ac:dyDescent="0.2">
      <c r="A214" s="51" t="s">
        <v>24</v>
      </c>
      <c r="B214" s="45">
        <v>0</v>
      </c>
      <c r="C214" s="45">
        <v>0</v>
      </c>
      <c r="D214" s="45">
        <v>0</v>
      </c>
      <c r="E214" s="45">
        <v>0</v>
      </c>
      <c r="F214" s="45">
        <v>0</v>
      </c>
      <c r="G214" s="45">
        <v>0</v>
      </c>
    </row>
    <row r="215" spans="1:7" ht="11.25" customHeight="1" x14ac:dyDescent="0.2">
      <c r="A215" s="52" t="s">
        <v>25</v>
      </c>
      <c r="B215" s="45">
        <v>0</v>
      </c>
      <c r="C215" s="45">
        <v>0</v>
      </c>
      <c r="D215" s="45">
        <v>0</v>
      </c>
      <c r="E215" s="45">
        <v>0</v>
      </c>
      <c r="F215" s="45">
        <v>0</v>
      </c>
      <c r="G215" s="45">
        <v>0</v>
      </c>
    </row>
    <row r="216" spans="1:7" ht="11.25" customHeight="1" x14ac:dyDescent="0.2">
      <c r="A216" s="53" t="s">
        <v>25</v>
      </c>
      <c r="B216" s="45">
        <v>0</v>
      </c>
      <c r="C216" s="45">
        <v>0</v>
      </c>
      <c r="D216" s="45">
        <v>0</v>
      </c>
      <c r="E216" s="45">
        <v>0</v>
      </c>
      <c r="F216" s="45">
        <v>0</v>
      </c>
      <c r="G216" s="45">
        <v>0</v>
      </c>
    </row>
    <row r="217" spans="1:7" ht="11.25" customHeight="1" x14ac:dyDescent="0.2">
      <c r="A217" s="54" t="s">
        <v>25</v>
      </c>
      <c r="B217" s="45">
        <v>0</v>
      </c>
      <c r="C217" s="45">
        <v>0</v>
      </c>
      <c r="D217" s="45">
        <v>0</v>
      </c>
      <c r="E217" s="45">
        <v>0</v>
      </c>
      <c r="F217" s="45">
        <v>0</v>
      </c>
      <c r="G217" s="45">
        <v>0</v>
      </c>
    </row>
    <row r="218" spans="1:7" ht="11.25" customHeight="1" x14ac:dyDescent="0.2">
      <c r="A218" s="55">
        <v>44440</v>
      </c>
      <c r="B218" s="45">
        <v>0</v>
      </c>
      <c r="C218" s="45">
        <v>0</v>
      </c>
      <c r="D218" s="45">
        <v>0</v>
      </c>
      <c r="E218" s="45">
        <v>0</v>
      </c>
      <c r="F218" s="45">
        <v>0</v>
      </c>
      <c r="G218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1391-D005-41F7-8783-545EA85C3ABE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2" t="s">
        <v>724</v>
      </c>
      <c r="B1" s="109"/>
      <c r="C1" s="109"/>
      <c r="D1" s="109"/>
      <c r="E1" s="109"/>
      <c r="F1" s="109"/>
      <c r="G1" s="109"/>
      <c r="H1" s="109"/>
      <c r="I1" s="109"/>
      <c r="J1" s="109"/>
      <c r="L1" s="82" t="s">
        <v>734</v>
      </c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ht="11.25" customHeight="1" x14ac:dyDescent="0.25">
      <c r="A2" s="100" t="s">
        <v>64</v>
      </c>
      <c r="B2" s="100" t="s">
        <v>65</v>
      </c>
      <c r="C2" s="100" t="s">
        <v>725</v>
      </c>
      <c r="D2" s="100" t="s">
        <v>70</v>
      </c>
      <c r="E2" s="100" t="s">
        <v>726</v>
      </c>
      <c r="F2" s="108"/>
      <c r="G2" s="108"/>
      <c r="H2" s="100" t="s">
        <v>490</v>
      </c>
      <c r="I2" s="108"/>
      <c r="J2" s="108"/>
      <c r="L2" s="100" t="s">
        <v>64</v>
      </c>
      <c r="M2" s="100" t="s">
        <v>65</v>
      </c>
      <c r="N2" s="100" t="s">
        <v>66</v>
      </c>
      <c r="O2" s="100" t="s">
        <v>67</v>
      </c>
      <c r="P2" s="100" t="s">
        <v>70</v>
      </c>
      <c r="Q2" s="100" t="s">
        <v>726</v>
      </c>
      <c r="R2" s="106"/>
      <c r="S2" s="106"/>
      <c r="T2" s="100" t="s">
        <v>490</v>
      </c>
      <c r="U2" s="106"/>
      <c r="V2" s="106"/>
    </row>
    <row r="3" spans="1:22" ht="11.25" customHeight="1" x14ac:dyDescent="0.25">
      <c r="A3" s="108"/>
      <c r="B3" s="108"/>
      <c r="C3" s="108"/>
      <c r="D3" s="108"/>
      <c r="E3" s="100" t="s">
        <v>448</v>
      </c>
      <c r="F3" s="108"/>
      <c r="G3" s="36" t="s">
        <v>476</v>
      </c>
      <c r="H3" s="100" t="s">
        <v>448</v>
      </c>
      <c r="I3" s="108"/>
      <c r="J3" s="36" t="s">
        <v>476</v>
      </c>
      <c r="L3" s="106"/>
      <c r="M3" s="106"/>
      <c r="N3" s="106"/>
      <c r="O3" s="106"/>
      <c r="P3" s="106"/>
      <c r="Q3" s="100" t="s">
        <v>448</v>
      </c>
      <c r="R3" s="106"/>
      <c r="S3" s="36" t="s">
        <v>476</v>
      </c>
      <c r="T3" s="100" t="s">
        <v>448</v>
      </c>
      <c r="U3" s="106"/>
      <c r="V3" s="36" t="s">
        <v>476</v>
      </c>
    </row>
    <row r="4" spans="1:22" ht="11.25" customHeight="1" x14ac:dyDescent="0.25">
      <c r="A4" s="108"/>
      <c r="B4" s="108"/>
      <c r="C4" s="108"/>
      <c r="D4" s="108"/>
      <c r="E4" s="36" t="s">
        <v>727</v>
      </c>
      <c r="F4" s="36" t="s">
        <v>728</v>
      </c>
      <c r="G4" s="36" t="s">
        <v>728</v>
      </c>
      <c r="H4" s="36" t="s">
        <v>727</v>
      </c>
      <c r="I4" s="36" t="s">
        <v>728</v>
      </c>
      <c r="J4" s="36" t="s">
        <v>728</v>
      </c>
      <c r="L4" s="106"/>
      <c r="M4" s="106"/>
      <c r="N4" s="106"/>
      <c r="O4" s="106"/>
      <c r="P4" s="106"/>
      <c r="Q4" s="36" t="s">
        <v>727</v>
      </c>
      <c r="R4" s="36" t="s">
        <v>728</v>
      </c>
      <c r="S4" s="36" t="s">
        <v>728</v>
      </c>
      <c r="T4" s="36" t="s">
        <v>727</v>
      </c>
      <c r="U4" s="36" t="s">
        <v>728</v>
      </c>
      <c r="V4" s="36" t="s">
        <v>728</v>
      </c>
    </row>
    <row r="5" spans="1:22" ht="11.25" customHeight="1" x14ac:dyDescent="0.25">
      <c r="A5" s="107" t="s">
        <v>35</v>
      </c>
      <c r="B5" s="107" t="s">
        <v>36</v>
      </c>
      <c r="C5" s="107" t="s">
        <v>25</v>
      </c>
      <c r="D5" s="37" t="s">
        <v>729</v>
      </c>
      <c r="E5" s="35">
        <f ca="1">ROUND('TUSD BE'!$AM$5+'TUSD BF'!$AM$5+'TUSD CVA'!$AM$5,2)</f>
        <v>27.29</v>
      </c>
      <c r="F5" s="35">
        <f ca="1">ROUND('TUSD BE'!$AM$7+'TUSD BF'!$AM$7+'TUSD CVA'!$AM$7,2)</f>
        <v>92.63</v>
      </c>
      <c r="G5" s="35">
        <f>ROUND('TE BE'!$AB$5+'TE BF'!$AB$5+'TE CVA'!$AB$5,2)</f>
        <v>114.77</v>
      </c>
      <c r="H5" s="35">
        <f ca="1">ROUND('TUSD BE'!$AM$5,2)</f>
        <v>27.13</v>
      </c>
      <c r="I5" s="35">
        <f ca="1">ROUND('TUSD BE'!$AM$7,2)</f>
        <v>93.58</v>
      </c>
      <c r="J5" s="35">
        <f>ROUND('TE BE'!$AB$5,2)</f>
        <v>116.59</v>
      </c>
      <c r="L5" s="103" t="s">
        <v>22</v>
      </c>
      <c r="M5" s="103" t="s">
        <v>735</v>
      </c>
      <c r="N5" s="103" t="s">
        <v>736</v>
      </c>
      <c r="O5" s="103" t="s">
        <v>736</v>
      </c>
      <c r="P5" s="37" t="s">
        <v>729</v>
      </c>
      <c r="Q5" s="35">
        <v>0</v>
      </c>
      <c r="R5" s="35">
        <f ca="1">ROUND('TUSD BE'!$AM$21+'TUSD BF'!$AM$21+'TUSD CVA'!$AM$21,2)</f>
        <v>675.37</v>
      </c>
      <c r="S5" s="35">
        <f>ROUND('TE BE'!$AB$9+'TE BF'!$AB$9+'TE CVA'!$AB$9,2)</f>
        <v>114.77</v>
      </c>
      <c r="T5" s="35">
        <v>0</v>
      </c>
      <c r="U5" s="35">
        <f ca="1">ROUND('TUSD BE'!$AM$21,2)</f>
        <v>682.59</v>
      </c>
      <c r="V5" s="35">
        <f>ROUND('TE BE'!$AB$9,2)</f>
        <v>116.59</v>
      </c>
    </row>
    <row r="6" spans="1:22" ht="11.25" customHeight="1" x14ac:dyDescent="0.25">
      <c r="A6" s="108"/>
      <c r="B6" s="108"/>
      <c r="C6" s="108"/>
      <c r="D6" s="37" t="s">
        <v>730</v>
      </c>
      <c r="E6" s="35">
        <f ca="1">ROUND('TUSD BE'!$AM$6+'TUSD BF'!$AM$6+'TUSD CVA'!$AM$6,2)</f>
        <v>11.5</v>
      </c>
      <c r="F6" s="35">
        <f ca="1">ROUND('TUSD BE'!$AM$7+'TUSD BF'!$AM$7+'TUSD CVA'!$AM$7,2)</f>
        <v>92.63</v>
      </c>
      <c r="G6" s="35">
        <f>ROUND('TE BE'!$AB$6+'TE BF'!$AB$6+'TE CVA'!$AB$6,2)</f>
        <v>114.77</v>
      </c>
      <c r="H6" s="35">
        <f ca="1">ROUND('TUSD BE'!$AM$6,2)</f>
        <v>10.93</v>
      </c>
      <c r="I6" s="35">
        <f ca="1">ROUND('TUSD BE'!$AM$7,2)</f>
        <v>93.58</v>
      </c>
      <c r="J6" s="35">
        <f>ROUND('TE BE'!$AB$6,2)</f>
        <v>116.59</v>
      </c>
      <c r="L6" s="104"/>
      <c r="M6" s="104"/>
      <c r="N6" s="104"/>
      <c r="O6" s="104"/>
      <c r="P6" s="37" t="s">
        <v>737</v>
      </c>
      <c r="Q6" s="35">
        <v>0</v>
      </c>
      <c r="R6" s="35">
        <f ca="1">ROUND('TUSD BE'!$AM$22+'TUSD BF'!$AM$22+'TUSD CVA'!$AM$22,2)</f>
        <v>464.73</v>
      </c>
      <c r="S6" s="35">
        <f>ROUND('TE BE'!$AB$10+'TE BF'!$AB$10+'TE CVA'!$AB$10,2)</f>
        <v>114.77</v>
      </c>
      <c r="T6" s="35">
        <v>0</v>
      </c>
      <c r="U6" s="35">
        <f ca="1">ROUND('TUSD BE'!$AM$22,2)</f>
        <v>469.71</v>
      </c>
      <c r="V6" s="35">
        <f>ROUND('TE BE'!$AB$10,2)</f>
        <v>116.59</v>
      </c>
    </row>
    <row r="7" spans="1:22" ht="11.25" customHeight="1" x14ac:dyDescent="0.25">
      <c r="A7" s="108"/>
      <c r="B7" s="107" t="s">
        <v>731</v>
      </c>
      <c r="C7" s="107" t="s">
        <v>25</v>
      </c>
      <c r="D7" s="37" t="s">
        <v>729</v>
      </c>
      <c r="E7" s="35">
        <f ca="1">ROUND('TUSD BE'!$AM$5+'TUSD BF'!$AM$5+'TUSD CVA'!$AM$5,2)</f>
        <v>27.29</v>
      </c>
      <c r="F7" s="35">
        <f ca="1">ROUND('TUSD BE'!$AM$8+'TUSD BF'!$AM$8+'TUSD CVA'!$AM$8,2)</f>
        <v>2.84</v>
      </c>
      <c r="G7" s="35">
        <v>0</v>
      </c>
      <c r="H7" s="35">
        <f ca="1">ROUND('TUSD BE'!$AM$5,2)</f>
        <v>27.13</v>
      </c>
      <c r="I7" s="35">
        <f ca="1">ROUND('TUSD BE'!$AM$8,2)</f>
        <v>2.89</v>
      </c>
      <c r="J7" s="35">
        <v>0</v>
      </c>
      <c r="L7" s="104"/>
      <c r="M7" s="105"/>
      <c r="N7" s="105"/>
      <c r="O7" s="105"/>
      <c r="P7" s="37" t="s">
        <v>730</v>
      </c>
      <c r="Q7" s="35">
        <v>0</v>
      </c>
      <c r="R7" s="35">
        <f ca="1">ROUND('TUSD BE'!$AM$23+'TUSD BF'!$AM$23+'TUSD CVA'!$AM$23,2)</f>
        <v>254.1</v>
      </c>
      <c r="S7" s="35">
        <f>ROUND('TE BE'!$AB$11+'TE BF'!$AB$11+'TE CVA'!$AB$11,2)</f>
        <v>114.77</v>
      </c>
      <c r="T7" s="35">
        <v>0</v>
      </c>
      <c r="U7" s="35">
        <f ca="1">ROUND('TUSD BE'!$AM$23,2)</f>
        <v>256.83</v>
      </c>
      <c r="V7" s="35">
        <f>ROUND('TE BE'!$AB$11,2)</f>
        <v>116.59</v>
      </c>
    </row>
    <row r="8" spans="1:22" ht="11.25" customHeight="1" x14ac:dyDescent="0.25">
      <c r="A8" s="108"/>
      <c r="B8" s="108"/>
      <c r="C8" s="108"/>
      <c r="D8" s="37" t="s">
        <v>730</v>
      </c>
      <c r="E8" s="35">
        <f ca="1">ROUND('TUSD BE'!$AM$6+'TUSD BF'!$AM$6+'TUSD CVA'!$AM$6,2)</f>
        <v>11.5</v>
      </c>
      <c r="F8" s="35">
        <f ca="1">ROUND('TUSD BE'!$AM$8+'TUSD BF'!$AM$8+'TUSD CVA'!$AM$8,2)</f>
        <v>2.84</v>
      </c>
      <c r="G8" s="35">
        <v>0</v>
      </c>
      <c r="H8" s="35">
        <f ca="1">ROUND('TUSD BE'!$AM$6,2)</f>
        <v>10.93</v>
      </c>
      <c r="I8" s="35">
        <f ca="1">ROUND('TUSD BE'!$AM$8,2)</f>
        <v>2.89</v>
      </c>
      <c r="J8" s="35">
        <v>0</v>
      </c>
      <c r="L8" s="104"/>
      <c r="M8" s="37" t="s">
        <v>738</v>
      </c>
      <c r="N8" s="37" t="s">
        <v>736</v>
      </c>
      <c r="O8" s="37" t="s">
        <v>736</v>
      </c>
      <c r="P8" s="37" t="s">
        <v>732</v>
      </c>
      <c r="Q8" s="35">
        <v>0</v>
      </c>
      <c r="R8" s="35">
        <f ca="1">ROUND('TUSD BE'!$AM$29+'TUSD BF'!$AM$29+'TUSD CVA'!$AM$29,2)</f>
        <v>343.81</v>
      </c>
      <c r="S8" s="35">
        <f>ROUND('TE BE'!$AB$17+'TE BF'!$AB$17+'TE CVA'!$AB$17,2)</f>
        <v>114.77</v>
      </c>
      <c r="T8" s="35">
        <v>0</v>
      </c>
      <c r="U8" s="35">
        <f ca="1">ROUND('TUSD BE'!$AM$29,2)</f>
        <v>347.5</v>
      </c>
      <c r="V8" s="35">
        <f>ROUND('TE BE'!$AB$17,2)</f>
        <v>116.59</v>
      </c>
    </row>
    <row r="9" spans="1:22" ht="11.25" customHeight="1" x14ac:dyDescent="0.25">
      <c r="A9" s="107" t="s">
        <v>39</v>
      </c>
      <c r="B9" s="107" t="s">
        <v>36</v>
      </c>
      <c r="C9" s="107" t="s">
        <v>25</v>
      </c>
      <c r="D9" s="37" t="s">
        <v>729</v>
      </c>
      <c r="E9" s="35">
        <f ca="1">ROUND('TUSD BE'!$AM$9+'TUSD BF'!$AM$9+'TUSD CVA'!$AM$9,2)</f>
        <v>47.11</v>
      </c>
      <c r="F9" s="35">
        <f ca="1">ROUND('TUSD BE'!$AM$11+'TUSD BF'!$AM$11+'TUSD CVA'!$AM$11,2)</f>
        <v>121.64</v>
      </c>
      <c r="G9" s="35">
        <f>ROUND('TE BE'!$AB$7+'TE BF'!$AB$7+'TE CVA'!$AB$7,2)</f>
        <v>114.77</v>
      </c>
      <c r="H9" s="35">
        <f ca="1">ROUND('TUSD BE'!$AM$9,2)</f>
        <v>47.58</v>
      </c>
      <c r="I9" s="35">
        <f ca="1">ROUND('TUSD BE'!$AM$11,2)</f>
        <v>122.92</v>
      </c>
      <c r="J9" s="35">
        <f>ROUND('TE BE'!$AB$7,2)</f>
        <v>116.59</v>
      </c>
      <c r="L9" s="104"/>
      <c r="M9" s="37" t="s">
        <v>740</v>
      </c>
      <c r="N9" s="37" t="s">
        <v>736</v>
      </c>
      <c r="O9" s="37" t="s">
        <v>736</v>
      </c>
      <c r="P9" s="37" t="s">
        <v>732</v>
      </c>
      <c r="Q9" s="35">
        <v>0</v>
      </c>
      <c r="R9" s="35">
        <f ca="1">ROUND('TUSD BE'!$AM$24+'TUSD BF'!$AM$24+'TUSD CVA'!$AM$24,2)</f>
        <v>343.81</v>
      </c>
      <c r="S9" s="35">
        <f>ROUND('TE BE'!$AB$12+'TE BF'!$AB$12+'TE CVA'!$AB$12,2)</f>
        <v>114.77</v>
      </c>
      <c r="T9" s="35">
        <v>0</v>
      </c>
      <c r="U9" s="35">
        <f ca="1">ROUND('TUSD BE'!$AM$24,2)</f>
        <v>347.5</v>
      </c>
      <c r="V9" s="35">
        <f>ROUND('TE BE'!$AB$12,2)</f>
        <v>116.59</v>
      </c>
    </row>
    <row r="10" spans="1:22" ht="11.25" customHeight="1" x14ac:dyDescent="0.25">
      <c r="A10" s="108"/>
      <c r="B10" s="108"/>
      <c r="C10" s="108"/>
      <c r="D10" s="37" t="s">
        <v>730</v>
      </c>
      <c r="E10" s="35">
        <f ca="1">ROUND('TUSD BE'!$AM$10+'TUSD BF'!$AM$10+'TUSD CVA'!$AM$10,2)</f>
        <v>18.37</v>
      </c>
      <c r="F10" s="35">
        <f ca="1">ROUND('TUSD BE'!$AM$11+'TUSD BF'!$AM$11+'TUSD CVA'!$AM$11,2)</f>
        <v>121.64</v>
      </c>
      <c r="G10" s="35">
        <f>ROUND('TE BE'!$AB$8+'TE BF'!$AB$8+'TE CVA'!$AB$8,2)</f>
        <v>114.77</v>
      </c>
      <c r="H10" s="35">
        <f ca="1">ROUND('TUSD BE'!$AM$10,2)</f>
        <v>18.010000000000002</v>
      </c>
      <c r="I10" s="35">
        <f ca="1">ROUND('TUSD BE'!$AM$11,2)</f>
        <v>122.92</v>
      </c>
      <c r="J10" s="35">
        <f>ROUND('TE BE'!$AB$8,2)</f>
        <v>116.59</v>
      </c>
      <c r="L10" s="104"/>
      <c r="M10" s="37" t="s">
        <v>738</v>
      </c>
      <c r="N10" s="37" t="s">
        <v>736</v>
      </c>
      <c r="O10" s="37" t="s">
        <v>739</v>
      </c>
      <c r="P10" s="37" t="s">
        <v>732</v>
      </c>
      <c r="Q10" s="35">
        <v>0</v>
      </c>
      <c r="R10" s="35">
        <f ca="1">ROUND('TUSD BE'!$AM$30+'TUSD BF'!$AM$30+'TUSD CVA'!$AM$30,2)</f>
        <v>207.72</v>
      </c>
      <c r="S10" s="35">
        <f>ROUND('TE BE'!$AB$18+'TE BF'!$AB$18+'TE CVA'!$AB$18,2)</f>
        <v>114.77</v>
      </c>
      <c r="T10" s="35">
        <v>0</v>
      </c>
      <c r="U10" s="35">
        <f ca="1">ROUND('TUSD BE'!$AM$30,2)</f>
        <v>210</v>
      </c>
      <c r="V10" s="35">
        <f>ROUND('TE BE'!$AB$18,2)</f>
        <v>116.59</v>
      </c>
    </row>
    <row r="11" spans="1:22" ht="11.25" customHeight="1" x14ac:dyDescent="0.25">
      <c r="A11" s="108"/>
      <c r="B11" s="107" t="s">
        <v>731</v>
      </c>
      <c r="C11" s="107" t="s">
        <v>25</v>
      </c>
      <c r="D11" s="37" t="s">
        <v>729</v>
      </c>
      <c r="E11" s="35">
        <f ca="1">ROUND('TUSD BE'!$AM$9+'TUSD BF'!$AM$9+'TUSD CVA'!$AM$9,2)</f>
        <v>47.11</v>
      </c>
      <c r="F11" s="35">
        <f ca="1">ROUND('TUSD BE'!$AM$12+'TUSD BF'!$AM$12+'TUSD CVA'!$AM$12,2)</f>
        <v>5.05</v>
      </c>
      <c r="G11" s="35">
        <v>0</v>
      </c>
      <c r="H11" s="35">
        <f ca="1">ROUND('TUSD BE'!$AM$9,2)</f>
        <v>47.58</v>
      </c>
      <c r="I11" s="35">
        <f ca="1">ROUND('TUSD BE'!$AM$12,2)</f>
        <v>5.13</v>
      </c>
      <c r="J11" s="35">
        <v>0</v>
      </c>
      <c r="L11" s="105"/>
      <c r="M11" s="37" t="s">
        <v>740</v>
      </c>
      <c r="N11" s="37" t="s">
        <v>736</v>
      </c>
      <c r="O11" s="37" t="s">
        <v>739</v>
      </c>
      <c r="P11" s="37" t="s">
        <v>732</v>
      </c>
      <c r="Q11" s="35">
        <v>0</v>
      </c>
      <c r="R11" s="35">
        <f ca="1">ROUND('TUSD BE'!$AM$25+'TUSD BF'!$AM$25+'TUSD CVA'!$AM$25,2)</f>
        <v>207.72</v>
      </c>
      <c r="S11" s="35">
        <f>ROUND('TE BE'!$AB$13+'TE BF'!$AB$13+'TE CVA'!$AB$13,2)</f>
        <v>114.77</v>
      </c>
      <c r="T11" s="35">
        <v>0</v>
      </c>
      <c r="U11" s="35">
        <f ca="1">ROUND('TUSD BE'!$AM$25,2)</f>
        <v>210</v>
      </c>
      <c r="V11" s="35">
        <f>ROUND('TE BE'!$AB$13,2)</f>
        <v>116.59</v>
      </c>
    </row>
    <row r="12" spans="1:22" ht="11.25" customHeight="1" x14ac:dyDescent="0.25">
      <c r="A12" s="108"/>
      <c r="B12" s="108"/>
      <c r="C12" s="108"/>
      <c r="D12" s="37" t="s">
        <v>730</v>
      </c>
      <c r="E12" s="35">
        <f ca="1">ROUND('TUSD BE'!$AM$10+'TUSD BF'!$AM$10+'TUSD CVA'!$AM$10,2)</f>
        <v>18.37</v>
      </c>
      <c r="F12" s="35">
        <f ca="1">ROUND('TUSD BE'!$AM$12+'TUSD BF'!$AM$12+'TUSD CVA'!$AM$12,2)</f>
        <v>5.05</v>
      </c>
      <c r="G12" s="35">
        <v>0</v>
      </c>
      <c r="H12" s="35">
        <f ca="1">ROUND('TUSD BE'!$AM$10,2)</f>
        <v>18.010000000000002</v>
      </c>
      <c r="I12" s="35">
        <f ca="1">ROUND('TUSD BE'!$AM$12,2)</f>
        <v>5.13</v>
      </c>
      <c r="J12" s="35">
        <v>0</v>
      </c>
      <c r="L12" s="103" t="s">
        <v>42</v>
      </c>
      <c r="M12" s="103" t="s">
        <v>735</v>
      </c>
      <c r="N12" s="103" t="s">
        <v>741</v>
      </c>
      <c r="O12" s="103" t="s">
        <v>742</v>
      </c>
      <c r="P12" s="37" t="s">
        <v>729</v>
      </c>
      <c r="Q12" s="35">
        <v>0</v>
      </c>
      <c r="R12" s="35">
        <f ca="1">ROUND(('TUSD BE'!$AM$34+'TUSD BF'!$AM$34+'TUSD CVA'!$AM$34)*(1-CUSTOS!$M$38),2)</f>
        <v>680.68</v>
      </c>
      <c r="S12" s="35">
        <f>ROUND(('TE BE'!$AB$22+'TE BF'!$AB$22+'TE CVA'!$AB$22)*(1-CUSTOS!$M$38),2)</f>
        <v>107.88</v>
      </c>
      <c r="T12" s="35">
        <v>0</v>
      </c>
      <c r="U12" s="35">
        <f ca="1">ROUND('TUSD BE'!$AM$34*(1-CUSTOS!$M$38),2)</f>
        <v>687.95</v>
      </c>
      <c r="V12" s="35">
        <f>ROUND('TE BE'!$AB$22*(1-CUSTOS!$M$38),2)</f>
        <v>109.6</v>
      </c>
    </row>
    <row r="13" spans="1:22" ht="11.25" customHeight="1" x14ac:dyDescent="0.25">
      <c r="A13" s="108"/>
      <c r="B13" s="107" t="s">
        <v>40</v>
      </c>
      <c r="C13" s="107" t="s">
        <v>25</v>
      </c>
      <c r="D13" s="37" t="s">
        <v>732</v>
      </c>
      <c r="E13" s="35">
        <f ca="1">ROUND('TUSD BE'!$AM$14+'TUSD BF'!$AM$14+'TUSD CVA'!$AM$14,2)</f>
        <v>18.37</v>
      </c>
      <c r="F13" s="35">
        <v>0</v>
      </c>
      <c r="G13" s="35">
        <v>0</v>
      </c>
      <c r="H13" s="35">
        <f ca="1">ROUND('TUSD BE'!$AM$14,2)</f>
        <v>18.010000000000002</v>
      </c>
      <c r="I13" s="35">
        <v>0</v>
      </c>
      <c r="J13" s="35">
        <v>0</v>
      </c>
      <c r="L13" s="104"/>
      <c r="M13" s="104"/>
      <c r="N13" s="104"/>
      <c r="O13" s="104"/>
      <c r="P13" s="37" t="s">
        <v>737</v>
      </c>
      <c r="Q13" s="35">
        <v>0</v>
      </c>
      <c r="R13" s="35">
        <f ca="1">ROUND(('TUSD BE'!$AM$35+'TUSD BF'!$AM$35+'TUSD CVA'!$AM$35)*(1-CUSTOS!$M$38),2)</f>
        <v>464.35</v>
      </c>
      <c r="S13" s="35">
        <f>ROUND(('TE BE'!$AB$23+'TE BF'!$AB$23+'TE CVA'!$AB$23)*(1-CUSTOS!$M$38),2)</f>
        <v>107.88</v>
      </c>
      <c r="T13" s="35">
        <v>0</v>
      </c>
      <c r="U13" s="35">
        <f ca="1">ROUND('TUSD BE'!$AM$35*(1-CUSTOS!$M$38),2)</f>
        <v>469.32</v>
      </c>
      <c r="V13" s="35">
        <f>ROUND('TE BE'!$AB$23*(1-CUSTOS!$M$38),2)</f>
        <v>109.6</v>
      </c>
    </row>
    <row r="14" spans="1:22" ht="11.25" customHeight="1" x14ac:dyDescent="0.25">
      <c r="A14" s="108"/>
      <c r="B14" s="108"/>
      <c r="C14" s="108"/>
      <c r="D14" s="37" t="s">
        <v>729</v>
      </c>
      <c r="E14" s="35">
        <v>0</v>
      </c>
      <c r="F14" s="35">
        <f ca="1">ROUND('TUSD BE'!$AM$15+'TUSD BF'!$AM$15+'TUSD CVA'!$AM$15,2)</f>
        <v>1254.5899999999999</v>
      </c>
      <c r="G14" s="35">
        <f>ROUND('TE BE'!$AB$7+'TE BF'!$AB$7+'TE CVA'!$AB$7,2)</f>
        <v>114.77</v>
      </c>
      <c r="H14" s="35">
        <v>0</v>
      </c>
      <c r="I14" s="35">
        <f ca="1">ROUND('TUSD BE'!$AM$15,2)</f>
        <v>1267.33</v>
      </c>
      <c r="J14" s="35">
        <f>ROUND('TE BE'!$AB$7,2)</f>
        <v>116.59</v>
      </c>
      <c r="L14" s="104"/>
      <c r="M14" s="105"/>
      <c r="N14" s="105"/>
      <c r="O14" s="105"/>
      <c r="P14" s="37" t="s">
        <v>730</v>
      </c>
      <c r="Q14" s="35">
        <v>0</v>
      </c>
      <c r="R14" s="35">
        <f ca="1">ROUND(('TUSD BE'!$AM$36+'TUSD BF'!$AM$36+'TUSD CVA'!$AM$36)*(1-CUSTOS!$M$38),2)</f>
        <v>248.02</v>
      </c>
      <c r="S14" s="35">
        <f>ROUND(('TE BE'!$AB$24+'TE BF'!$AB$24+'TE CVA'!$AB$24)*(1-CUSTOS!$M$38),2)</f>
        <v>107.88</v>
      </c>
      <c r="T14" s="35">
        <v>0</v>
      </c>
      <c r="U14" s="35">
        <f ca="1">ROUND('TUSD BE'!$AM$36*(1-CUSTOS!$M$38),2)</f>
        <v>250.68</v>
      </c>
      <c r="V14" s="35">
        <f>ROUND('TE BE'!$AB$24*(1-CUSTOS!$M$38),2)</f>
        <v>109.6</v>
      </c>
    </row>
    <row r="15" spans="1:22" ht="11.25" customHeight="1" x14ac:dyDescent="0.25">
      <c r="A15" s="108"/>
      <c r="B15" s="108"/>
      <c r="C15" s="108"/>
      <c r="D15" s="37" t="s">
        <v>730</v>
      </c>
      <c r="E15" s="35">
        <v>0</v>
      </c>
      <c r="F15" s="35">
        <f ca="1">ROUND('TUSD BE'!$AM$16+'TUSD BF'!$AM$16+'TUSD CVA'!$AM$16,2)</f>
        <v>121.64</v>
      </c>
      <c r="G15" s="35">
        <f>ROUND('TE BE'!$AB$8+'TE BF'!$AB$8+'TE CVA'!$AB$8,2)</f>
        <v>114.77</v>
      </c>
      <c r="H15" s="35">
        <v>0</v>
      </c>
      <c r="I15" s="35">
        <f ca="1">ROUND('TUSD BE'!$AM$16,2)</f>
        <v>122.92</v>
      </c>
      <c r="J15" s="35">
        <f>ROUND('TE BE'!$AB$8,2)</f>
        <v>116.59</v>
      </c>
      <c r="L15" s="104"/>
      <c r="M15" s="37" t="s">
        <v>738</v>
      </c>
      <c r="N15" s="37" t="s">
        <v>741</v>
      </c>
      <c r="O15" s="37" t="s">
        <v>742</v>
      </c>
      <c r="P15" s="37" t="s">
        <v>732</v>
      </c>
      <c r="Q15" s="35">
        <v>0</v>
      </c>
      <c r="R15" s="35">
        <f ca="1">ROUND(('TUSD BE'!$AM$46+'TUSD BF'!$AM$46+'TUSD CVA'!$AM$46)*(1-CUSTOS!$M$38),2)</f>
        <v>323.19</v>
      </c>
      <c r="S15" s="35">
        <f>ROUND(('TE BE'!$AB$34+'TE BF'!$AB$34+'TE CVA'!$AB$34)*(1-CUSTOS!$M$38),2)</f>
        <v>107.88</v>
      </c>
      <c r="T15" s="35">
        <v>0</v>
      </c>
      <c r="U15" s="35">
        <f ca="1">ROUND(('TUSD BE'!$AM$46)*(1-CUSTOS!$M$38),2)</f>
        <v>326.64999999999998</v>
      </c>
      <c r="V15" s="35">
        <f>ROUND(('TE BE'!$AB$34)*(1-CUSTOS!$M$38),2)</f>
        <v>109.6</v>
      </c>
    </row>
    <row r="16" spans="1:22" ht="11.25" customHeight="1" x14ac:dyDescent="0.25">
      <c r="A16" s="108"/>
      <c r="B16" s="107" t="s">
        <v>733</v>
      </c>
      <c r="C16" s="107" t="s">
        <v>25</v>
      </c>
      <c r="D16" s="37" t="s">
        <v>732</v>
      </c>
      <c r="E16" s="35">
        <f ca="1">ROUND('TUSD BE'!$AM$14+'TUSD BF'!$AM$14+'TUSD CVA'!$AM$14,2)</f>
        <v>18.37</v>
      </c>
      <c r="F16" s="35">
        <v>0</v>
      </c>
      <c r="G16" s="35">
        <v>0</v>
      </c>
      <c r="H16" s="35">
        <f ca="1">ROUND('TUSD BE'!$AM$14,2)</f>
        <v>18.010000000000002</v>
      </c>
      <c r="I16" s="35">
        <v>0</v>
      </c>
      <c r="J16" s="35">
        <v>0</v>
      </c>
      <c r="L16" s="104"/>
      <c r="M16" s="37" t="s">
        <v>740</v>
      </c>
      <c r="N16" s="37" t="s">
        <v>741</v>
      </c>
      <c r="O16" s="37" t="s">
        <v>742</v>
      </c>
      <c r="P16" s="37" t="s">
        <v>732</v>
      </c>
      <c r="Q16" s="35">
        <v>0</v>
      </c>
      <c r="R16" s="35">
        <f ca="1">ROUND(('TUSD BE'!$AM$37+'TUSD BF'!$AM$37+'TUSD CVA'!$AM$37)*(1-CUSTOS!$M$38),2)</f>
        <v>323.19</v>
      </c>
      <c r="S16" s="35">
        <f>ROUND(('TE BE'!$AB$25+'TE BF'!$AB$25+'TE CVA'!$AB$25)*(1-CUSTOS!$M$38),2)</f>
        <v>107.88</v>
      </c>
      <c r="T16" s="35">
        <v>0</v>
      </c>
      <c r="U16" s="35">
        <f ca="1">ROUND(('TUSD BE'!$AM$37)*(1-CUSTOS!$M$38),2)</f>
        <v>326.64999999999998</v>
      </c>
      <c r="V16" s="35">
        <f>ROUND(('TE BE'!$AB$25)*(1-CUSTOS!$M$38),2)</f>
        <v>109.6</v>
      </c>
    </row>
    <row r="17" spans="1:22" ht="11.25" customHeight="1" x14ac:dyDescent="0.25">
      <c r="A17" s="108"/>
      <c r="B17" s="108"/>
      <c r="C17" s="108"/>
      <c r="D17" s="37" t="s">
        <v>729</v>
      </c>
      <c r="E17" s="35">
        <v>0</v>
      </c>
      <c r="F17" s="35">
        <f ca="1">ROUND('TUSD BE'!$AM$17+'TUSD BF'!$AM$17+'TUSD CVA'!$AM$17,2)</f>
        <v>1138</v>
      </c>
      <c r="G17" s="35">
        <v>0</v>
      </c>
      <c r="H17" s="35">
        <v>0</v>
      </c>
      <c r="I17" s="35">
        <f ca="1">ROUND('TUSD BE'!$AM$17,2)</f>
        <v>1149.54</v>
      </c>
      <c r="J17" s="35">
        <v>0</v>
      </c>
      <c r="L17" s="104"/>
      <c r="M17" s="103" t="s">
        <v>735</v>
      </c>
      <c r="N17" s="103" t="s">
        <v>741</v>
      </c>
      <c r="O17" s="103" t="s">
        <v>743</v>
      </c>
      <c r="P17" s="37" t="s">
        <v>729</v>
      </c>
      <c r="Q17" s="35">
        <v>0</v>
      </c>
      <c r="R17" s="35">
        <f ca="1">ROUND(('TUSD BE'!$AM$38+'TUSD BF'!$AM$38+'TUSD CVA'!$AM$38)*(1-CUSTOS!$M$39),2)</f>
        <v>680.68</v>
      </c>
      <c r="S17" s="35">
        <f>ROUND(('TE BE'!$AB$26+'TE BF'!$AB$26+'TE CVA'!$AB$26)*(1-CUSTOS!$M$39),2)</f>
        <v>107.88</v>
      </c>
      <c r="T17" s="35">
        <v>0</v>
      </c>
      <c r="U17" s="35">
        <f ca="1">ROUND('TUSD BE'!$AM$38*(1-CUSTOS!$M$39),2)</f>
        <v>687.95</v>
      </c>
      <c r="V17" s="35">
        <f>ROUND('TE BE'!$AB$26*(1-CUSTOS!$M$39),2)</f>
        <v>109.6</v>
      </c>
    </row>
    <row r="18" spans="1:22" ht="11.25" customHeight="1" x14ac:dyDescent="0.25">
      <c r="A18" s="108"/>
      <c r="B18" s="108"/>
      <c r="C18" s="108"/>
      <c r="D18" s="37" t="s">
        <v>730</v>
      </c>
      <c r="E18" s="35">
        <v>0</v>
      </c>
      <c r="F18" s="35">
        <f ca="1">ROUND('TUSD BE'!$AM$18+'TUSD BF'!$AM$18+'TUSD CVA'!$AM$18,2)</f>
        <v>5.05</v>
      </c>
      <c r="G18" s="35">
        <v>0</v>
      </c>
      <c r="H18" s="35">
        <v>0</v>
      </c>
      <c r="I18" s="35">
        <f ca="1">ROUND('TUSD BE'!$AM$18,2)</f>
        <v>5.13</v>
      </c>
      <c r="J18" s="35">
        <v>0</v>
      </c>
      <c r="L18" s="104"/>
      <c r="M18" s="104"/>
      <c r="N18" s="104"/>
      <c r="O18" s="104"/>
      <c r="P18" s="37" t="s">
        <v>737</v>
      </c>
      <c r="Q18" s="35">
        <v>0</v>
      </c>
      <c r="R18" s="35">
        <f ca="1">ROUND(('TUSD BE'!$AM$39+'TUSD BF'!$AM$39+'TUSD CVA'!$AM$39)*(1-CUSTOS!$M$39),2)</f>
        <v>464.35</v>
      </c>
      <c r="S18" s="35">
        <f>ROUND(('TE BE'!$AB$27+'TE BF'!$AB$27+'TE CVA'!$AB$27)*(1-CUSTOS!$M$39),2)</f>
        <v>107.88</v>
      </c>
      <c r="T18" s="35">
        <v>0</v>
      </c>
      <c r="U18" s="35">
        <f ca="1">ROUND('TUSD BE'!$AM$39*(1-CUSTOS!$M$39),2)</f>
        <v>469.32</v>
      </c>
      <c r="V18" s="35">
        <f>ROUND('TE BE'!$AB$27*(1-CUSTOS!$M$39),2)</f>
        <v>109.6</v>
      </c>
    </row>
    <row r="19" spans="1:22" ht="11.25" customHeight="1" x14ac:dyDescent="0.25">
      <c r="A19" s="108"/>
      <c r="B19" s="37" t="s">
        <v>82</v>
      </c>
      <c r="C19" s="37" t="s">
        <v>25</v>
      </c>
      <c r="D19" s="37" t="s">
        <v>732</v>
      </c>
      <c r="E19" s="35">
        <f ca="1">ROUND('TUSD BE'!$AM$13+'TUSD BF'!$AM$13+'TUSD CVA'!$AM$13,2)</f>
        <v>4.95</v>
      </c>
      <c r="F19" s="35">
        <v>0</v>
      </c>
      <c r="G19" s="35">
        <v>0</v>
      </c>
      <c r="H19" s="35">
        <f ca="1">ROUND('TUSD BE'!$AM$13,2)</f>
        <v>5.1100000000000003</v>
      </c>
      <c r="I19" s="35">
        <v>0</v>
      </c>
      <c r="J19" s="35">
        <v>0</v>
      </c>
      <c r="L19" s="104"/>
      <c r="M19" s="105"/>
      <c r="N19" s="105"/>
      <c r="O19" s="105"/>
      <c r="P19" s="37" t="s">
        <v>730</v>
      </c>
      <c r="Q19" s="35">
        <v>0</v>
      </c>
      <c r="R19" s="35">
        <f ca="1">ROUND(('TUSD BE'!$AM$40+'TUSD BF'!$AM$40+'TUSD CVA'!$AM$40)*(1-CUSTOS!$M$39),2)</f>
        <v>248.02</v>
      </c>
      <c r="S19" s="35">
        <f>ROUND(('TE BE'!$AB$28+'TE BF'!$AB$28+'TE CVA'!$AB$28)*(1-CUSTOS!$M$39),2)</f>
        <v>107.88</v>
      </c>
      <c r="T19" s="35">
        <v>0</v>
      </c>
      <c r="U19" s="35">
        <f ca="1">ROUND('TUSD BE'!$AM$40*(1-CUSTOS!$M$39),2)</f>
        <v>250.68</v>
      </c>
      <c r="V19" s="35">
        <f>ROUND('TE BE'!$AB$28*(1-CUSTOS!$M$39),2)</f>
        <v>109.6</v>
      </c>
    </row>
    <row r="20" spans="1:22" ht="11.25" customHeight="1" x14ac:dyDescent="0.25">
      <c r="L20" s="104"/>
      <c r="M20" s="37" t="s">
        <v>738</v>
      </c>
      <c r="N20" s="37" t="s">
        <v>741</v>
      </c>
      <c r="O20" s="37" t="s">
        <v>743</v>
      </c>
      <c r="P20" s="37" t="s">
        <v>732</v>
      </c>
      <c r="Q20" s="35">
        <v>0</v>
      </c>
      <c r="R20" s="35">
        <f ca="1">ROUND(('TUSD BE'!$AM$46+'TUSD BF'!$AM$46+'TUSD CVA'!$AM$46)*(1-CUSTOS!$M$39),2)</f>
        <v>323.19</v>
      </c>
      <c r="S20" s="35">
        <f>ROUND(('TE BE'!$AB$34+'TE BF'!$AB$34+'TE CVA'!$AB$34)*(1-CUSTOS!$M$39),2)</f>
        <v>107.88</v>
      </c>
      <c r="T20" s="35">
        <v>0</v>
      </c>
      <c r="U20" s="35">
        <f ca="1">ROUND(('TUSD BE'!$AM$46)*(1-CUSTOS!$M$39),2)</f>
        <v>326.64999999999998</v>
      </c>
      <c r="V20" s="35">
        <f>ROUND(('TE BE'!$AB$34)*(1-CUSTOS!$M$39),2)</f>
        <v>109.6</v>
      </c>
    </row>
    <row r="21" spans="1:22" ht="11.25" customHeight="1" x14ac:dyDescent="0.25">
      <c r="L21" s="104"/>
      <c r="M21" s="37" t="s">
        <v>740</v>
      </c>
      <c r="N21" s="37" t="s">
        <v>741</v>
      </c>
      <c r="O21" s="37" t="s">
        <v>743</v>
      </c>
      <c r="P21" s="37" t="s">
        <v>732</v>
      </c>
      <c r="Q21" s="35">
        <v>0</v>
      </c>
      <c r="R21" s="35">
        <f ca="1">ROUND(('TUSD BE'!$AM$37+'TUSD BF'!$AM$37+'TUSD CVA'!$AM$37)*(1-CUSTOS!$M$39),2)</f>
        <v>323.19</v>
      </c>
      <c r="S21" s="35">
        <f>ROUND(('TE BE'!$AB$25+'TE BF'!$AB$25+'TE CVA'!$AB$25)*(1-CUSTOS!$M$39),2)</f>
        <v>107.88</v>
      </c>
      <c r="T21" s="35">
        <v>0</v>
      </c>
      <c r="U21" s="35">
        <f ca="1">ROUND(('TUSD BE'!$AM$37)*(1-CUSTOS!$M$39),2)</f>
        <v>326.64999999999998</v>
      </c>
      <c r="V21" s="35">
        <f>ROUND(('TE BE'!$AB$25)*(1-CUSTOS!$M$39),2)</f>
        <v>109.6</v>
      </c>
    </row>
    <row r="22" spans="1:22" ht="11.25" customHeight="1" x14ac:dyDescent="0.25">
      <c r="L22" s="104"/>
      <c r="M22" s="103" t="s">
        <v>735</v>
      </c>
      <c r="N22" s="103" t="s">
        <v>741</v>
      </c>
      <c r="O22" s="103" t="s">
        <v>744</v>
      </c>
      <c r="P22" s="37" t="s">
        <v>729</v>
      </c>
      <c r="Q22" s="35">
        <v>0</v>
      </c>
      <c r="R22" s="35">
        <f ca="1">ROUND(('TUSD BE'!$AM$42+'TUSD BF'!$AM$42+'TUSD CVA'!$AM$42)*(1-CUSTOS!$M$40),2)</f>
        <v>666.2</v>
      </c>
      <c r="S22" s="35">
        <f>ROUND(('TE BE'!$AB$30+'TE BF'!$AB$30+'TE CVA'!$AB$30)*(1-CUSTOS!$M$40),2)</f>
        <v>105.58</v>
      </c>
      <c r="T22" s="35">
        <v>0</v>
      </c>
      <c r="U22" s="35">
        <f ca="1">ROUND('TUSD BE'!$AM$42*(1-CUSTOS!$M$40),2)</f>
        <v>673.32</v>
      </c>
      <c r="V22" s="35">
        <f>ROUND('TE BE'!$AB$30*(1-CUSTOS!$M$40),2)</f>
        <v>107.27</v>
      </c>
    </row>
    <row r="23" spans="1:22" ht="11.25" customHeight="1" x14ac:dyDescent="0.25">
      <c r="L23" s="104"/>
      <c r="M23" s="104"/>
      <c r="N23" s="104"/>
      <c r="O23" s="104"/>
      <c r="P23" s="37" t="s">
        <v>737</v>
      </c>
      <c r="Q23" s="35">
        <v>0</v>
      </c>
      <c r="R23" s="35">
        <f ca="1">ROUND(('TUSD BE'!$AM$43+'TUSD BF'!$AM$43+'TUSD CVA'!$AM$43)*(1-CUSTOS!$M$40),2)</f>
        <v>454.47</v>
      </c>
      <c r="S23" s="35">
        <f>ROUND(('TE BE'!$AB$31+'TE BF'!$AB$31+'TE CVA'!$AB$31)*(1-CUSTOS!$M$40),2)</f>
        <v>105.58</v>
      </c>
      <c r="T23" s="35">
        <v>0</v>
      </c>
      <c r="U23" s="35">
        <f ca="1">ROUND('TUSD BE'!$AM$43*(1-CUSTOS!$M$40),2)</f>
        <v>459.33</v>
      </c>
      <c r="V23" s="35">
        <f>ROUND('TE BE'!$AB$31*(1-CUSTOS!$M$40),2)</f>
        <v>107.27</v>
      </c>
    </row>
    <row r="24" spans="1:22" ht="11.25" customHeight="1" x14ac:dyDescent="0.25">
      <c r="L24" s="104"/>
      <c r="M24" s="105"/>
      <c r="N24" s="105"/>
      <c r="O24" s="105"/>
      <c r="P24" s="37" t="s">
        <v>730</v>
      </c>
      <c r="Q24" s="35">
        <v>0</v>
      </c>
      <c r="R24" s="35">
        <f ca="1">ROUND(('TUSD BE'!$AM$44+'TUSD BF'!$AM$44+'TUSD CVA'!$AM$44)*(1-CUSTOS!$M$40),2)</f>
        <v>242.74</v>
      </c>
      <c r="S24" s="35">
        <f>ROUND(('TE BE'!$AB$32+'TE BF'!$AB$32+'TE CVA'!$AB$32)*(1-CUSTOS!$M$40),2)</f>
        <v>105.58</v>
      </c>
      <c r="T24" s="35">
        <v>0</v>
      </c>
      <c r="U24" s="35">
        <f ca="1">ROUND('TUSD BE'!$AM$44*(1-CUSTOS!$M$40),2)</f>
        <v>245.35</v>
      </c>
      <c r="V24" s="35">
        <f>ROUND('TE BE'!$AB$32*(1-CUSTOS!$M$40),2)</f>
        <v>107.27</v>
      </c>
    </row>
    <row r="25" spans="1:22" ht="11.25" customHeight="1" x14ac:dyDescent="0.25">
      <c r="L25" s="104"/>
      <c r="M25" s="37" t="s">
        <v>738</v>
      </c>
      <c r="N25" s="37" t="s">
        <v>741</v>
      </c>
      <c r="O25" s="37" t="s">
        <v>744</v>
      </c>
      <c r="P25" s="37" t="s">
        <v>732</v>
      </c>
      <c r="Q25" s="35">
        <v>0</v>
      </c>
      <c r="R25" s="35">
        <f ca="1">ROUND(('TUSD BE'!$AM$46+'TUSD BF'!$AM$46+'TUSD CVA'!$AM$46)*(1-CUSTOS!$M$40),2)</f>
        <v>316.31</v>
      </c>
      <c r="S25" s="35">
        <f>ROUND(('TE BE'!$AB$34+'TE BF'!$AB$34+'TE CVA'!$AB$34)*(1-CUSTOS!$M$40),2)</f>
        <v>105.58</v>
      </c>
      <c r="T25" s="35">
        <v>0</v>
      </c>
      <c r="U25" s="35">
        <f ca="1">ROUND(('TUSD BE'!$AM$46)*(1-CUSTOS!$M$40),2)</f>
        <v>319.7</v>
      </c>
      <c r="V25" s="35">
        <f>ROUND(('TE BE'!$AB$34)*(1-CUSTOS!$M$40),2)</f>
        <v>107.27</v>
      </c>
    </row>
    <row r="26" spans="1:22" ht="11.25" customHeight="1" x14ac:dyDescent="0.25">
      <c r="L26" s="105"/>
      <c r="M26" s="37" t="s">
        <v>740</v>
      </c>
      <c r="N26" s="37" t="s">
        <v>741</v>
      </c>
      <c r="O26" s="37" t="s">
        <v>744</v>
      </c>
      <c r="P26" s="37" t="s">
        <v>732</v>
      </c>
      <c r="Q26" s="35">
        <v>0</v>
      </c>
      <c r="R26" s="35">
        <f ca="1">ROUND(('TUSD BE'!$AM$37+'TUSD BF'!$AM$37+'TUSD CVA'!$AM$37)*(1-CUSTOS!$M$40),2)</f>
        <v>316.31</v>
      </c>
      <c r="S26" s="35">
        <f>ROUND(('TE BE'!$AB$25+'TE BF'!$AB$25+'TE CVA'!$AB$25)*(1-CUSTOS!$M$40),2)</f>
        <v>105.58</v>
      </c>
      <c r="T26" s="35">
        <v>0</v>
      </c>
      <c r="U26" s="35">
        <f ca="1">ROUND(('TUSD BE'!$AM$37)*(1-CUSTOS!$M$40),2)</f>
        <v>319.7</v>
      </c>
      <c r="V26" s="35">
        <f>ROUND(('TE BE'!$AB$25)*(1-CUSTOS!$M$40),2)</f>
        <v>107.27</v>
      </c>
    </row>
    <row r="27" spans="1:22" ht="11.25" customHeight="1" x14ac:dyDescent="0.25">
      <c r="L27" s="103" t="s">
        <v>33</v>
      </c>
      <c r="M27" s="103" t="s">
        <v>735</v>
      </c>
      <c r="N27" s="103" t="s">
        <v>732</v>
      </c>
      <c r="O27" s="103" t="s">
        <v>732</v>
      </c>
      <c r="P27" s="37" t="s">
        <v>729</v>
      </c>
      <c r="Q27" s="35">
        <v>0</v>
      </c>
      <c r="R27" s="35">
        <f ca="1">ROUND(('TUSD BE'!$AM$49+'TUSD BF'!$AM$49+'TUSD CVA'!$AM$49)*(1-CUSTOS!$M$31),2)</f>
        <v>821.64</v>
      </c>
      <c r="S27" s="35">
        <f>ROUND(('TE BE'!$AB$37+'TE BF'!$AB$37+'TE CVA'!$AB$37)*(1-CUSTOS!$M$31),2)</f>
        <v>114.77</v>
      </c>
      <c r="T27" s="35">
        <v>0</v>
      </c>
      <c r="U27" s="35">
        <f ca="1">ROUND('TUSD BE'!$AM$49*(1-CUSTOS!$M$31),2)</f>
        <v>830.42</v>
      </c>
      <c r="V27" s="35">
        <f>ROUND('TE BE'!$AB$37*(1-CUSTOS!$M$31),2)</f>
        <v>116.59</v>
      </c>
    </row>
    <row r="28" spans="1:22" ht="11.25" customHeight="1" x14ac:dyDescent="0.25">
      <c r="L28" s="104"/>
      <c r="M28" s="104"/>
      <c r="N28" s="104"/>
      <c r="O28" s="104"/>
      <c r="P28" s="37" t="s">
        <v>737</v>
      </c>
      <c r="Q28" s="35">
        <v>0</v>
      </c>
      <c r="R28" s="35">
        <f ca="1">ROUND(('TUSD BE'!$AM$50+'TUSD BF'!$AM$50+'TUSD CVA'!$AM$50)*(1-CUSTOS!$M$31),2)</f>
        <v>552.5</v>
      </c>
      <c r="S28" s="35">
        <f>ROUND(('TE BE'!$AB$38+'TE BF'!$AB$38+'TE CVA'!$AB$38)*(1-CUSTOS!$M$31),2)</f>
        <v>114.77</v>
      </c>
      <c r="T28" s="35">
        <v>0</v>
      </c>
      <c r="U28" s="35">
        <f ca="1">ROUND('TUSD BE'!$AM$50*(1-CUSTOS!$M$31),2)</f>
        <v>558.41</v>
      </c>
      <c r="V28" s="35">
        <f>ROUND('TE BE'!$AB$38*(1-CUSTOS!$M$31),2)</f>
        <v>116.59</v>
      </c>
    </row>
    <row r="29" spans="1:22" ht="11.25" customHeight="1" x14ac:dyDescent="0.25">
      <c r="L29" s="104"/>
      <c r="M29" s="105"/>
      <c r="N29" s="105"/>
      <c r="O29" s="105"/>
      <c r="P29" s="37" t="s">
        <v>730</v>
      </c>
      <c r="Q29" s="35">
        <v>0</v>
      </c>
      <c r="R29" s="35">
        <f ca="1">ROUND(('TUSD BE'!$AM$51+'TUSD BF'!$AM$51+'TUSD CVA'!$AM$51)*(1-CUSTOS!$M$31),2)</f>
        <v>283.36</v>
      </c>
      <c r="S29" s="35">
        <f>ROUND(('TE BE'!$AB$39+'TE BF'!$AB$39+'TE CVA'!$AB$39)*(1-CUSTOS!$M$31),2)</f>
        <v>114.77</v>
      </c>
      <c r="T29" s="35">
        <v>0</v>
      </c>
      <c r="U29" s="35">
        <f ca="1">ROUND('TUSD BE'!$AM$51*(1-CUSTOS!$M$31),2)</f>
        <v>286.39</v>
      </c>
      <c r="V29" s="35">
        <f>ROUND('TE BE'!$AB$39*(1-CUSTOS!$M$31),2)</f>
        <v>116.59</v>
      </c>
    </row>
    <row r="30" spans="1:22" ht="11.25" customHeight="1" x14ac:dyDescent="0.25">
      <c r="L30" s="104"/>
      <c r="M30" s="37" t="s">
        <v>738</v>
      </c>
      <c r="N30" s="37" t="s">
        <v>732</v>
      </c>
      <c r="O30" s="37" t="s">
        <v>732</v>
      </c>
      <c r="P30" s="37" t="s">
        <v>732</v>
      </c>
      <c r="Q30" s="35">
        <v>0</v>
      </c>
      <c r="R30" s="35">
        <f ca="1">ROUND(('TUSD BE'!$AM$53+'TUSD BF'!$AM$53+'TUSD CVA'!$AM$53)*(1-CUSTOS!$M$31),2)</f>
        <v>343.81</v>
      </c>
      <c r="S30" s="35">
        <f>ROUND(('TE BE'!$AB$41+'TE BF'!$AB$41+'TE CVA'!$AB$41)*(1-CUSTOS!$M$31),2)</f>
        <v>114.77</v>
      </c>
      <c r="T30" s="35">
        <v>0</v>
      </c>
      <c r="U30" s="35">
        <f ca="1">ROUND(('TUSD BE'!$AM$53)*(1-CUSTOS!$M$31),2)</f>
        <v>347.5</v>
      </c>
      <c r="V30" s="35">
        <f>ROUND(('TE BE'!$AB$41)*(1-CUSTOS!$M$31),2)</f>
        <v>116.59</v>
      </c>
    </row>
    <row r="31" spans="1:22" ht="11.25" customHeight="1" x14ac:dyDescent="0.25">
      <c r="L31" s="105"/>
      <c r="M31" s="37" t="s">
        <v>740</v>
      </c>
      <c r="N31" s="37" t="s">
        <v>732</v>
      </c>
      <c r="O31" s="37" t="s">
        <v>732</v>
      </c>
      <c r="P31" s="37" t="s">
        <v>732</v>
      </c>
      <c r="Q31" s="35">
        <v>0</v>
      </c>
      <c r="R31" s="35">
        <f ca="1">ROUND(('TUSD BE'!$AM$52+'TUSD BF'!$AM$52+'TUSD CVA'!$AM$52)*(1-CUSTOS!$M$31),2)</f>
        <v>343.81</v>
      </c>
      <c r="S31" s="35">
        <f>ROUND(('TE BE'!$AB$40+'TE BF'!$AB$40+'TE CVA'!$AB$40)*(1-CUSTOS!$M$31),2)</f>
        <v>114.77</v>
      </c>
      <c r="T31" s="35">
        <v>0</v>
      </c>
      <c r="U31" s="35">
        <f ca="1">ROUND(('TUSD BE'!$AM$52)*(1-CUSTOS!$M$31),2)</f>
        <v>347.5</v>
      </c>
      <c r="V31" s="35">
        <f>ROUND(('TE BE'!$AB$40)*(1-CUSTOS!$M$31),2)</f>
        <v>116.59</v>
      </c>
    </row>
    <row r="32" spans="1:22" ht="11.25" customHeight="1" x14ac:dyDescent="0.25">
      <c r="L32" s="103" t="s">
        <v>45</v>
      </c>
      <c r="M32" s="103" t="s">
        <v>740</v>
      </c>
      <c r="N32" s="103" t="s">
        <v>745</v>
      </c>
      <c r="O32" s="37" t="s">
        <v>746</v>
      </c>
      <c r="P32" s="37" t="s">
        <v>732</v>
      </c>
      <c r="Q32" s="35">
        <v>0</v>
      </c>
      <c r="R32" s="35">
        <f ca="1">ROUND(('TUSD BE'!$AM$54+'TUSD BF'!$AM$54+'TUSD CVA'!$AM$54),2)</f>
        <v>189.1</v>
      </c>
      <c r="S32" s="35">
        <f>ROUND(('TE BE'!$AB$42+'TE BF'!$AB$42+'TE CVA'!$AB$42),2)</f>
        <v>63.12</v>
      </c>
      <c r="T32" s="35">
        <v>0</v>
      </c>
      <c r="U32" s="35">
        <f ca="1">ROUND(('TUSD BE'!$AM$54),2)</f>
        <v>191.12</v>
      </c>
      <c r="V32" s="35">
        <f>ROUND(('TE BE'!$AB$42),2)</f>
        <v>64.13</v>
      </c>
    </row>
    <row r="33" spans="12:22" ht="11.25" customHeight="1" x14ac:dyDescent="0.25">
      <c r="L33" s="105"/>
      <c r="M33" s="105"/>
      <c r="N33" s="105"/>
      <c r="O33" s="37" t="s">
        <v>747</v>
      </c>
      <c r="P33" s="37" t="s">
        <v>732</v>
      </c>
      <c r="Q33" s="35">
        <v>0</v>
      </c>
      <c r="R33" s="35">
        <f ca="1">ROUND(('TUSD BE'!$AM$55+'TUSD BF'!$AM$55+'TUSD CVA'!$AM$55),2)</f>
        <v>206.29</v>
      </c>
      <c r="S33" s="35">
        <f>ROUND(('TE BE'!$AB$43+'TE BF'!$AB$43+'TE CVA'!$AB$43),2)</f>
        <v>68.86</v>
      </c>
      <c r="T33" s="35">
        <v>0</v>
      </c>
      <c r="U33" s="35">
        <f ca="1">ROUND(('TUSD BE'!$AM$55),2)</f>
        <v>208.5</v>
      </c>
      <c r="V33" s="35">
        <f>ROUND(('TE BE'!$AB$43),2)</f>
        <v>69.959999999999994</v>
      </c>
    </row>
    <row r="34" spans="12:22" ht="11.25" customHeight="1" x14ac:dyDescent="0.25">
      <c r="L34" s="103" t="s">
        <v>83</v>
      </c>
      <c r="M34" s="103" t="s">
        <v>748</v>
      </c>
      <c r="N34" s="37" t="s">
        <v>84</v>
      </c>
      <c r="O34" s="37" t="s">
        <v>732</v>
      </c>
      <c r="P34" s="37" t="s">
        <v>732</v>
      </c>
      <c r="Q34" s="35">
        <f ca="1">ROUND(('TUSD BE'!$AM$19+'TUSD BF'!$AM$19+'TUSD CVA'!$AM$19),2)</f>
        <v>5.0999999999999996</v>
      </c>
      <c r="R34" s="35">
        <v>0</v>
      </c>
      <c r="S34" s="35">
        <v>0</v>
      </c>
      <c r="T34" s="35">
        <f ca="1">ROUND(('TUSD BE'!$AM$19),2)</f>
        <v>5.27</v>
      </c>
      <c r="U34" s="35">
        <v>0</v>
      </c>
      <c r="V34" s="35">
        <v>0</v>
      </c>
    </row>
    <row r="35" spans="12:22" ht="11.25" customHeight="1" x14ac:dyDescent="0.25">
      <c r="L35" s="105"/>
      <c r="M35" s="105"/>
      <c r="N35" s="37" t="s">
        <v>85</v>
      </c>
      <c r="O35" s="37" t="s">
        <v>732</v>
      </c>
      <c r="P35" s="37" t="s">
        <v>732</v>
      </c>
      <c r="Q35" s="35">
        <f ca="1">ROUND(('TUSD BE'!$AM$20+'TUSD BF'!$AM$20+'TUSD CVA'!$AM$20),2)</f>
        <v>10.37</v>
      </c>
      <c r="R35" s="35">
        <v>0</v>
      </c>
      <c r="S35" s="35">
        <v>0</v>
      </c>
      <c r="T35" s="35">
        <f ca="1">ROUND(('TUSD BE'!$AM$20),2)</f>
        <v>10.7</v>
      </c>
      <c r="U35" s="35">
        <v>0</v>
      </c>
      <c r="V35" s="35">
        <v>0</v>
      </c>
    </row>
  </sheetData>
  <mergeCells count="56"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C16:C18"/>
    <mergeCell ref="A5:A8"/>
    <mergeCell ref="A9:A19"/>
    <mergeCell ref="B5:B6"/>
    <mergeCell ref="B7:B8"/>
    <mergeCell ref="B9:B10"/>
    <mergeCell ref="B11:B12"/>
    <mergeCell ref="B13:B15"/>
    <mergeCell ref="B16:B18"/>
    <mergeCell ref="C5:C6"/>
    <mergeCell ref="C7:C8"/>
    <mergeCell ref="C9:C10"/>
    <mergeCell ref="C11:C12"/>
    <mergeCell ref="C13:C15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L27:L31"/>
    <mergeCell ref="L32:L33"/>
    <mergeCell ref="L34:L35"/>
    <mergeCell ref="M32:M33"/>
    <mergeCell ref="M34:M35"/>
    <mergeCell ref="N5:N7"/>
    <mergeCell ref="N12:N14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7C40-C815-420A-8C30-5C88757EEBF6}">
  <dimension ref="A1:AN505"/>
  <sheetViews>
    <sheetView showGridLines="0" workbookViewId="0">
      <selection sqref="A1:O505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10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.85546875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60" t="s">
        <v>8</v>
      </c>
      <c r="J1" s="36" t="s">
        <v>695</v>
      </c>
      <c r="K1" s="36" t="s">
        <v>696</v>
      </c>
      <c r="L1" s="36" t="s">
        <v>697</v>
      </c>
      <c r="M1" s="36" t="s">
        <v>698</v>
      </c>
      <c r="N1" s="36" t="s">
        <v>699</v>
      </c>
      <c r="O1" s="36" t="s">
        <v>700</v>
      </c>
      <c r="P1" s="7"/>
      <c r="Q1" s="100" t="s">
        <v>701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40" t="s">
        <v>722</v>
      </c>
      <c r="AM1" s="40" t="s">
        <v>61</v>
      </c>
      <c r="AN1" s="40" t="s">
        <v>723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34</v>
      </c>
      <c r="E2" s="41" t="s">
        <v>25</v>
      </c>
      <c r="F2" s="41" t="s">
        <v>25</v>
      </c>
      <c r="G2" s="41" t="s">
        <v>25</v>
      </c>
      <c r="H2" s="41" t="s">
        <v>38</v>
      </c>
      <c r="I2" s="61">
        <v>44440</v>
      </c>
      <c r="J2" s="62">
        <f ca="1">EFEITO!$J$2*EFEITO!$Y$2</f>
        <v>28033.191879839305</v>
      </c>
      <c r="K2" s="62">
        <f ca="1">EFEITO!$L$2*EFEITO!$Z$2</f>
        <v>93198.176932604329</v>
      </c>
      <c r="L2" s="62">
        <f>EFEITO!$N$2*EFEITO!$AA$2</f>
        <v>115471.56453903666</v>
      </c>
      <c r="M2" s="62">
        <f ca="1">$J$2-EFEITO!$K$2*EFEITO!$Y$2</f>
        <v>0</v>
      </c>
      <c r="N2" s="62">
        <f ca="1">$K$2-EFEITO!$M$2*EFEITO!$Z$2</f>
        <v>0</v>
      </c>
      <c r="O2" s="62">
        <f>$L$2-EFEITO!$O$2*EFEITO!$AA$2</f>
        <v>0</v>
      </c>
      <c r="P2" s="45"/>
      <c r="Q2" s="34" t="s">
        <v>64</v>
      </c>
      <c r="R2" s="34" t="s">
        <v>703</v>
      </c>
      <c r="S2" s="34" t="s">
        <v>704</v>
      </c>
      <c r="T2" s="34" t="s">
        <v>705</v>
      </c>
      <c r="U2" s="34" t="s">
        <v>706</v>
      </c>
      <c r="V2" s="34" t="s">
        <v>707</v>
      </c>
      <c r="W2" s="34" t="s">
        <v>708</v>
      </c>
      <c r="X2" s="63" t="s">
        <v>709</v>
      </c>
      <c r="Y2" s="63" t="s">
        <v>710</v>
      </c>
      <c r="Z2" s="63" t="s">
        <v>711</v>
      </c>
      <c r="AA2" s="63" t="s">
        <v>712</v>
      </c>
      <c r="AB2" s="63" t="s">
        <v>713</v>
      </c>
      <c r="AC2" s="63" t="s">
        <v>714</v>
      </c>
      <c r="AD2" s="63" t="s">
        <v>715</v>
      </c>
      <c r="AE2" s="63" t="s">
        <v>716</v>
      </c>
      <c r="AF2" s="63" t="s">
        <v>717</v>
      </c>
      <c r="AG2" s="63" t="s">
        <v>718</v>
      </c>
      <c r="AH2" s="63" t="s">
        <v>719</v>
      </c>
      <c r="AI2" s="63" t="s">
        <v>720</v>
      </c>
      <c r="AJ2" s="63" t="s">
        <v>721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34</v>
      </c>
      <c r="E3" s="41" t="s">
        <v>25</v>
      </c>
      <c r="F3" s="41" t="s">
        <v>25</v>
      </c>
      <c r="G3" s="41" t="s">
        <v>25</v>
      </c>
      <c r="H3" s="41" t="s">
        <v>38</v>
      </c>
      <c r="I3" s="61">
        <v>44470</v>
      </c>
      <c r="J3" s="62">
        <f ca="1">EFEITO!$J$3*EFEITO!$Y$3</f>
        <v>29183.035681309335</v>
      </c>
      <c r="K3" s="62">
        <f ca="1">EFEITO!$L$3*EFEITO!$Z$3</f>
        <v>92956.510106634174</v>
      </c>
      <c r="L3" s="62">
        <f>EFEITO!$N$3*EFEITO!$AA$3</f>
        <v>115172.14187423349</v>
      </c>
      <c r="M3" s="62">
        <f ca="1">$J$3-EFEITO!$K$3*EFEITO!$Y$3</f>
        <v>0</v>
      </c>
      <c r="N3" s="62">
        <f ca="1">$K$3-EFEITO!$M$3*EFEITO!$Z$3</f>
        <v>0</v>
      </c>
      <c r="O3" s="62">
        <f>$L$3-EFEITO!$O$3*EFEITO!$AA$3</f>
        <v>0</v>
      </c>
      <c r="P3" s="45"/>
      <c r="Q3" s="62" t="s">
        <v>702</v>
      </c>
      <c r="R3" s="62">
        <f>SUMIF($B$2:$B$505,$Q$3,$J$2:$J$505)</f>
        <v>0</v>
      </c>
      <c r="S3" s="62">
        <f>SUMIF($B$2:$B$505,$Q$3,$K$2:$K$505)</f>
        <v>0</v>
      </c>
      <c r="T3" s="62">
        <f>SUMIF($B$2:$B$505,$Q$3,$L$2:$L$505)</f>
        <v>0</v>
      </c>
      <c r="U3" s="62">
        <f>SUMIF($B$2:$B$505,$Q$3,$M$2:$M$505)</f>
        <v>0</v>
      </c>
      <c r="V3" s="62">
        <f>SUMIF($B$2:$B$505,$Q$3,$N$2:$N$505)</f>
        <v>0</v>
      </c>
      <c r="W3" s="62">
        <f>SUMIF($B$2:$B$505,$Q$3,$O$2:$O$505)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SUMIF(EFEITO!$B$2:$B$505,$Q$3,EFEITO!$AE$2:$AE$505)</f>
        <v>0</v>
      </c>
      <c r="AB3" s="42">
        <f>SUMIF(EFEITO!$B$2:$B$505,$Q$3,EFEITO!$AF$2:$AF$505)</f>
        <v>0</v>
      </c>
      <c r="AC3" s="42">
        <f>SUMIF(EFEITO!$B$2:$B$505,$Q$3,EFEITO!$AG$2:$AH$505)</f>
        <v>0</v>
      </c>
      <c r="AD3" s="42">
        <f>SUMIF(SUBSIDIO!$B$2:$B$505,$Q$3,SUBSIDIO!$AD$2:$AD$505)</f>
        <v>0</v>
      </c>
      <c r="AE3" s="42">
        <f>SUMIF(SUBSIDIO!$B$2:$B$505,$Q$3,SUBSIDIO!$AE$2:$AE$505)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34</v>
      </c>
      <c r="E4" s="41" t="s">
        <v>25</v>
      </c>
      <c r="F4" s="41" t="s">
        <v>25</v>
      </c>
      <c r="G4" s="41" t="s">
        <v>25</v>
      </c>
      <c r="H4" s="41" t="s">
        <v>38</v>
      </c>
      <c r="I4" s="61">
        <v>44501</v>
      </c>
      <c r="J4" s="62">
        <f ca="1">EFEITO!$J$4*EFEITO!$Y$4</f>
        <v>27619.248111310095</v>
      </c>
      <c r="K4" s="62">
        <f ca="1">EFEITO!$L$4*EFEITO!$Z$4</f>
        <v>99375.455183705504</v>
      </c>
      <c r="L4" s="62">
        <f>EFEITO!$N$4*EFEITO!$AA$4</f>
        <v>123125.14755668983</v>
      </c>
      <c r="M4" s="62">
        <f ca="1">$J$4-EFEITO!$K$4*EFEITO!$Y$4</f>
        <v>0</v>
      </c>
      <c r="N4" s="62">
        <f ca="1">$K$4-EFEITO!$M$4*EFEITO!$Z$4</f>
        <v>0</v>
      </c>
      <c r="O4" s="62">
        <f>$L$4-EFEITO!$O$4*EFEITO!$AA$4</f>
        <v>0</v>
      </c>
      <c r="P4" s="45"/>
      <c r="Q4" s="62" t="s">
        <v>581</v>
      </c>
      <c r="R4" s="62">
        <f>SUMIF($B$2:$B$505,$Q$4,$J$2:$J$505)</f>
        <v>0</v>
      </c>
      <c r="S4" s="62">
        <f>SUMIF($B$2:$B$505,$Q$4,$K$2:$K$505)</f>
        <v>0</v>
      </c>
      <c r="T4" s="62">
        <f>SUMIF($B$2:$B$505,$Q$4,$L$2:$L$505)</f>
        <v>0</v>
      </c>
      <c r="U4" s="62">
        <f>SUMIF($B$2:$B$505,$Q$4,$M$2:$M$505)</f>
        <v>0</v>
      </c>
      <c r="V4" s="62">
        <f>SUMIF($B$2:$B$505,$Q$4,$N$2:$N$505)</f>
        <v>0</v>
      </c>
      <c r="W4" s="62">
        <f>SUMIF($B$2:$B$505,$Q$4,$O$2:$O$505)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SUMIF(EFEITO!$B$2:$B$505,$Q$4,EFEITO!$AE$2:$AE$505)</f>
        <v>0</v>
      </c>
      <c r="AB4" s="42">
        <f>SUMIF(EFEITO!$B$2:$B$505,$Q$4,EFEITO!$AF$2:$AF$505)</f>
        <v>0</v>
      </c>
      <c r="AC4" s="42">
        <f>SUMIF(EFEITO!$B$2:$B$505,$Q$4,EFEITO!$AG$2:$AH$505)</f>
        <v>0</v>
      </c>
      <c r="AD4" s="42">
        <f>SUMIF(SUBSIDIO!$B$2:$B$505,$Q$4,SUBSIDIO!$AD$2:$AD$505)</f>
        <v>0</v>
      </c>
      <c r="AE4" s="42">
        <f>SUMIF(SUBSIDIO!$B$2:$B$505,$Q$4,SUBSIDIO!$AE$2:$AE$505)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34</v>
      </c>
      <c r="E5" s="41" t="s">
        <v>25</v>
      </c>
      <c r="F5" s="41" t="s">
        <v>25</v>
      </c>
      <c r="G5" s="41" t="s">
        <v>25</v>
      </c>
      <c r="H5" s="41" t="s">
        <v>38</v>
      </c>
      <c r="I5" s="61">
        <v>44531</v>
      </c>
      <c r="J5" s="62">
        <f ca="1">EFEITO!$J$5*EFEITO!$Y$5</f>
        <v>28746.095036750721</v>
      </c>
      <c r="K5" s="62">
        <f ca="1">EFEITO!$L$5*EFEITO!$Z$5</f>
        <v>94779.802480109196</v>
      </c>
      <c r="L5" s="62">
        <f>EFEITO!$N$5*EFEITO!$AA$5</f>
        <v>117431.18201757777</v>
      </c>
      <c r="M5" s="62">
        <f ca="1">$J$5-EFEITO!$K$5*EFEITO!$Y$5</f>
        <v>0</v>
      </c>
      <c r="N5" s="62">
        <f ca="1">$K$5-EFEITO!$M$5*EFEITO!$Z$5</f>
        <v>0</v>
      </c>
      <c r="O5" s="62">
        <f>$L$5-EFEITO!$O$5*EFEITO!$AA$5</f>
        <v>0</v>
      </c>
      <c r="P5" s="45"/>
      <c r="Q5" s="62" t="s">
        <v>35</v>
      </c>
      <c r="R5" s="62">
        <f ca="1">SUMIF($B$2:$B$505,$Q$5,$J$2:$J$505)</f>
        <v>1138457.0542278106</v>
      </c>
      <c r="S5" s="62">
        <f ca="1">SUMIF($B$2:$B$505,$Q$5,$K$2:$K$505)</f>
        <v>1237454.7508097664</v>
      </c>
      <c r="T5" s="62">
        <f>SUMIF($B$2:$B$505,$Q$5,$L$2:$L$505)</f>
        <v>1533193.4682112725</v>
      </c>
      <c r="U5" s="62">
        <f ca="1">SUMIF($B$2:$B$505,$Q$5,$M$2:$M$505)</f>
        <v>0</v>
      </c>
      <c r="V5" s="62">
        <f ca="1">SUMIF($B$2:$B$505,$Q$5,$N$2:$N$505)</f>
        <v>0</v>
      </c>
      <c r="W5" s="62">
        <f>SUMIF($B$2:$B$505,$Q$5,$O$2:$O$505)</f>
        <v>0</v>
      </c>
      <c r="X5" s="42">
        <f ca="1">$R$5-$U$5</f>
        <v>1138457.0542278106</v>
      </c>
      <c r="Y5" s="42">
        <f ca="1">$S$5-$V$5</f>
        <v>1237454.7508097664</v>
      </c>
      <c r="Z5" s="42">
        <f>$T$5-$W$5</f>
        <v>1533193.4682112725</v>
      </c>
      <c r="AA5" s="42">
        <f ca="1">SUMIF(EFEITO!$B$2:$B$505,$Q$5,EFEITO!$AE$2:$AE$505)</f>
        <v>1138457.0542278106</v>
      </c>
      <c r="AB5" s="42">
        <f ca="1">SUMIF(EFEITO!$B$2:$B$505,$Q$5,EFEITO!$AF$2:$AF$505)</f>
        <v>1237454.7508097664</v>
      </c>
      <c r="AC5" s="42">
        <f>SUMIF(EFEITO!$B$2:$B$505,$Q$5,EFEITO!$AG$2:$AH$505)</f>
        <v>1533193.4682112725</v>
      </c>
      <c r="AD5" s="42">
        <f>SUMIF(SUBSIDIO!$B$2:$B$505,$Q$5,SUBSIDIO!$AD$2:$AD$505)</f>
        <v>0</v>
      </c>
      <c r="AE5" s="42">
        <f>SUMIF(SUBSIDIO!$B$2:$B$505,$Q$5,SUBSIDIO!$AE$2:$AE$505)</f>
        <v>0</v>
      </c>
      <c r="AF5" s="42" t="str">
        <f ca="1">IF(ABS($X$5-$AA$5)&lt;0.01,"OK","ERRO")</f>
        <v>OK</v>
      </c>
      <c r="AG5" s="42" t="str">
        <f ca="1">IF(ABS($Y$5-$AB$5)&lt;0.01,"OK","ERRO")</f>
        <v>OK</v>
      </c>
      <c r="AH5" s="42" t="str">
        <f>IF(ABS($Z$5-$AC$5)&lt;0.01,"OK","ERRO")</f>
        <v>OK</v>
      </c>
      <c r="AI5" s="42" t="str">
        <f ca="1">IF(ABS($U$5-$AD$5)&lt;0.01,"OK","ERRO")</f>
        <v>OK</v>
      </c>
      <c r="AJ5" s="42" t="str">
        <f ca="1"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34</v>
      </c>
      <c r="E6" s="41" t="s">
        <v>25</v>
      </c>
      <c r="F6" s="41" t="s">
        <v>25</v>
      </c>
      <c r="G6" s="41" t="s">
        <v>25</v>
      </c>
      <c r="H6" s="41" t="s">
        <v>38</v>
      </c>
      <c r="I6" s="61">
        <v>44562</v>
      </c>
      <c r="J6" s="62">
        <f ca="1">EFEITO!$J$6*EFEITO!$Y$6</f>
        <v>28274.659078148012</v>
      </c>
      <c r="K6" s="62">
        <f ca="1">EFEITO!$L$6*EFEITO!$Z$6</f>
        <v>128006.44377706225</v>
      </c>
      <c r="L6" s="62">
        <f>EFEITO!$N$6*EFEITO!$AA$6</f>
        <v>158598.64238229115</v>
      </c>
      <c r="M6" s="62">
        <f ca="1">$J$6-EFEITO!$K$6*EFEITO!$Y$6</f>
        <v>0</v>
      </c>
      <c r="N6" s="62">
        <f ca="1">$K$6-EFEITO!$M$6*EFEITO!$Z$6</f>
        <v>0</v>
      </c>
      <c r="O6" s="62">
        <f>$L$6-EFEITO!$O$6*EFEITO!$AA$6</f>
        <v>0</v>
      </c>
      <c r="P6" s="45"/>
      <c r="Q6" s="62" t="s">
        <v>582</v>
      </c>
      <c r="R6" s="62">
        <f>SUMIF($B$2:$B$505,$Q$6,$J$2:$J$505)</f>
        <v>0</v>
      </c>
      <c r="S6" s="62">
        <f>SUMIF($B$2:$B$505,$Q$6,$K$2:$K$505)</f>
        <v>0</v>
      </c>
      <c r="T6" s="62">
        <f>SUMIF($B$2:$B$505,$Q$6,$L$2:$L$505)</f>
        <v>0</v>
      </c>
      <c r="U6" s="62">
        <f>SUMIF($B$2:$B$505,$Q$6,$M$2:$M$505)</f>
        <v>0</v>
      </c>
      <c r="V6" s="62">
        <f>SUMIF($B$2:$B$505,$Q$6,$N$2:$N$505)</f>
        <v>0</v>
      </c>
      <c r="W6" s="62">
        <f>SUMIF($B$2:$B$505,$Q$6,$O$2:$O$505)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SUMIF(EFEITO!$B$2:$B$505,$Q$6,EFEITO!$AE$2:$AE$505)</f>
        <v>0</v>
      </c>
      <c r="AB6" s="42">
        <f>SUMIF(EFEITO!$B$2:$B$505,$Q$6,EFEITO!$AF$2:$AF$505)</f>
        <v>0</v>
      </c>
      <c r="AC6" s="42">
        <f>SUMIF(EFEITO!$B$2:$B$505,$Q$6,EFEITO!$AG$2:$AH$505)</f>
        <v>0</v>
      </c>
      <c r="AD6" s="42">
        <f>SUMIF(SUBSIDIO!$B$2:$B$505,$Q$6,SUBSIDIO!$AD$2:$AD$505)</f>
        <v>0</v>
      </c>
      <c r="AE6" s="42">
        <f>SUMIF(SUBSIDIO!$B$2:$B$505,$Q$6,SUBSIDIO!$AE$2:$AE$505)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34</v>
      </c>
      <c r="E7" s="41" t="s">
        <v>25</v>
      </c>
      <c r="F7" s="41" t="s">
        <v>25</v>
      </c>
      <c r="G7" s="41" t="s">
        <v>25</v>
      </c>
      <c r="H7" s="41" t="s">
        <v>38</v>
      </c>
      <c r="I7" s="61">
        <v>44593</v>
      </c>
      <c r="J7" s="62">
        <f ca="1">EFEITO!$J$7*EFEITO!$Y$7</f>
        <v>27147.812152707382</v>
      </c>
      <c r="K7" s="62">
        <f ca="1">EFEITO!$L$7*EFEITO!$Z$7</f>
        <v>115950.05726826652</v>
      </c>
      <c r="L7" s="62">
        <f>EFEITO!$N$7*EFEITO!$AA$7</f>
        <v>143660.90584411065</v>
      </c>
      <c r="M7" s="62">
        <f ca="1">$J$7-EFEITO!$K$7*EFEITO!$Y$7</f>
        <v>0</v>
      </c>
      <c r="N7" s="62">
        <f ca="1">$K$7-EFEITO!$M$7*EFEITO!$Z$7</f>
        <v>0</v>
      </c>
      <c r="O7" s="62">
        <f>$L$7-EFEITO!$O$7*EFEITO!$AA$7</f>
        <v>0</v>
      </c>
      <c r="P7" s="45"/>
      <c r="Q7" s="62" t="s">
        <v>39</v>
      </c>
      <c r="R7" s="62">
        <f ca="1">SUMIF($B$2:$B$505,$Q$7,$J$2:$J$505)</f>
        <v>16764379.002911938</v>
      </c>
      <c r="S7" s="62">
        <f ca="1">SUMIF($B$2:$B$505,$Q$7,$K$2:$K$505)</f>
        <v>38052773.816696338</v>
      </c>
      <c r="T7" s="62">
        <f>SUMIF($B$2:$B$505,$Q$7,$L$2:$L$505)</f>
        <v>24727801.721728366</v>
      </c>
      <c r="U7" s="62">
        <f ca="1">SUMIF($B$2:$B$505,$Q$7,$M$2:$M$505)</f>
        <v>10552.101619413088</v>
      </c>
      <c r="V7" s="62">
        <f ca="1">SUMIF($B$2:$B$505,$Q$7,$N$2:$N$505)</f>
        <v>7284.785881279523</v>
      </c>
      <c r="W7" s="62">
        <f>SUMIF($B$2:$B$505,$Q$7,$O$2:$O$505)</f>
        <v>6872.8794477733145</v>
      </c>
      <c r="X7" s="42">
        <f ca="1">$R$7-$U$7</f>
        <v>16753826.901292525</v>
      </c>
      <c r="Y7" s="42">
        <f ca="1">$S$7-$V$7</f>
        <v>38045489.030815057</v>
      </c>
      <c r="Z7" s="42">
        <f>$T$7-$W$7</f>
        <v>24720928.842280593</v>
      </c>
      <c r="AA7" s="42">
        <f ca="1">SUMIF(EFEITO!$B$2:$B$505,$Q$7,EFEITO!$AE$2:$AE$505)</f>
        <v>16753826.901292529</v>
      </c>
      <c r="AB7" s="42">
        <f ca="1">SUMIF(EFEITO!$B$2:$B$505,$Q$7,EFEITO!$AF$2:$AF$505)</f>
        <v>38045489.030815057</v>
      </c>
      <c r="AC7" s="42">
        <f>SUMIF(EFEITO!$B$2:$B$505,$Q$7,EFEITO!$AG$2:$AH$505)</f>
        <v>24720928.842280589</v>
      </c>
      <c r="AD7" s="42">
        <f ca="1">SUMIF(SUBSIDIO!$B$2:$B$505,$Q$7,SUBSIDIO!$AD$2:$AD$505)</f>
        <v>10552.10161941307</v>
      </c>
      <c r="AE7" s="42">
        <f ca="1">SUMIF(SUBSIDIO!$B$2:$B$505,$Q$7,SUBSIDIO!$AE$2:$AE$505)</f>
        <v>14157.665329052848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34</v>
      </c>
      <c r="E8" s="41" t="s">
        <v>25</v>
      </c>
      <c r="F8" s="41" t="s">
        <v>25</v>
      </c>
      <c r="G8" s="41" t="s">
        <v>25</v>
      </c>
      <c r="H8" s="41" t="s">
        <v>38</v>
      </c>
      <c r="I8" s="61">
        <v>44621</v>
      </c>
      <c r="J8" s="62">
        <f ca="1">EFEITO!$J$8*EFEITO!$Y$8</f>
        <v>28746.095036750721</v>
      </c>
      <c r="K8" s="62">
        <f ca="1">EFEITO!$L$8*EFEITO!$Z$8</f>
        <v>88387.997449036062</v>
      </c>
      <c r="L8" s="62">
        <f>EFEITO!$N$8*EFEITO!$AA$8</f>
        <v>109511.80256769611</v>
      </c>
      <c r="M8" s="62">
        <f ca="1">$J$8-EFEITO!$K$8*EFEITO!$Y$8</f>
        <v>0</v>
      </c>
      <c r="N8" s="62">
        <f ca="1">$K$8-EFEITO!$M$8*EFEITO!$Z$8</f>
        <v>0</v>
      </c>
      <c r="O8" s="62">
        <f>$L$8-EFEITO!$O$8*EFEITO!$AA$8</f>
        <v>0</v>
      </c>
      <c r="P8" s="45"/>
      <c r="Q8" s="62" t="s">
        <v>583</v>
      </c>
      <c r="R8" s="62">
        <f>SUMIF($B$2:$B$505,$Q$8,$J$2:$J$505)</f>
        <v>0</v>
      </c>
      <c r="S8" s="62">
        <f>SUMIF($B$2:$B$505,$Q$8,$K$2:$K$505)</f>
        <v>0</v>
      </c>
      <c r="T8" s="62">
        <f>SUMIF($B$2:$B$505,$Q$8,$L$2:$L$505)</f>
        <v>0</v>
      </c>
      <c r="U8" s="62">
        <f>SUMIF($B$2:$B$505,$Q$8,$M$2:$M$505)</f>
        <v>0</v>
      </c>
      <c r="V8" s="62">
        <f>SUMIF($B$2:$B$505,$Q$8,$N$2:$N$505)</f>
        <v>0</v>
      </c>
      <c r="W8" s="62">
        <f>SUMIF($B$2:$B$505,$Q$8,$O$2:$O$505)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SUMIF(EFEITO!$B$2:$B$505,$Q$8,EFEITO!$AE$2:$AE$505)</f>
        <v>0</v>
      </c>
      <c r="AB8" s="42">
        <f>SUMIF(EFEITO!$B$2:$B$505,$Q$8,EFEITO!$AF$2:$AF$505)</f>
        <v>0</v>
      </c>
      <c r="AC8" s="42">
        <f>SUMIF(EFEITO!$B$2:$B$505,$Q$8,EFEITO!$AG$2:$AH$505)</f>
        <v>0</v>
      </c>
      <c r="AD8" s="42">
        <f>SUMIF(SUBSIDIO!$B$2:$B$505,$Q$8,SUBSIDIO!$AD$2:$AD$505)</f>
        <v>0</v>
      </c>
      <c r="AE8" s="42">
        <f>SUMIF(SUBSIDIO!$B$2:$B$505,$Q$8,SUBSIDIO!$AE$2:$AE$505)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34</v>
      </c>
      <c r="E9" s="41" t="s">
        <v>25</v>
      </c>
      <c r="F9" s="41" t="s">
        <v>25</v>
      </c>
      <c r="G9" s="41" t="s">
        <v>25</v>
      </c>
      <c r="H9" s="41" t="s">
        <v>38</v>
      </c>
      <c r="I9" s="61">
        <v>44652</v>
      </c>
      <c r="J9" s="62">
        <f ca="1">EFEITO!$J$9*EFEITO!$Y$9</f>
        <v>28746.095036750721</v>
      </c>
      <c r="K9" s="62">
        <f ca="1">EFEITO!$L$9*EFEITO!$Z$9</f>
        <v>81491.461664911432</v>
      </c>
      <c r="L9" s="62">
        <f>EFEITO!$N$9*EFEITO!$AA$9</f>
        <v>100967.06700416464</v>
      </c>
      <c r="M9" s="62">
        <f ca="1">$J$9-EFEITO!$K$9*EFEITO!$Y$9</f>
        <v>0</v>
      </c>
      <c r="N9" s="62">
        <f ca="1">$K$9-EFEITO!$M$9*EFEITO!$Z$9</f>
        <v>0</v>
      </c>
      <c r="O9" s="62">
        <f>$L$9-EFEITO!$O$9*EFEITO!$AA$9</f>
        <v>0</v>
      </c>
      <c r="P9" s="45"/>
      <c r="Q9" s="62" t="s">
        <v>22</v>
      </c>
      <c r="R9" s="62">
        <f>SUMIF($B$2:$B$505,$Q$9,$J$2:$J$505)</f>
        <v>0</v>
      </c>
      <c r="S9" s="62">
        <f ca="1">SUMIF($B$2:$B$505,$Q$9,$K$2:$K$505)</f>
        <v>20429778.852551594</v>
      </c>
      <c r="T9" s="62">
        <f>SUMIF($B$2:$B$505,$Q$9,$L$2:$L$505)</f>
        <v>6885435.2305330485</v>
      </c>
      <c r="U9" s="62">
        <f>SUMIF($B$2:$B$505,$Q$9,$M$2:$M$505)</f>
        <v>0</v>
      </c>
      <c r="V9" s="62">
        <f ca="1">SUMIF($B$2:$B$505,$Q$9,$N$2:$N$505)</f>
        <v>76377.299984849291</v>
      </c>
      <c r="W9" s="62">
        <f>SUMIF($B$2:$B$505,$Q$9,$O$2:$O$505)</f>
        <v>42199.435670594241</v>
      </c>
      <c r="X9" s="42">
        <f>$R$9-$U$9</f>
        <v>0</v>
      </c>
      <c r="Y9" s="42">
        <f ca="1">$S$9-$V$9</f>
        <v>20353401.552566744</v>
      </c>
      <c r="Z9" s="42">
        <f>$T$9-$W$9</f>
        <v>6843235.7948624538</v>
      </c>
      <c r="AA9" s="42">
        <f>SUMIF(EFEITO!$B$2:$B$505,$Q$9,EFEITO!$AE$2:$AE$505)</f>
        <v>0</v>
      </c>
      <c r="AB9" s="42">
        <f ca="1">SUMIF(EFEITO!$B$2:$B$505,$Q$9,EFEITO!$AF$2:$AF$505)</f>
        <v>20353401.552566759</v>
      </c>
      <c r="AC9" s="42">
        <f>SUMIF(EFEITO!$B$2:$B$505,$Q$9,EFEITO!$AG$2:$AH$505)</f>
        <v>6843235.7948624529</v>
      </c>
      <c r="AD9" s="42">
        <f>SUMIF(SUBSIDIO!$B$2:$B$505,$Q$9,SUBSIDIO!$AD$2:$AD$505)</f>
        <v>0</v>
      </c>
      <c r="AE9" s="42">
        <f ca="1">SUMIF(SUBSIDIO!$B$2:$B$505,$Q$9,SUBSIDIO!$AE$2:$AE$505)</f>
        <v>118576.73565544355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34</v>
      </c>
      <c r="E10" s="41" t="s">
        <v>25</v>
      </c>
      <c r="F10" s="41" t="s">
        <v>25</v>
      </c>
      <c r="G10" s="41" t="s">
        <v>25</v>
      </c>
      <c r="H10" s="41" t="s">
        <v>38</v>
      </c>
      <c r="I10" s="61">
        <v>44682</v>
      </c>
      <c r="J10" s="62">
        <f ca="1">EFEITO!$J$10*EFEITO!$Y$10</f>
        <v>28769.091912780124</v>
      </c>
      <c r="K10" s="62">
        <f ca="1">EFEITO!$L$10*EFEITO!$Z$10</f>
        <v>100417.70705255029</v>
      </c>
      <c r="L10" s="62">
        <f>EFEITO!$N$10*EFEITO!$AA$10</f>
        <v>124416.4866997964</v>
      </c>
      <c r="M10" s="62">
        <f ca="1">$J$10-EFEITO!$K$10*EFEITO!$Y$10</f>
        <v>0</v>
      </c>
      <c r="N10" s="62">
        <f ca="1">$K$10-EFEITO!$M$10*EFEITO!$Z$10</f>
        <v>0</v>
      </c>
      <c r="O10" s="62">
        <f>$L$10-EFEITO!$O$10*EFEITO!$AA$10</f>
        <v>0</v>
      </c>
      <c r="P10" s="45"/>
      <c r="Q10" s="62" t="s">
        <v>42</v>
      </c>
      <c r="R10" s="62">
        <f>SUMIF($B$2:$B$505,$Q$10,$J$2:$J$505)</f>
        <v>0</v>
      </c>
      <c r="S10" s="62">
        <f ca="1">SUMIF($B$2:$B$505,$Q$10,$K$2:$K$505)</f>
        <v>5498424.511794663</v>
      </c>
      <c r="T10" s="62">
        <f>SUMIF($B$2:$B$505,$Q$10,$L$2:$L$505)</f>
        <v>1835373.3693202448</v>
      </c>
      <c r="U10" s="62">
        <f>SUMIF($B$2:$B$505,$Q$10,$M$2:$M$505)</f>
        <v>0</v>
      </c>
      <c r="V10" s="62">
        <f ca="1">SUMIF($B$2:$B$505,$Q$10,$N$2:$N$505)</f>
        <v>455105.39195054292</v>
      </c>
      <c r="W10" s="62">
        <f>SUMIF($B$2:$B$505,$Q$10,$O$2:$O$505)</f>
        <v>151914.11918601469</v>
      </c>
      <c r="X10" s="42">
        <f>$R$10-$U$10</f>
        <v>0</v>
      </c>
      <c r="Y10" s="42">
        <f ca="1">$S$10-$V$10</f>
        <v>5043319.11984412</v>
      </c>
      <c r="Z10" s="42">
        <f>$T$10-$W$10</f>
        <v>1683459.2501342301</v>
      </c>
      <c r="AA10" s="42">
        <f>SUMIF(EFEITO!$B$2:$B$505,$Q$10,EFEITO!$AE$2:$AE$505)</f>
        <v>0</v>
      </c>
      <c r="AB10" s="42">
        <f ca="1">SUMIF(EFEITO!$B$2:$B$505,$Q$10,EFEITO!$AF$2:$AF$505)</f>
        <v>5043319.1198441219</v>
      </c>
      <c r="AC10" s="42">
        <f>SUMIF(EFEITO!$B$2:$B$505,$Q$10,EFEITO!$AG$2:$AH$505)</f>
        <v>1683459.2501342304</v>
      </c>
      <c r="AD10" s="42">
        <f>SUMIF(SUBSIDIO!$B$2:$B$505,$Q$10,SUBSIDIO!$AD$2:$AD$505)</f>
        <v>0</v>
      </c>
      <c r="AE10" s="42">
        <f ca="1">SUMIF(SUBSIDIO!$B$2:$B$505,$Q$10,SUBSIDIO!$AE$2:$AE$505)</f>
        <v>607019.51113655814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34</v>
      </c>
      <c r="E11" s="41" t="s">
        <v>25</v>
      </c>
      <c r="F11" s="41" t="s">
        <v>25</v>
      </c>
      <c r="G11" s="41" t="s">
        <v>25</v>
      </c>
      <c r="H11" s="41" t="s">
        <v>38</v>
      </c>
      <c r="I11" s="61">
        <v>44713</v>
      </c>
      <c r="J11" s="62">
        <f ca="1">EFEITO!$J$11*EFEITO!$Y$11</f>
        <v>28688.602846677222</v>
      </c>
      <c r="K11" s="62">
        <f ca="1">EFEITO!$L$11*EFEITO!$Z$11</f>
        <v>72615.09194506974</v>
      </c>
      <c r="L11" s="62">
        <f>EFEITO!$N$11*EFEITO!$AA$11</f>
        <v>89969.337942165381</v>
      </c>
      <c r="M11" s="62">
        <f ca="1">$J$11-EFEITO!$K$11*EFEITO!$Y$11</f>
        <v>0</v>
      </c>
      <c r="N11" s="62">
        <f ca="1">$K$11-EFEITO!$M$11*EFEITO!$Z$11</f>
        <v>0</v>
      </c>
      <c r="O11" s="62">
        <f>$L$11-EFEITO!$O$11*EFEITO!$AA$11</f>
        <v>0</v>
      </c>
      <c r="P11" s="45"/>
      <c r="Q11" s="62" t="s">
        <v>33</v>
      </c>
      <c r="R11" s="62">
        <f>SUMIF($B$2:$B$505,$Q$11,$J$2:$J$505)</f>
        <v>0</v>
      </c>
      <c r="S11" s="62">
        <f ca="1">SUMIF($B$2:$B$505,$Q$11,$K$2:$K$505)</f>
        <v>7392384.8244411526</v>
      </c>
      <c r="T11" s="62">
        <f>SUMIF($B$2:$B$505,$Q$11,$L$2:$L$505)</f>
        <v>2467577.0692936047</v>
      </c>
      <c r="U11" s="62">
        <f>SUMIF($B$2:$B$505,$Q$11,$M$2:$M$505)</f>
        <v>0</v>
      </c>
      <c r="V11" s="62">
        <f ca="1">SUMIF($B$2:$B$505,$Q$11,$N$2:$N$505)</f>
        <v>9174.684782878845</v>
      </c>
      <c r="W11" s="62">
        <f>SUMIF($B$2:$B$505,$Q$11,$O$2:$O$505)</f>
        <v>3062.508557911865</v>
      </c>
      <c r="X11" s="42">
        <f>$R$11-$U$11</f>
        <v>0</v>
      </c>
      <c r="Y11" s="42">
        <f ca="1">$S$11-$V$11</f>
        <v>7383210.1396582741</v>
      </c>
      <c r="Z11" s="42">
        <f>$T$11-$W$11</f>
        <v>2464514.5607356927</v>
      </c>
      <c r="AA11" s="42">
        <f>SUMIF(EFEITO!$B$2:$B$505,$Q$11,EFEITO!$AE$2:$AE$505)</f>
        <v>0</v>
      </c>
      <c r="AB11" s="42">
        <f ca="1">SUMIF(EFEITO!$B$2:$B$505,$Q$11,EFEITO!$AF$2:$AF$505)</f>
        <v>7383210.1396582732</v>
      </c>
      <c r="AC11" s="42">
        <f>SUMIF(EFEITO!$B$2:$B$505,$Q$11,EFEITO!$AG$2:$AH$505)</f>
        <v>2464514.5607356941</v>
      </c>
      <c r="AD11" s="42">
        <f>SUMIF(SUBSIDIO!$B$2:$B$505,$Q$11,SUBSIDIO!$AD$2:$AD$505)</f>
        <v>0</v>
      </c>
      <c r="AE11" s="42">
        <f ca="1">SUMIF(SUBSIDIO!$B$2:$B$505,$Q$11,SUBSIDIO!$AE$2:$AE$505)</f>
        <v>12237.19334079072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34</v>
      </c>
      <c r="E12" s="41" t="s">
        <v>25</v>
      </c>
      <c r="F12" s="41" t="s">
        <v>25</v>
      </c>
      <c r="G12" s="41" t="s">
        <v>25</v>
      </c>
      <c r="H12" s="41" t="s">
        <v>38</v>
      </c>
      <c r="I12" s="61">
        <v>44743</v>
      </c>
      <c r="J12" s="62">
        <f ca="1">EFEITO!$J$12*EFEITO!$Y$12</f>
        <v>27987.198127780503</v>
      </c>
      <c r="K12" s="62">
        <f ca="1">EFEITO!$L$12*EFEITO!$Z$12</f>
        <v>80522.015516730709</v>
      </c>
      <c r="L12" s="62">
        <f>EFEITO!$N$12*EFEITO!$AA$12</f>
        <v>99765.933385985365</v>
      </c>
      <c r="M12" s="62">
        <f ca="1">$J$12-EFEITO!$K$12*EFEITO!$Y$12</f>
        <v>0</v>
      </c>
      <c r="N12" s="62">
        <f ca="1">$K$12-EFEITO!$M$12*EFEITO!$Z$12</f>
        <v>0</v>
      </c>
      <c r="O12" s="62">
        <f>$L$12-EFEITO!$O$12*EFEITO!$AA$12</f>
        <v>0</v>
      </c>
      <c r="P12" s="45"/>
      <c r="Q12" s="62" t="s">
        <v>45</v>
      </c>
      <c r="R12" s="62">
        <f>SUMIF($B$2:$B$505,$Q$12,$J$2:$J$505)</f>
        <v>0</v>
      </c>
      <c r="S12" s="62">
        <f ca="1">SUMIF($B$2:$B$505,$Q$12,$K$2:$K$505)</f>
        <v>1981883.6660312705</v>
      </c>
      <c r="T12" s="62">
        <f>SUMIF($B$2:$B$505,$Q$12,$L$2:$L$505)</f>
        <v>661552.50361658749</v>
      </c>
      <c r="U12" s="62">
        <f>SUMIF($B$2:$B$505,$Q$12,$M$2:$M$505)</f>
        <v>0</v>
      </c>
      <c r="V12" s="62">
        <f ca="1">SUMIF($B$2:$B$505,$Q$12,$N$2:$N$505)</f>
        <v>0</v>
      </c>
      <c r="W12" s="62">
        <f>SUMIF($B$2:$B$505,$Q$12,$O$2:$O$505)</f>
        <v>0</v>
      </c>
      <c r="X12" s="42">
        <f>$R$12-$U$12</f>
        <v>0</v>
      </c>
      <c r="Y12" s="42">
        <f ca="1">$S$12-$V$12</f>
        <v>1981883.6660312705</v>
      </c>
      <c r="Z12" s="42">
        <f>$T$12-$W$12</f>
        <v>661552.50361658749</v>
      </c>
      <c r="AA12" s="42">
        <f>SUMIF(EFEITO!$B$2:$B$505,$Q$12,EFEITO!$AE$2:$AE$505)</f>
        <v>0</v>
      </c>
      <c r="AB12" s="42">
        <f ca="1">SUMIF(EFEITO!$B$2:$B$505,$Q$12,EFEITO!$AF$2:$AF$505)</f>
        <v>1981883.6660312705</v>
      </c>
      <c r="AC12" s="42">
        <f>SUMIF(EFEITO!$B$2:$B$505,$Q$12,EFEITO!$AG$2:$AH$505)</f>
        <v>661552.50361658749</v>
      </c>
      <c r="AD12" s="42">
        <f>SUMIF(SUBSIDIO!$B$2:$B$505,$Q$12,SUBSIDIO!$AD$2:$AD$505)</f>
        <v>0</v>
      </c>
      <c r="AE12" s="42">
        <f>SUMIF(SUBSIDIO!$B$2:$B$505,$Q$12,SUBSIDIO!$AE$2:$AE$505)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57</v>
      </c>
      <c r="B13" s="41" t="s">
        <v>35</v>
      </c>
      <c r="C13" s="41" t="s">
        <v>36</v>
      </c>
      <c r="D13" s="41" t="s">
        <v>34</v>
      </c>
      <c r="E13" s="41" t="s">
        <v>25</v>
      </c>
      <c r="F13" s="41" t="s">
        <v>25</v>
      </c>
      <c r="G13" s="41" t="s">
        <v>25</v>
      </c>
      <c r="H13" s="41" t="s">
        <v>38</v>
      </c>
      <c r="I13" s="61">
        <v>44774</v>
      </c>
      <c r="J13" s="62">
        <f ca="1">EFEITO!$J$13*EFEITO!$Y$13</f>
        <v>27987.198127780503</v>
      </c>
      <c r="K13" s="62">
        <f ca="1">EFEITO!$L$13*EFEITO!$Z$13</f>
        <v>80522.015516730709</v>
      </c>
      <c r="L13" s="62">
        <f>EFEITO!$N$13*EFEITO!$AA$13</f>
        <v>99765.933385985365</v>
      </c>
      <c r="M13" s="62">
        <f ca="1">$J$13-EFEITO!$K$13*EFEITO!$Y$13</f>
        <v>0</v>
      </c>
      <c r="N13" s="62">
        <f ca="1">$K$13-EFEITO!$M$13*EFEITO!$Z$13</f>
        <v>0</v>
      </c>
      <c r="O13" s="62">
        <f>$L$13-EFEITO!$O$13*EFEITO!$AA$13</f>
        <v>0</v>
      </c>
      <c r="P13" s="45"/>
      <c r="Q13" s="62" t="s">
        <v>83</v>
      </c>
      <c r="R13" s="62">
        <f>SUMIF($B$2:$B$505,$Q$13,$J$2:$J$505)</f>
        <v>0</v>
      </c>
      <c r="S13" s="62">
        <f>SUMIF($B$2:$B$505,$Q$13,$K$2:$K$505)</f>
        <v>0</v>
      </c>
      <c r="T13" s="62">
        <f>SUMIF($B$2:$B$505,$Q$13,$L$2:$L$505)</f>
        <v>0</v>
      </c>
      <c r="U13" s="62">
        <f>SUMIF($B$2:$B$505,$Q$13,$M$2:$M$505)</f>
        <v>0</v>
      </c>
      <c r="V13" s="62">
        <f>SUMIF($B$2:$B$505,$Q$13,$N$2:$N$505)</f>
        <v>0</v>
      </c>
      <c r="W13" s="62">
        <f>SUMIF($B$2:$B$505,$Q$13,$O$2:$O$505)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SUMIF(EFEITO!$B$2:$B$505,$Q$13,EFEITO!$AE$2:$AE$505)</f>
        <v>0</v>
      </c>
      <c r="AB13" s="42">
        <f>SUMIF(EFEITO!$B$2:$B$505,$Q$13,EFEITO!$AF$2:$AF$505)</f>
        <v>0</v>
      </c>
      <c r="AC13" s="42">
        <f>SUMIF(EFEITO!$B$2:$B$505,$Q$13,EFEITO!$AG$2:$AH$505)</f>
        <v>0</v>
      </c>
      <c r="AD13" s="42">
        <f>SUMIF(SUBSIDIO!$B$2:$B$505,$Q$13,SUBSIDIO!$AD$2:$AD$505)</f>
        <v>0</v>
      </c>
      <c r="AE13" s="42">
        <f>SUMIF(SUBSIDIO!$B$2:$B$505,$Q$13,SUBSIDIO!$AE$2:$AE$505)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34</v>
      </c>
      <c r="E14" s="41" t="s">
        <v>25</v>
      </c>
      <c r="F14" s="41" t="s">
        <v>25</v>
      </c>
      <c r="G14" s="41" t="s">
        <v>25</v>
      </c>
      <c r="H14" s="41" t="s">
        <v>37</v>
      </c>
      <c r="I14" s="61">
        <v>44440</v>
      </c>
      <c r="J14" s="62">
        <f ca="1">EFEITO!$J$14*EFEITO!$Y$14</f>
        <v>65113.617191529775</v>
      </c>
      <c r="K14" s="62">
        <f ca="1">EFEITO!$L$14*EFEITO!$Z$14</f>
        <v>9157.8666474474012</v>
      </c>
      <c r="L14" s="62">
        <f>EFEITO!$N$14*EFEITO!$AA$14</f>
        <v>11346.500805324968</v>
      </c>
      <c r="M14" s="62">
        <f ca="1">$J$14-EFEITO!$K$14*EFEITO!$Y$14</f>
        <v>0</v>
      </c>
      <c r="N14" s="62">
        <f ca="1">$K$14-EFEITO!$M$14*EFEITO!$Z$14</f>
        <v>0</v>
      </c>
      <c r="O14" s="62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34</v>
      </c>
      <c r="E15" s="41" t="s">
        <v>25</v>
      </c>
      <c r="F15" s="41" t="s">
        <v>25</v>
      </c>
      <c r="G15" s="41" t="s">
        <v>25</v>
      </c>
      <c r="H15" s="41" t="s">
        <v>37</v>
      </c>
      <c r="I15" s="61">
        <v>44470</v>
      </c>
      <c r="J15" s="62">
        <f ca="1">EFEITO!$J$15*EFEITO!$Y$15</f>
        <v>68142.792174035974</v>
      </c>
      <c r="K15" s="62">
        <f ca="1">EFEITO!$L$15*EFEITO!$Z$15</f>
        <v>8210.6512536679074</v>
      </c>
      <c r="L15" s="62">
        <f>EFEITO!$N$15*EFEITO!$AA$15</f>
        <v>10172.910858879206</v>
      </c>
      <c r="M15" s="62">
        <f ca="1">$J$15-EFEITO!$K$15*EFEITO!$Y$15</f>
        <v>0</v>
      </c>
      <c r="N15" s="62">
        <f ca="1">$K$15-EFEITO!$M$15*EFEITO!$Z$15</f>
        <v>0</v>
      </c>
      <c r="O15" s="62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34</v>
      </c>
      <c r="E16" s="41" t="s">
        <v>25</v>
      </c>
      <c r="F16" s="41" t="s">
        <v>25</v>
      </c>
      <c r="G16" s="41" t="s">
        <v>25</v>
      </c>
      <c r="H16" s="41" t="s">
        <v>37</v>
      </c>
      <c r="I16" s="61">
        <v>44501</v>
      </c>
      <c r="J16" s="62">
        <f ca="1">EFEITO!$J$16*EFEITO!$Y$16</f>
        <v>64213.051656190088</v>
      </c>
      <c r="K16" s="62">
        <f ca="1">EFEITO!$L$16*EFEITO!$Z$16</f>
        <v>9387.8623273568937</v>
      </c>
      <c r="L16" s="62">
        <f>EFEITO!$N$16*EFEITO!$AA$16</f>
        <v>11631.463042468016</v>
      </c>
      <c r="M16" s="62">
        <f ca="1">$J$16-EFEITO!$K$16*EFEITO!$Y$16</f>
        <v>0</v>
      </c>
      <c r="N16" s="62">
        <f ca="1">$K$16-EFEITO!$M$16*EFEITO!$Z$16</f>
        <v>0</v>
      </c>
      <c r="O16" s="62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34</v>
      </c>
      <c r="E17" s="41" t="s">
        <v>25</v>
      </c>
      <c r="F17" s="41" t="s">
        <v>25</v>
      </c>
      <c r="G17" s="41" t="s">
        <v>25</v>
      </c>
      <c r="H17" s="41" t="s">
        <v>37</v>
      </c>
      <c r="I17" s="61">
        <v>44531</v>
      </c>
      <c r="J17" s="62">
        <f ca="1">EFEITO!$J$17*EFEITO!$Y$17</f>
        <v>66641.849615136511</v>
      </c>
      <c r="K17" s="62">
        <f ca="1">EFEITO!$L$17*EFEITO!$Z$17</f>
        <v>10207.528767759273</v>
      </c>
      <c r="L17" s="62">
        <f>EFEITO!$N$17*EFEITO!$AA$17</f>
        <v>12647.021172342702</v>
      </c>
      <c r="M17" s="62">
        <f ca="1">$J$17-EFEITO!$K$17*EFEITO!$Y$17</f>
        <v>0</v>
      </c>
      <c r="N17" s="62">
        <f ca="1">$K$17-EFEITO!$M$17*EFEITO!$Z$17</f>
        <v>0</v>
      </c>
      <c r="O17" s="62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34</v>
      </c>
      <c r="E18" s="41" t="s">
        <v>25</v>
      </c>
      <c r="F18" s="41" t="s">
        <v>25</v>
      </c>
      <c r="G18" s="41" t="s">
        <v>25</v>
      </c>
      <c r="H18" s="41" t="s">
        <v>37</v>
      </c>
      <c r="I18" s="61">
        <v>44562</v>
      </c>
      <c r="J18" s="62">
        <f ca="1">EFEITO!$J$18*EFEITO!$Y$18</f>
        <v>66614.559750429238</v>
      </c>
      <c r="K18" s="62">
        <f ca="1">EFEITO!$L$18*EFEITO!$Z$18</f>
        <v>11440.687240024714</v>
      </c>
      <c r="L18" s="62">
        <f>EFEITO!$N$18*EFEITO!$AA$18</f>
        <v>14174.891596460875</v>
      </c>
      <c r="M18" s="62">
        <f ca="1">$J$18-EFEITO!$K$18*EFEITO!$Y$18</f>
        <v>0</v>
      </c>
      <c r="N18" s="62">
        <f ca="1">$K$18-EFEITO!$M$18*EFEITO!$Z$18</f>
        <v>0</v>
      </c>
      <c r="O18" s="62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34</v>
      </c>
      <c r="E19" s="41" t="s">
        <v>25</v>
      </c>
      <c r="F19" s="41" t="s">
        <v>25</v>
      </c>
      <c r="G19" s="41" t="s">
        <v>25</v>
      </c>
      <c r="H19" s="41" t="s">
        <v>37</v>
      </c>
      <c r="I19" s="61">
        <v>44593</v>
      </c>
      <c r="J19" s="62">
        <f ca="1">EFEITO!$J$19*EFEITO!$Y$19</f>
        <v>64376.790844433664</v>
      </c>
      <c r="K19" s="62">
        <f ca="1">EFEITO!$L$19*EFEITO!$Z$19</f>
        <v>11319.437000394619</v>
      </c>
      <c r="L19" s="62">
        <f>EFEITO!$N$19*EFEITO!$AA$19</f>
        <v>14024.663820214297</v>
      </c>
      <c r="M19" s="62">
        <f ca="1">$J$19-EFEITO!$K$19*EFEITO!$Y$19</f>
        <v>0</v>
      </c>
      <c r="N19" s="62">
        <f ca="1">$K$19-EFEITO!$M$19*EFEITO!$Z$19</f>
        <v>0</v>
      </c>
      <c r="O19" s="62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34</v>
      </c>
      <c r="E20" s="41" t="s">
        <v>25</v>
      </c>
      <c r="F20" s="41" t="s">
        <v>25</v>
      </c>
      <c r="G20" s="41" t="s">
        <v>25</v>
      </c>
      <c r="H20" s="41" t="s">
        <v>37</v>
      </c>
      <c r="I20" s="61">
        <v>44621</v>
      </c>
      <c r="J20" s="62">
        <f ca="1">EFEITO!$J$20*EFEITO!$Y$20</f>
        <v>67596.994879890713</v>
      </c>
      <c r="K20" s="62">
        <f ca="1">EFEITO!$L$20*EFEITO!$Z$20</f>
        <v>9025.2231461866704</v>
      </c>
      <c r="L20" s="62">
        <f>EFEITO!$N$20*EFEITO!$AA$20</f>
        <v>11182.156897314961</v>
      </c>
      <c r="M20" s="62">
        <f ca="1">$J$20-EFEITO!$K$20*EFEITO!$Y$20</f>
        <v>0</v>
      </c>
      <c r="N20" s="62">
        <f ca="1">$K$20-EFEITO!$M$20*EFEITO!$Z$20</f>
        <v>0</v>
      </c>
      <c r="O20" s="62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34</v>
      </c>
      <c r="E21" s="41" t="s">
        <v>25</v>
      </c>
      <c r="F21" s="41" t="s">
        <v>25</v>
      </c>
      <c r="G21" s="41" t="s">
        <v>25</v>
      </c>
      <c r="H21" s="41" t="s">
        <v>37</v>
      </c>
      <c r="I21" s="61">
        <v>44652</v>
      </c>
      <c r="J21" s="62">
        <f ca="1">EFEITO!$J$21*EFEITO!$Y$21</f>
        <v>68361.111091694082</v>
      </c>
      <c r="K21" s="62">
        <f ca="1">EFEITO!$L$21*EFEITO!$Z$21</f>
        <v>7605.696849524169</v>
      </c>
      <c r="L21" s="62">
        <f>EFEITO!$N$21*EFEITO!$AA$21</f>
        <v>9423.3786918307724</v>
      </c>
      <c r="M21" s="62">
        <f ca="1">$J$21-EFEITO!$K$21*EFEITO!$Y$21</f>
        <v>0</v>
      </c>
      <c r="N21" s="62">
        <f ca="1">$K$21-EFEITO!$M$21*EFEITO!$Z$21</f>
        <v>0</v>
      </c>
      <c r="O21" s="62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34</v>
      </c>
      <c r="E22" s="41" t="s">
        <v>25</v>
      </c>
      <c r="F22" s="41" t="s">
        <v>25</v>
      </c>
      <c r="G22" s="41" t="s">
        <v>25</v>
      </c>
      <c r="H22" s="41" t="s">
        <v>37</v>
      </c>
      <c r="I22" s="61">
        <v>44682</v>
      </c>
      <c r="J22" s="62">
        <f ca="1">EFEITO!$J$22*EFEITO!$Y$22</f>
        <v>67133.067179867241</v>
      </c>
      <c r="K22" s="62">
        <f ca="1">EFEITO!$L$22*EFEITO!$Z$22</f>
        <v>9876.5684116108168</v>
      </c>
      <c r="L22" s="62">
        <f>EFEITO!$N$22*EFEITO!$AA$22</f>
        <v>12236.964759409913</v>
      </c>
      <c r="M22" s="62">
        <f ca="1">$J$22-EFEITO!$K$22*EFEITO!$Y$22</f>
        <v>0</v>
      </c>
      <c r="N22" s="62">
        <f ca="1">$K$22-EFEITO!$M$22*EFEITO!$Z$22</f>
        <v>0</v>
      </c>
      <c r="O22" s="62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34</v>
      </c>
      <c r="E23" s="41" t="s">
        <v>25</v>
      </c>
      <c r="F23" s="41" t="s">
        <v>25</v>
      </c>
      <c r="G23" s="41" t="s">
        <v>25</v>
      </c>
      <c r="H23" s="41" t="s">
        <v>37</v>
      </c>
      <c r="I23" s="61">
        <v>44713</v>
      </c>
      <c r="J23" s="62">
        <f ca="1">EFEITO!$J$23*EFEITO!$Y$23</f>
        <v>67324.09623281809</v>
      </c>
      <c r="K23" s="62">
        <f ca="1">EFEITO!$L$23*EFEITO!$Z$23</f>
        <v>7288.1675741597946</v>
      </c>
      <c r="L23" s="62">
        <f>EFEITO!$N$23*EFEITO!$AA$23</f>
        <v>9029.9632472369849</v>
      </c>
      <c r="M23" s="62">
        <f ca="1">$J$23-EFEITO!$K$23*EFEITO!$Y$23</f>
        <v>0</v>
      </c>
      <c r="N23" s="62">
        <f ca="1">$K$23-EFEITO!$M$23*EFEITO!$Z$23</f>
        <v>0</v>
      </c>
      <c r="O23" s="62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34</v>
      </c>
      <c r="E24" s="41" t="s">
        <v>25</v>
      </c>
      <c r="F24" s="41" t="s">
        <v>25</v>
      </c>
      <c r="G24" s="41" t="s">
        <v>25</v>
      </c>
      <c r="H24" s="41" t="s">
        <v>37</v>
      </c>
      <c r="I24" s="61">
        <v>44743</v>
      </c>
      <c r="J24" s="62">
        <f ca="1">EFEITO!$J$24*EFEITO!$Y$24</f>
        <v>66505.400291600192</v>
      </c>
      <c r="K24" s="62">
        <f ca="1">EFEITO!$L$24*EFEITO!$Z$24</f>
        <v>7856.1633491114708</v>
      </c>
      <c r="L24" s="62">
        <f>EFEITO!$N$24*EFEITO!$AA$24</f>
        <v>9733.7040600284381</v>
      </c>
      <c r="M24" s="62">
        <f ca="1">$J$24-EFEITO!$K$24*EFEITO!$Y$24</f>
        <v>0</v>
      </c>
      <c r="N24" s="62">
        <f ca="1">$K$24-EFEITO!$M$24*EFEITO!$Z$24</f>
        <v>0</v>
      </c>
      <c r="O24" s="62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41" t="s">
        <v>57</v>
      </c>
      <c r="B25" s="41" t="s">
        <v>35</v>
      </c>
      <c r="C25" s="41" t="s">
        <v>36</v>
      </c>
      <c r="D25" s="41" t="s">
        <v>34</v>
      </c>
      <c r="E25" s="41" t="s">
        <v>25</v>
      </c>
      <c r="F25" s="41" t="s">
        <v>25</v>
      </c>
      <c r="G25" s="41" t="s">
        <v>25</v>
      </c>
      <c r="H25" s="41" t="s">
        <v>37</v>
      </c>
      <c r="I25" s="61">
        <v>44774</v>
      </c>
      <c r="J25" s="62">
        <f ca="1">EFEITO!$J$25*EFEITO!$Y$25</f>
        <v>66505.400291600192</v>
      </c>
      <c r="K25" s="62">
        <f ca="1">EFEITO!$L$25*EFEITO!$Z$25</f>
        <v>7856.1633491114708</v>
      </c>
      <c r="L25" s="62">
        <f>EFEITO!$N$25*EFEITO!$AA$25</f>
        <v>9733.7040600284381</v>
      </c>
      <c r="M25" s="62">
        <f ca="1">$J$25-EFEITO!$K$25*EFEITO!$Y$25</f>
        <v>0</v>
      </c>
      <c r="N25" s="62">
        <f ca="1">$K$25-EFEITO!$M$25*EFEITO!$Z$25</f>
        <v>0</v>
      </c>
      <c r="O25" s="62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41" t="s">
        <v>21</v>
      </c>
      <c r="B26" s="41" t="s">
        <v>39</v>
      </c>
      <c r="C26" s="41" t="s">
        <v>36</v>
      </c>
      <c r="D26" s="41" t="s">
        <v>34</v>
      </c>
      <c r="E26" s="41" t="s">
        <v>25</v>
      </c>
      <c r="F26" s="41" t="s">
        <v>25</v>
      </c>
      <c r="G26" s="41" t="s">
        <v>25</v>
      </c>
      <c r="H26" s="41" t="s">
        <v>38</v>
      </c>
      <c r="I26" s="61">
        <v>44440</v>
      </c>
      <c r="J26" s="62">
        <f ca="1">EFEITO!$J$26*EFEITO!$Y$26</f>
        <v>111152.4968519283</v>
      </c>
      <c r="K26" s="62">
        <f ca="1">EFEITO!$L$26*EFEITO!$Z$26</f>
        <v>364361.48488926649</v>
      </c>
      <c r="L26" s="62">
        <f>EFEITO!$N$26*EFEITO!$AA$26</f>
        <v>343759.25413140078</v>
      </c>
      <c r="M26" s="62">
        <f ca="1">$J$26-EFEITO!$K$26*EFEITO!$Y$26</f>
        <v>0</v>
      </c>
      <c r="N26" s="62">
        <f ca="1">$K$26-EFEITO!$M$26*EFEITO!$Z$26</f>
        <v>0</v>
      </c>
      <c r="O26" s="62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41" t="s">
        <v>21</v>
      </c>
      <c r="B27" s="41" t="s">
        <v>39</v>
      </c>
      <c r="C27" s="41" t="s">
        <v>36</v>
      </c>
      <c r="D27" s="41" t="s">
        <v>34</v>
      </c>
      <c r="E27" s="41" t="s">
        <v>25</v>
      </c>
      <c r="F27" s="41" t="s">
        <v>25</v>
      </c>
      <c r="G27" s="41" t="s">
        <v>25</v>
      </c>
      <c r="H27" s="41" t="s">
        <v>38</v>
      </c>
      <c r="I27" s="61">
        <v>44470</v>
      </c>
      <c r="J27" s="62">
        <f ca="1">EFEITO!$J$27*EFEITO!$Y$27</f>
        <v>111850.64476603959</v>
      </c>
      <c r="K27" s="62">
        <f ca="1">EFEITO!$L$27*EFEITO!$Z$27</f>
        <v>349491.18380654947</v>
      </c>
      <c r="L27" s="62">
        <f>EFEITO!$N$27*EFEITO!$AA$27</f>
        <v>329729.77016863314</v>
      </c>
      <c r="M27" s="62">
        <f ca="1">$J$27-EFEITO!$K$27*EFEITO!$Y$27</f>
        <v>0</v>
      </c>
      <c r="N27" s="62">
        <f ca="1">$K$27-EFEITO!$M$27*EFEITO!$Z$27</f>
        <v>0</v>
      </c>
      <c r="O27" s="62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41" t="s">
        <v>21</v>
      </c>
      <c r="B28" s="41" t="s">
        <v>39</v>
      </c>
      <c r="C28" s="41" t="s">
        <v>36</v>
      </c>
      <c r="D28" s="41" t="s">
        <v>34</v>
      </c>
      <c r="E28" s="41" t="s">
        <v>25</v>
      </c>
      <c r="F28" s="41" t="s">
        <v>25</v>
      </c>
      <c r="G28" s="41" t="s">
        <v>25</v>
      </c>
      <c r="H28" s="41" t="s">
        <v>38</v>
      </c>
      <c r="I28" s="61">
        <v>44501</v>
      </c>
      <c r="J28" s="62">
        <f ca="1">EFEITO!$J$28*EFEITO!$Y$28</f>
        <v>115304.63970953753</v>
      </c>
      <c r="K28" s="62">
        <f ca="1">EFEITO!$L$28*EFEITO!$Z$28</f>
        <v>372528.3814829223</v>
      </c>
      <c r="L28" s="62">
        <f>EFEITO!$N$28*EFEITO!$AA$28</f>
        <v>351464.36676825542</v>
      </c>
      <c r="M28" s="62">
        <f ca="1">$J$28-EFEITO!$K$28*EFEITO!$Y$28</f>
        <v>0</v>
      </c>
      <c r="N28" s="62">
        <f ca="1">$K$28-EFEITO!$M$28*EFEITO!$Z$28</f>
        <v>0</v>
      </c>
      <c r="O28" s="62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41" t="s">
        <v>21</v>
      </c>
      <c r="B29" s="41" t="s">
        <v>39</v>
      </c>
      <c r="C29" s="41" t="s">
        <v>36</v>
      </c>
      <c r="D29" s="41" t="s">
        <v>34</v>
      </c>
      <c r="E29" s="41" t="s">
        <v>25</v>
      </c>
      <c r="F29" s="41" t="s">
        <v>25</v>
      </c>
      <c r="G29" s="41" t="s">
        <v>25</v>
      </c>
      <c r="H29" s="41" t="s">
        <v>38</v>
      </c>
      <c r="I29" s="61">
        <v>44531</v>
      </c>
      <c r="J29" s="62">
        <f ca="1">EFEITO!$J$29*EFEITO!$Y$29</f>
        <v>114937.19343895264</v>
      </c>
      <c r="K29" s="62">
        <f ca="1">EFEITO!$L$29*EFEITO!$Z$29</f>
        <v>370713.826439764</v>
      </c>
      <c r="L29" s="62">
        <f>EFEITO!$N$29*EFEITO!$AA$29</f>
        <v>349752.41280471825</v>
      </c>
      <c r="M29" s="62">
        <f ca="1">$J$29-EFEITO!$K$29*EFEITO!$Y$29</f>
        <v>0</v>
      </c>
      <c r="N29" s="62">
        <f ca="1">$K$29-EFEITO!$M$29*EFEITO!$Z$29</f>
        <v>0</v>
      </c>
      <c r="O29" s="62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41" t="s">
        <v>21</v>
      </c>
      <c r="B30" s="41" t="s">
        <v>39</v>
      </c>
      <c r="C30" s="41" t="s">
        <v>36</v>
      </c>
      <c r="D30" s="41" t="s">
        <v>34</v>
      </c>
      <c r="E30" s="41" t="s">
        <v>25</v>
      </c>
      <c r="F30" s="41" t="s">
        <v>25</v>
      </c>
      <c r="G30" s="41" t="s">
        <v>25</v>
      </c>
      <c r="H30" s="41" t="s">
        <v>38</v>
      </c>
      <c r="I30" s="61">
        <v>44562</v>
      </c>
      <c r="J30" s="62">
        <f ca="1">EFEITO!$J$30*EFEITO!$Y$30</f>
        <v>116057.90456423655</v>
      </c>
      <c r="K30" s="62">
        <f ca="1">EFEITO!$L$30*EFEITO!$Z$30</f>
        <v>386538.17694283969</v>
      </c>
      <c r="L30" s="62">
        <f>EFEITO!$N$30*EFEITO!$AA$30</f>
        <v>364682.00100667751</v>
      </c>
      <c r="M30" s="62">
        <f ca="1">$J$30-EFEITO!$K$30*EFEITO!$Y$30</f>
        <v>0</v>
      </c>
      <c r="N30" s="62">
        <f ca="1">$K$30-EFEITO!$M$30*EFEITO!$Z$30</f>
        <v>0</v>
      </c>
      <c r="O30" s="62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41" t="s">
        <v>21</v>
      </c>
      <c r="B31" s="41" t="s">
        <v>39</v>
      </c>
      <c r="C31" s="41" t="s">
        <v>36</v>
      </c>
      <c r="D31" s="41" t="s">
        <v>34</v>
      </c>
      <c r="E31" s="41" t="s">
        <v>25</v>
      </c>
      <c r="F31" s="41" t="s">
        <v>25</v>
      </c>
      <c r="G31" s="41" t="s">
        <v>25</v>
      </c>
      <c r="H31" s="41" t="s">
        <v>38</v>
      </c>
      <c r="I31" s="61">
        <v>44593</v>
      </c>
      <c r="J31" s="62">
        <f ca="1">EFEITO!$J$31*EFEITO!$Y$31</f>
        <v>115561.85209894695</v>
      </c>
      <c r="K31" s="62">
        <f ca="1">EFEITO!$L$31*EFEITO!$Z$31</f>
        <v>363099.9208782324</v>
      </c>
      <c r="L31" s="62">
        <f>EFEITO!$N$31*EFEITO!$AA$31</f>
        <v>342569.02321661601</v>
      </c>
      <c r="M31" s="62">
        <f ca="1">$J$31-EFEITO!$K$31*EFEITO!$Y$31</f>
        <v>0</v>
      </c>
      <c r="N31" s="62">
        <f ca="1">$K$31-EFEITO!$M$31*EFEITO!$Z$31</f>
        <v>0</v>
      </c>
      <c r="O31" s="62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41" t="s">
        <v>21</v>
      </c>
      <c r="B32" s="41" t="s">
        <v>39</v>
      </c>
      <c r="C32" s="41" t="s">
        <v>36</v>
      </c>
      <c r="D32" s="41" t="s">
        <v>34</v>
      </c>
      <c r="E32" s="41" t="s">
        <v>25</v>
      </c>
      <c r="F32" s="41" t="s">
        <v>25</v>
      </c>
      <c r="G32" s="41" t="s">
        <v>25</v>
      </c>
      <c r="H32" s="41" t="s">
        <v>38</v>
      </c>
      <c r="I32" s="61">
        <v>44621</v>
      </c>
      <c r="J32" s="62">
        <f ca="1">EFEITO!$J$32*EFEITO!$Y$32</f>
        <v>121863.55563947777</v>
      </c>
      <c r="K32" s="62">
        <f ca="1">EFEITO!$L$32*EFEITO!$Z$32</f>
        <v>409391.93632699014</v>
      </c>
      <c r="L32" s="62">
        <f>EFEITO!$N$32*EFEITO!$AA$32</f>
        <v>386243.53153557424</v>
      </c>
      <c r="M32" s="62">
        <f ca="1">$J$32-EFEITO!$K$32*EFEITO!$Y$32</f>
        <v>0</v>
      </c>
      <c r="N32" s="62">
        <f ca="1">$K$32-EFEITO!$M$32*EFEITO!$Z$32</f>
        <v>0</v>
      </c>
      <c r="O32" s="62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41" t="s">
        <v>21</v>
      </c>
      <c r="B33" s="41" t="s">
        <v>39</v>
      </c>
      <c r="C33" s="41" t="s">
        <v>36</v>
      </c>
      <c r="D33" s="41" t="s">
        <v>34</v>
      </c>
      <c r="E33" s="41" t="s">
        <v>25</v>
      </c>
      <c r="F33" s="41" t="s">
        <v>25</v>
      </c>
      <c r="G33" s="41" t="s">
        <v>25</v>
      </c>
      <c r="H33" s="41" t="s">
        <v>38</v>
      </c>
      <c r="I33" s="61">
        <v>44652</v>
      </c>
      <c r="J33" s="62">
        <f ca="1">EFEITO!$J$33*EFEITO!$Y$33</f>
        <v>114826.95955777717</v>
      </c>
      <c r="K33" s="62">
        <f ca="1">EFEITO!$L$33*EFEITO!$Z$33</f>
        <v>349179.89826954855</v>
      </c>
      <c r="L33" s="62">
        <f>EFEITO!$N$33*EFEITO!$AA$33</f>
        <v>329436.08576877444</v>
      </c>
      <c r="M33" s="62">
        <f ca="1">$J$33-EFEITO!$K$33*EFEITO!$Y$33</f>
        <v>0</v>
      </c>
      <c r="N33" s="62">
        <f ca="1">$K$33-EFEITO!$M$33*EFEITO!$Z$33</f>
        <v>0</v>
      </c>
      <c r="O33" s="62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41" t="s">
        <v>21</v>
      </c>
      <c r="B34" s="41" t="s">
        <v>39</v>
      </c>
      <c r="C34" s="41" t="s">
        <v>36</v>
      </c>
      <c r="D34" s="41" t="s">
        <v>34</v>
      </c>
      <c r="E34" s="41" t="s">
        <v>25</v>
      </c>
      <c r="F34" s="41" t="s">
        <v>25</v>
      </c>
      <c r="G34" s="41" t="s">
        <v>25</v>
      </c>
      <c r="H34" s="41" t="s">
        <v>38</v>
      </c>
      <c r="I34" s="61">
        <v>44682</v>
      </c>
      <c r="J34" s="62">
        <f ca="1">EFEITO!$J$34*EFEITO!$Y$34</f>
        <v>111979.25096074431</v>
      </c>
      <c r="K34" s="62">
        <f ca="1">EFEITO!$L$34*EFEITO!$Z$34</f>
        <v>369695.67093187134</v>
      </c>
      <c r="L34" s="62">
        <f>EFEITO!$N$34*EFEITO!$AA$34</f>
        <v>348791.8272530117</v>
      </c>
      <c r="M34" s="62">
        <f ca="1">$J$34-EFEITO!$K$34*EFEITO!$Y$34</f>
        <v>0</v>
      </c>
      <c r="N34" s="62">
        <f ca="1">$K$34-EFEITO!$M$34*EFEITO!$Z$34</f>
        <v>0</v>
      </c>
      <c r="O34" s="62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41" t="s">
        <v>21</v>
      </c>
      <c r="B35" s="41" t="s">
        <v>39</v>
      </c>
      <c r="C35" s="41" t="s">
        <v>36</v>
      </c>
      <c r="D35" s="41" t="s">
        <v>34</v>
      </c>
      <c r="E35" s="41" t="s">
        <v>25</v>
      </c>
      <c r="F35" s="41" t="s">
        <v>25</v>
      </c>
      <c r="G35" s="41" t="s">
        <v>25</v>
      </c>
      <c r="H35" s="41" t="s">
        <v>38</v>
      </c>
      <c r="I35" s="61">
        <v>44713</v>
      </c>
      <c r="J35" s="62">
        <f ca="1">EFEITO!$J$35*EFEITO!$Y$35</f>
        <v>112218.09103662448</v>
      </c>
      <c r="K35" s="62">
        <f ca="1">EFEITO!$L$35*EFEITO!$Z$35</f>
        <v>339617.62989201734</v>
      </c>
      <c r="L35" s="62">
        <f>EFEITO!$N$35*EFEITO!$AA$35</f>
        <v>320414.50038835639</v>
      </c>
      <c r="M35" s="62">
        <f ca="1">$J$35-EFEITO!$K$35*EFEITO!$Y$35</f>
        <v>0</v>
      </c>
      <c r="N35" s="62">
        <f ca="1">$K$35-EFEITO!$M$35*EFEITO!$Z$35</f>
        <v>0</v>
      </c>
      <c r="O35" s="62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41" t="s">
        <v>21</v>
      </c>
      <c r="B36" s="41" t="s">
        <v>39</v>
      </c>
      <c r="C36" s="41" t="s">
        <v>36</v>
      </c>
      <c r="D36" s="41" t="s">
        <v>34</v>
      </c>
      <c r="E36" s="41" t="s">
        <v>25</v>
      </c>
      <c r="F36" s="41" t="s">
        <v>25</v>
      </c>
      <c r="G36" s="41" t="s">
        <v>25</v>
      </c>
      <c r="H36" s="41" t="s">
        <v>38</v>
      </c>
      <c r="I36" s="61">
        <v>44743</v>
      </c>
      <c r="J36" s="62">
        <f ca="1">EFEITO!$J$36*EFEITO!$Y$36</f>
        <v>114073.69470307816</v>
      </c>
      <c r="K36" s="62">
        <f ca="1">EFEITO!$L$36*EFEITO!$Z$36</f>
        <v>379685.7592522052</v>
      </c>
      <c r="L36" s="62">
        <f>EFEITO!$N$36*EFEITO!$AA$36</f>
        <v>358217.04218962468</v>
      </c>
      <c r="M36" s="62">
        <f ca="1">$J$36-EFEITO!$K$36*EFEITO!$Y$36</f>
        <v>0</v>
      </c>
      <c r="N36" s="62">
        <f ca="1">$K$36-EFEITO!$M$36*EFEITO!$Z$36</f>
        <v>0</v>
      </c>
      <c r="O36" s="62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41" t="s">
        <v>57</v>
      </c>
      <c r="B37" s="41" t="s">
        <v>39</v>
      </c>
      <c r="C37" s="41" t="s">
        <v>36</v>
      </c>
      <c r="D37" s="41" t="s">
        <v>34</v>
      </c>
      <c r="E37" s="41" t="s">
        <v>25</v>
      </c>
      <c r="F37" s="41" t="s">
        <v>25</v>
      </c>
      <c r="G37" s="41" t="s">
        <v>25</v>
      </c>
      <c r="H37" s="41" t="s">
        <v>38</v>
      </c>
      <c r="I37" s="61">
        <v>44774</v>
      </c>
      <c r="J37" s="62">
        <f ca="1">EFEITO!$J$37*EFEITO!$Y$37</f>
        <v>114073.69470307816</v>
      </c>
      <c r="K37" s="62">
        <f ca="1">EFEITO!$L$37*EFEITO!$Z$37</f>
        <v>379685.7592522052</v>
      </c>
      <c r="L37" s="62">
        <f>EFEITO!$N$37*EFEITO!$AA$37</f>
        <v>358217.04218962468</v>
      </c>
      <c r="M37" s="62">
        <f ca="1">$J$37-EFEITO!$K$37*EFEITO!$Y$37</f>
        <v>0</v>
      </c>
      <c r="N37" s="62">
        <f ca="1">$K$37-EFEITO!$M$37*EFEITO!$Z$37</f>
        <v>0</v>
      </c>
      <c r="O37" s="62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41" t="s">
        <v>21</v>
      </c>
      <c r="B38" s="41" t="s">
        <v>39</v>
      </c>
      <c r="C38" s="41" t="s">
        <v>36</v>
      </c>
      <c r="D38" s="41" t="s">
        <v>34</v>
      </c>
      <c r="E38" s="41" t="s">
        <v>25</v>
      </c>
      <c r="F38" s="41" t="s">
        <v>25</v>
      </c>
      <c r="G38" s="41" t="s">
        <v>25</v>
      </c>
      <c r="H38" s="41" t="s">
        <v>37</v>
      </c>
      <c r="I38" s="61">
        <v>44440</v>
      </c>
      <c r="J38" s="62">
        <f ca="1">EFEITO!$J$38*EFEITO!$Y$38</f>
        <v>280292.57967668935</v>
      </c>
      <c r="K38" s="62">
        <f ca="1">EFEITO!$L$38*EFEITO!$Z$38</f>
        <v>37885.846228575618</v>
      </c>
      <c r="L38" s="62">
        <f>EFEITO!$N$38*EFEITO!$AA$38</f>
        <v>35743.652339187604</v>
      </c>
      <c r="M38" s="62">
        <f ca="1">$J$38-EFEITO!$K$38*EFEITO!$Y$38</f>
        <v>0</v>
      </c>
      <c r="N38" s="62">
        <f ca="1">$K$38-EFEITO!$M$38*EFEITO!$Z$38</f>
        <v>0</v>
      </c>
      <c r="O38" s="62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41" t="s">
        <v>21</v>
      </c>
      <c r="B39" s="41" t="s">
        <v>39</v>
      </c>
      <c r="C39" s="41" t="s">
        <v>36</v>
      </c>
      <c r="D39" s="41" t="s">
        <v>34</v>
      </c>
      <c r="E39" s="41" t="s">
        <v>25</v>
      </c>
      <c r="F39" s="41" t="s">
        <v>25</v>
      </c>
      <c r="G39" s="41" t="s">
        <v>25</v>
      </c>
      <c r="H39" s="41" t="s">
        <v>37</v>
      </c>
      <c r="I39" s="61">
        <v>44470</v>
      </c>
      <c r="J39" s="62">
        <f ca="1">EFEITO!$J$39*EFEITO!$Y$39</f>
        <v>280292.57967668935</v>
      </c>
      <c r="K39" s="62">
        <f ca="1">EFEITO!$L$39*EFEITO!$Z$39</f>
        <v>37316.919907140247</v>
      </c>
      <c r="L39" s="62">
        <f>EFEITO!$N$39*EFEITO!$AA$39</f>
        <v>35206.895036280621</v>
      </c>
      <c r="M39" s="62">
        <f ca="1">$J$39-EFEITO!$K$39*EFEITO!$Y$39</f>
        <v>0</v>
      </c>
      <c r="N39" s="62">
        <f ca="1">$K$39-EFEITO!$M$39*EFEITO!$Z$39</f>
        <v>0</v>
      </c>
      <c r="O39" s="62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41" t="s">
        <v>21</v>
      </c>
      <c r="B40" s="41" t="s">
        <v>39</v>
      </c>
      <c r="C40" s="41" t="s">
        <v>36</v>
      </c>
      <c r="D40" s="41" t="s">
        <v>34</v>
      </c>
      <c r="E40" s="41" t="s">
        <v>25</v>
      </c>
      <c r="F40" s="41" t="s">
        <v>25</v>
      </c>
      <c r="G40" s="41" t="s">
        <v>25</v>
      </c>
      <c r="H40" s="41" t="s">
        <v>37</v>
      </c>
      <c r="I40" s="61">
        <v>44501</v>
      </c>
      <c r="J40" s="62">
        <f ca="1">EFEITO!$J$40*EFEITO!$Y$40</f>
        <v>288395.15508919198</v>
      </c>
      <c r="K40" s="62">
        <f ca="1">EFEITO!$L$40*EFEITO!$Z$40</f>
        <v>40094.647627896462</v>
      </c>
      <c r="L40" s="62">
        <f>EFEITO!$N$40*EFEITO!$AA$40</f>
        <v>37827.560636426228</v>
      </c>
      <c r="M40" s="62">
        <f ca="1">$J$40-EFEITO!$K$40*EFEITO!$Y$40</f>
        <v>0</v>
      </c>
      <c r="N40" s="62">
        <f ca="1">$K$40-EFEITO!$M$40*EFEITO!$Z$40</f>
        <v>0</v>
      </c>
      <c r="O40" s="62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41" t="s">
        <v>21</v>
      </c>
      <c r="B41" s="41" t="s">
        <v>39</v>
      </c>
      <c r="C41" s="41" t="s">
        <v>36</v>
      </c>
      <c r="D41" s="41" t="s">
        <v>34</v>
      </c>
      <c r="E41" s="41" t="s">
        <v>25</v>
      </c>
      <c r="F41" s="41" t="s">
        <v>25</v>
      </c>
      <c r="G41" s="41" t="s">
        <v>25</v>
      </c>
      <c r="H41" s="41" t="s">
        <v>37</v>
      </c>
      <c r="I41" s="61">
        <v>44531</v>
      </c>
      <c r="J41" s="62">
        <f ca="1">EFEITO!$J$41*EFEITO!$Y$41</f>
        <v>281093.41561862273</v>
      </c>
      <c r="K41" s="62">
        <f ca="1">EFEITO!$L$41*EFEITO!$Z$41</f>
        <v>43065.78840212334</v>
      </c>
      <c r="L41" s="62">
        <f>EFEITO!$N$41*EFEITO!$AA$41</f>
        <v>40630.703061806409</v>
      </c>
      <c r="M41" s="62">
        <f ca="1">$J$41-EFEITO!$K$41*EFEITO!$Y$41</f>
        <v>0</v>
      </c>
      <c r="N41" s="62">
        <f ca="1">$K$41-EFEITO!$M$41*EFEITO!$Z$41</f>
        <v>0</v>
      </c>
      <c r="O41" s="62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41" t="s">
        <v>21</v>
      </c>
      <c r="B42" s="41" t="s">
        <v>39</v>
      </c>
      <c r="C42" s="41" t="s">
        <v>36</v>
      </c>
      <c r="D42" s="41" t="s">
        <v>34</v>
      </c>
      <c r="E42" s="41" t="s">
        <v>25</v>
      </c>
      <c r="F42" s="41" t="s">
        <v>25</v>
      </c>
      <c r="G42" s="41" t="s">
        <v>25</v>
      </c>
      <c r="H42" s="41" t="s">
        <v>37</v>
      </c>
      <c r="I42" s="61">
        <v>44562</v>
      </c>
      <c r="J42" s="62">
        <f ca="1">EFEITO!$J$42*EFEITO!$Y$42</f>
        <v>291551.39086034126</v>
      </c>
      <c r="K42" s="62">
        <f ca="1">EFEITO!$L$42*EFEITO!$Z$42</f>
        <v>43895.274950309744</v>
      </c>
      <c r="L42" s="62">
        <f>EFEITO!$N$42*EFEITO!$AA$42</f>
        <v>41413.287634935063</v>
      </c>
      <c r="M42" s="62">
        <f ca="1">$J$42-EFEITO!$K$42*EFEITO!$Y$42</f>
        <v>0</v>
      </c>
      <c r="N42" s="62">
        <f ca="1">$K$42-EFEITO!$M$42*EFEITO!$Z$42</f>
        <v>0</v>
      </c>
      <c r="O42" s="62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41" t="s">
        <v>21</v>
      </c>
      <c r="B43" s="41" t="s">
        <v>39</v>
      </c>
      <c r="C43" s="41" t="s">
        <v>36</v>
      </c>
      <c r="D43" s="41" t="s">
        <v>34</v>
      </c>
      <c r="E43" s="41" t="s">
        <v>25</v>
      </c>
      <c r="F43" s="41" t="s">
        <v>25</v>
      </c>
      <c r="G43" s="41" t="s">
        <v>25</v>
      </c>
      <c r="H43" s="41" t="s">
        <v>37</v>
      </c>
      <c r="I43" s="61">
        <v>44593</v>
      </c>
      <c r="J43" s="62">
        <f ca="1">EFEITO!$J$43*EFEITO!$Y$43</f>
        <v>289996.82697305875</v>
      </c>
      <c r="K43" s="62">
        <f ca="1">EFEITO!$L$43*EFEITO!$Z$43</f>
        <v>41101.125366523003</v>
      </c>
      <c r="L43" s="62">
        <f>EFEITO!$N$43*EFEITO!$AA$43</f>
        <v>38777.128719439352</v>
      </c>
      <c r="M43" s="62">
        <f ca="1">$J$43-EFEITO!$K$43*EFEITO!$Y$43</f>
        <v>0</v>
      </c>
      <c r="N43" s="62">
        <f ca="1">$K$43-EFEITO!$M$43*EFEITO!$Z$43</f>
        <v>0</v>
      </c>
      <c r="O43" s="62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41" t="s">
        <v>21</v>
      </c>
      <c r="B44" s="41" t="s">
        <v>39</v>
      </c>
      <c r="C44" s="41" t="s">
        <v>36</v>
      </c>
      <c r="D44" s="41" t="s">
        <v>34</v>
      </c>
      <c r="E44" s="41" t="s">
        <v>25</v>
      </c>
      <c r="F44" s="41" t="s">
        <v>25</v>
      </c>
      <c r="G44" s="41" t="s">
        <v>25</v>
      </c>
      <c r="H44" s="41" t="s">
        <v>37</v>
      </c>
      <c r="I44" s="61">
        <v>44621</v>
      </c>
      <c r="J44" s="62">
        <f ca="1">EFEITO!$J$44*EFEITO!$Y$44</f>
        <v>290938.98690474511</v>
      </c>
      <c r="K44" s="62">
        <f ca="1">EFEITO!$L$44*EFEITO!$Z$44</f>
        <v>45444.404029522811</v>
      </c>
      <c r="L44" s="62">
        <f>EFEITO!$N$44*EFEITO!$AA$44</f>
        <v>42874.823716295003</v>
      </c>
      <c r="M44" s="62">
        <f ca="1">$J$44-EFEITO!$K$44*EFEITO!$Y$44</f>
        <v>0</v>
      </c>
      <c r="N44" s="62">
        <f ca="1">$K$44-EFEITO!$M$44*EFEITO!$Z$44</f>
        <v>0</v>
      </c>
      <c r="O44" s="62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41" t="s">
        <v>21</v>
      </c>
      <c r="B45" s="41" t="s">
        <v>39</v>
      </c>
      <c r="C45" s="41" t="s">
        <v>36</v>
      </c>
      <c r="D45" s="41" t="s">
        <v>34</v>
      </c>
      <c r="E45" s="41" t="s">
        <v>25</v>
      </c>
      <c r="F45" s="41" t="s">
        <v>25</v>
      </c>
      <c r="G45" s="41" t="s">
        <v>25</v>
      </c>
      <c r="H45" s="41" t="s">
        <v>37</v>
      </c>
      <c r="I45" s="61">
        <v>44652</v>
      </c>
      <c r="J45" s="62">
        <f ca="1">EFEITO!$J$45*EFEITO!$Y$45</f>
        <v>290609.2309286549</v>
      </c>
      <c r="K45" s="62">
        <f ca="1">EFEITO!$L$45*EFEITO!$Z$45</f>
        <v>36269.205045792609</v>
      </c>
      <c r="L45" s="62">
        <f>EFEITO!$N$45*EFEITO!$AA$45</f>
        <v>34218.421516943898</v>
      </c>
      <c r="M45" s="62">
        <f ca="1">$J$45-EFEITO!$K$45*EFEITO!$Y$45</f>
        <v>0</v>
      </c>
      <c r="N45" s="62">
        <f ca="1">$K$45-EFEITO!$M$45*EFEITO!$Z$45</f>
        <v>0</v>
      </c>
      <c r="O45" s="62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41" t="s">
        <v>21</v>
      </c>
      <c r="B46" s="41" t="s">
        <v>39</v>
      </c>
      <c r="C46" s="41" t="s">
        <v>36</v>
      </c>
      <c r="D46" s="41" t="s">
        <v>34</v>
      </c>
      <c r="E46" s="41" t="s">
        <v>25</v>
      </c>
      <c r="F46" s="41" t="s">
        <v>25</v>
      </c>
      <c r="G46" s="41" t="s">
        <v>25</v>
      </c>
      <c r="H46" s="41" t="s">
        <v>37</v>
      </c>
      <c r="I46" s="61">
        <v>44682</v>
      </c>
      <c r="J46" s="62">
        <f ca="1">EFEITO!$J$46*EFEITO!$Y$46</f>
        <v>285521.56729754864</v>
      </c>
      <c r="K46" s="62">
        <f ca="1">EFEITO!$L$46*EFEITO!$Z$46</f>
        <v>43185.728823961115</v>
      </c>
      <c r="L46" s="62">
        <f>EFEITO!$N$46*EFEITO!$AA$46</f>
        <v>40743.861646511621</v>
      </c>
      <c r="M46" s="62">
        <f ca="1">$J$46-EFEITO!$K$46*EFEITO!$Y$46</f>
        <v>0</v>
      </c>
      <c r="N46" s="62">
        <f ca="1">$K$46-EFEITO!$M$46*EFEITO!$Z$46</f>
        <v>0</v>
      </c>
      <c r="O46" s="62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41" t="s">
        <v>21</v>
      </c>
      <c r="B47" s="41" t="s">
        <v>39</v>
      </c>
      <c r="C47" s="41" t="s">
        <v>36</v>
      </c>
      <c r="D47" s="41" t="s">
        <v>34</v>
      </c>
      <c r="E47" s="41" t="s">
        <v>25</v>
      </c>
      <c r="F47" s="41" t="s">
        <v>25</v>
      </c>
      <c r="G47" s="41" t="s">
        <v>25</v>
      </c>
      <c r="H47" s="41" t="s">
        <v>37</v>
      </c>
      <c r="I47" s="61">
        <v>44713</v>
      </c>
      <c r="J47" s="62">
        <f ca="1">EFEITO!$J$47*EFEITO!$Y$47</f>
        <v>280292.57967668935</v>
      </c>
      <c r="K47" s="62">
        <f ca="1">EFEITO!$L$47*EFEITO!$Z$47</f>
        <v>39239.980889729908</v>
      </c>
      <c r="L47" s="62">
        <f>EFEITO!$N$47*EFEITO!$AA$47</f>
        <v>37021.219646427402</v>
      </c>
      <c r="M47" s="62">
        <f ca="1">$J$47-EFEITO!$K$47*EFEITO!$Y$47</f>
        <v>0</v>
      </c>
      <c r="N47" s="62">
        <f ca="1">$K$47-EFEITO!$M$47*EFEITO!$Z$47</f>
        <v>0</v>
      </c>
      <c r="O47" s="62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41" t="s">
        <v>21</v>
      </c>
      <c r="B48" s="41" t="s">
        <v>39</v>
      </c>
      <c r="C48" s="41" t="s">
        <v>36</v>
      </c>
      <c r="D48" s="41" t="s">
        <v>34</v>
      </c>
      <c r="E48" s="41" t="s">
        <v>25</v>
      </c>
      <c r="F48" s="41" t="s">
        <v>25</v>
      </c>
      <c r="G48" s="41" t="s">
        <v>25</v>
      </c>
      <c r="H48" s="41" t="s">
        <v>37</v>
      </c>
      <c r="I48" s="61">
        <v>44743</v>
      </c>
      <c r="J48" s="62">
        <f ca="1">EFEITO!$J$48*EFEITO!$Y$48</f>
        <v>289996.82697305875</v>
      </c>
      <c r="K48" s="62">
        <f ca="1">EFEITO!$L$48*EFEITO!$Z$48</f>
        <v>41991.311986207431</v>
      </c>
      <c r="L48" s="62">
        <f>EFEITO!$N$48*EFEITO!$AA$48</f>
        <v>39616.981176713954</v>
      </c>
      <c r="M48" s="62">
        <f ca="1">$J$48-EFEITO!$K$48*EFEITO!$Y$48</f>
        <v>0</v>
      </c>
      <c r="N48" s="62">
        <f ca="1">$K$48-EFEITO!$M$48*EFEITO!$Z$48</f>
        <v>0</v>
      </c>
      <c r="O48" s="62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41" t="s">
        <v>57</v>
      </c>
      <c r="B49" s="41" t="s">
        <v>39</v>
      </c>
      <c r="C49" s="41" t="s">
        <v>36</v>
      </c>
      <c r="D49" s="41" t="s">
        <v>34</v>
      </c>
      <c r="E49" s="41" t="s">
        <v>25</v>
      </c>
      <c r="F49" s="41" t="s">
        <v>25</v>
      </c>
      <c r="G49" s="41" t="s">
        <v>25</v>
      </c>
      <c r="H49" s="41" t="s">
        <v>37</v>
      </c>
      <c r="I49" s="61">
        <v>44774</v>
      </c>
      <c r="J49" s="62">
        <f ca="1">EFEITO!$J$49*EFEITO!$Y$49</f>
        <v>289996.82697305875</v>
      </c>
      <c r="K49" s="62">
        <f ca="1">EFEITO!$L$49*EFEITO!$Z$49</f>
        <v>41991.311986207431</v>
      </c>
      <c r="L49" s="62">
        <f>EFEITO!$N$49*EFEITO!$AA$49</f>
        <v>39616.981176713954</v>
      </c>
      <c r="M49" s="62">
        <f ca="1">$J$49-EFEITO!$K$49*EFEITO!$Y$49</f>
        <v>0</v>
      </c>
      <c r="N49" s="62">
        <f ca="1">$K$49-EFEITO!$M$49*EFEITO!$Z$49</f>
        <v>0</v>
      </c>
      <c r="O49" s="62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41" t="s">
        <v>21</v>
      </c>
      <c r="B50" s="41" t="s">
        <v>39</v>
      </c>
      <c r="C50" s="41" t="s">
        <v>36</v>
      </c>
      <c r="D50" s="41" t="s">
        <v>48</v>
      </c>
      <c r="E50" s="41" t="s">
        <v>49</v>
      </c>
      <c r="F50" s="41" t="s">
        <v>25</v>
      </c>
      <c r="G50" s="41" t="s">
        <v>25</v>
      </c>
      <c r="H50" s="41" t="s">
        <v>38</v>
      </c>
      <c r="I50" s="61">
        <v>44440</v>
      </c>
      <c r="J50" s="62">
        <f ca="1">EFEITO!$J$50*EFEITO!$Y$37</f>
        <v>9278.0183322683952</v>
      </c>
      <c r="K50" s="62">
        <f ca="1">EFEITO!$L$50*EFEITO!$Z$37</f>
        <v>17743.762182769755</v>
      </c>
      <c r="L50" s="62">
        <f>EFEITO!$N$50*EFEITO!$AA$37</f>
        <v>16740.469853139439</v>
      </c>
      <c r="M50" s="62">
        <f ca="1">$J$50-EFEITO!$K$50*EFEITO!$Y$50</f>
        <v>278.34054996805207</v>
      </c>
      <c r="N50" s="62">
        <f ca="1">$K$50-EFEITO!$M$50*EFEITO!$Z$50</f>
        <v>532.31286548309436</v>
      </c>
      <c r="O50" s="62">
        <f>$L$50-EFEITO!$O$50*EFEITO!$AA$50</f>
        <v>502.21409559418316</v>
      </c>
      <c r="P50" s="45"/>
      <c r="Q50" s="45"/>
      <c r="R50" s="45"/>
      <c r="S50" s="45"/>
      <c r="T50" s="45"/>
      <c r="U50" s="45"/>
      <c r="V50" s="45"/>
      <c r="W50" s="4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41" t="s">
        <v>21</v>
      </c>
      <c r="B51" s="41" t="s">
        <v>39</v>
      </c>
      <c r="C51" s="41" t="s">
        <v>36</v>
      </c>
      <c r="D51" s="41" t="s">
        <v>48</v>
      </c>
      <c r="E51" s="41" t="s">
        <v>49</v>
      </c>
      <c r="F51" s="41" t="s">
        <v>25</v>
      </c>
      <c r="G51" s="41" t="s">
        <v>25</v>
      </c>
      <c r="H51" s="41" t="s">
        <v>38</v>
      </c>
      <c r="I51" s="61">
        <v>44470</v>
      </c>
      <c r="J51" s="62">
        <f ca="1">EFEITO!$J$51*EFEITO!$Y$37</f>
        <v>8212.4241475722229</v>
      </c>
      <c r="K51" s="62">
        <f ca="1">EFEITO!$L$51*EFEITO!$Z$37</f>
        <v>17635.256243338419</v>
      </c>
      <c r="L51" s="62">
        <f>EFEITO!$N$51*EFEITO!$AA$37</f>
        <v>16638.099206529852</v>
      </c>
      <c r="M51" s="62">
        <f ca="1">$J$51-EFEITO!$K$51*EFEITO!$Y$51</f>
        <v>246.37272442716676</v>
      </c>
      <c r="N51" s="62">
        <f ca="1">$K$51-EFEITO!$M$51*EFEITO!$Z$51</f>
        <v>529.05768730015188</v>
      </c>
      <c r="O51" s="62">
        <f>$L$51-EFEITO!$O$51*EFEITO!$AA$51</f>
        <v>499.14297619589524</v>
      </c>
      <c r="P51" s="45"/>
      <c r="Q51" s="45"/>
      <c r="R51" s="45"/>
      <c r="S51" s="45"/>
      <c r="T51" s="45"/>
      <c r="U51" s="45"/>
      <c r="V51" s="45"/>
      <c r="W51" s="4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41" t="s">
        <v>21</v>
      </c>
      <c r="B52" s="41" t="s">
        <v>39</v>
      </c>
      <c r="C52" s="41" t="s">
        <v>36</v>
      </c>
      <c r="D52" s="41" t="s">
        <v>48</v>
      </c>
      <c r="E52" s="41" t="s">
        <v>49</v>
      </c>
      <c r="F52" s="41" t="s">
        <v>25</v>
      </c>
      <c r="G52" s="41" t="s">
        <v>25</v>
      </c>
      <c r="H52" s="41" t="s">
        <v>38</v>
      </c>
      <c r="I52" s="61">
        <v>44501</v>
      </c>
      <c r="J52" s="62">
        <f ca="1">EFEITO!$J$52*EFEITO!$Y$37</f>
        <v>8212.4241475722229</v>
      </c>
      <c r="K52" s="62">
        <f ca="1">EFEITO!$L$52*EFEITO!$Z$37</f>
        <v>17781.958219744465</v>
      </c>
      <c r="L52" s="62">
        <f>EFEITO!$N$52*EFEITO!$AA$37</f>
        <v>16776.506156990796</v>
      </c>
      <c r="M52" s="62">
        <f ca="1">$J$52-EFEITO!$K$52*EFEITO!$Y$52</f>
        <v>246.37272442716676</v>
      </c>
      <c r="N52" s="62">
        <f ca="1">$K$52-EFEITO!$M$52*EFEITO!$Z$52</f>
        <v>533.45874659233596</v>
      </c>
      <c r="O52" s="62">
        <f>$L$52-EFEITO!$O$52*EFEITO!$AA$52</f>
        <v>503.29518470972289</v>
      </c>
      <c r="P52" s="45"/>
      <c r="Q52" s="45"/>
      <c r="R52" s="45"/>
      <c r="S52" s="45"/>
      <c r="T52" s="45"/>
      <c r="U52" s="45"/>
      <c r="V52" s="45"/>
      <c r="W52" s="4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41" t="s">
        <v>21</v>
      </c>
      <c r="B53" s="41" t="s">
        <v>39</v>
      </c>
      <c r="C53" s="41" t="s">
        <v>36</v>
      </c>
      <c r="D53" s="41" t="s">
        <v>48</v>
      </c>
      <c r="E53" s="41" t="s">
        <v>49</v>
      </c>
      <c r="F53" s="41" t="s">
        <v>25</v>
      </c>
      <c r="G53" s="41" t="s">
        <v>25</v>
      </c>
      <c r="H53" s="41" t="s">
        <v>38</v>
      </c>
      <c r="I53" s="61">
        <v>44531</v>
      </c>
      <c r="J53" s="62">
        <f ca="1">EFEITO!$J$53*EFEITO!$Y$37</f>
        <v>8212.4241475722229</v>
      </c>
      <c r="K53" s="62">
        <f ca="1">EFEITO!$L$53*EFEITO!$Z$37</f>
        <v>17681.845676973175</v>
      </c>
      <c r="L53" s="62">
        <f>EFEITO!$N$53*EFEITO!$AA$37</f>
        <v>16682.054316004596</v>
      </c>
      <c r="M53" s="62">
        <f ca="1">$J$53-EFEITO!$K$53*EFEITO!$Y$53</f>
        <v>246.37272442716676</v>
      </c>
      <c r="N53" s="62">
        <f ca="1">$K$53-EFEITO!$M$53*EFEITO!$Z$53</f>
        <v>530.45537030919513</v>
      </c>
      <c r="O53" s="62">
        <f>$L$53-EFEITO!$O$53*EFEITO!$AA$53</f>
        <v>500.46162948013625</v>
      </c>
      <c r="P53" s="45"/>
      <c r="Q53" s="45"/>
      <c r="R53" s="45"/>
      <c r="S53" s="45"/>
      <c r="T53" s="45"/>
      <c r="U53" s="45"/>
      <c r="V53" s="45"/>
      <c r="W53" s="4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41" t="s">
        <v>21</v>
      </c>
      <c r="B54" s="41" t="s">
        <v>39</v>
      </c>
      <c r="C54" s="41" t="s">
        <v>36</v>
      </c>
      <c r="D54" s="41" t="s">
        <v>48</v>
      </c>
      <c r="E54" s="41" t="s">
        <v>49</v>
      </c>
      <c r="F54" s="41" t="s">
        <v>25</v>
      </c>
      <c r="G54" s="41" t="s">
        <v>25</v>
      </c>
      <c r="H54" s="41" t="s">
        <v>38</v>
      </c>
      <c r="I54" s="61">
        <v>44562</v>
      </c>
      <c r="J54" s="62">
        <f ca="1">EFEITO!$J$54*EFEITO!$Y$37</f>
        <v>8212.4241475722229</v>
      </c>
      <c r="K54" s="62">
        <f ca="1">EFEITO!$L$54*EFEITO!$Z$37</f>
        <v>18349.668106881283</v>
      </c>
      <c r="L54" s="62">
        <f>EFEITO!$N$54*EFEITO!$AA$37</f>
        <v>17312.115806908885</v>
      </c>
      <c r="M54" s="62">
        <f ca="1">$J$54-EFEITO!$K$54*EFEITO!$Y$54</f>
        <v>246.37272442716676</v>
      </c>
      <c r="N54" s="62">
        <f ca="1">$K$54-EFEITO!$M$54*EFEITO!$Z$54</f>
        <v>550.49004320643871</v>
      </c>
      <c r="O54" s="62">
        <f>$L$54-EFEITO!$O$54*EFEITO!$AA$54</f>
        <v>519.36347420726815</v>
      </c>
      <c r="P54" s="45"/>
      <c r="Q54" s="45"/>
      <c r="R54" s="45"/>
      <c r="S54" s="45"/>
      <c r="T54" s="45"/>
      <c r="U54" s="45"/>
      <c r="V54" s="45"/>
      <c r="W54" s="4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41" t="s">
        <v>21</v>
      </c>
      <c r="B55" s="41" t="s">
        <v>39</v>
      </c>
      <c r="C55" s="41" t="s">
        <v>36</v>
      </c>
      <c r="D55" s="41" t="s">
        <v>48</v>
      </c>
      <c r="E55" s="41" t="s">
        <v>49</v>
      </c>
      <c r="F55" s="41" t="s">
        <v>25</v>
      </c>
      <c r="G55" s="41" t="s">
        <v>25</v>
      </c>
      <c r="H55" s="41" t="s">
        <v>38</v>
      </c>
      <c r="I55" s="61">
        <v>44593</v>
      </c>
      <c r="J55" s="62">
        <f ca="1">EFEITO!$J$55*EFEITO!$Y$37</f>
        <v>8212.4241475722229</v>
      </c>
      <c r="K55" s="62">
        <f ca="1">EFEITO!$L$55*EFEITO!$Z$37</f>
        <v>18022.812210858861</v>
      </c>
      <c r="L55" s="62">
        <f>EFEITO!$N$55*EFEITO!$AA$37</f>
        <v>17003.741448792342</v>
      </c>
      <c r="M55" s="62">
        <f ca="1">$J$55-EFEITO!$K$55*EFEITO!$Y$55</f>
        <v>246.37272442716676</v>
      </c>
      <c r="N55" s="62">
        <f ca="1">$K$55-EFEITO!$M$55*EFEITO!$Z$55</f>
        <v>540.68436632576413</v>
      </c>
      <c r="O55" s="62">
        <f>$L$55-EFEITO!$O$55*EFEITO!$AA$55</f>
        <v>510.11224346376912</v>
      </c>
      <c r="P55" s="45"/>
      <c r="Q55" s="45"/>
      <c r="R55" s="45"/>
      <c r="S55" s="45"/>
      <c r="T55" s="45"/>
      <c r="U55" s="45"/>
      <c r="V55" s="45"/>
      <c r="W55" s="4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41" t="s">
        <v>21</v>
      </c>
      <c r="B56" s="41" t="s">
        <v>39</v>
      </c>
      <c r="C56" s="41" t="s">
        <v>36</v>
      </c>
      <c r="D56" s="41" t="s">
        <v>48</v>
      </c>
      <c r="E56" s="41" t="s">
        <v>49</v>
      </c>
      <c r="F56" s="41" t="s">
        <v>25</v>
      </c>
      <c r="G56" s="41" t="s">
        <v>25</v>
      </c>
      <c r="H56" s="41" t="s">
        <v>38</v>
      </c>
      <c r="I56" s="61">
        <v>44621</v>
      </c>
      <c r="J56" s="62">
        <f ca="1">EFEITO!$J$56*EFEITO!$Y$37</f>
        <v>8212.4241475722229</v>
      </c>
      <c r="K56" s="62">
        <f ca="1">EFEITO!$L$56*EFEITO!$Z$37</f>
        <v>19492.264843516412</v>
      </c>
      <c r="L56" s="62">
        <f>EFEITO!$N$56*EFEITO!$AA$37</f>
        <v>18390.10625937955</v>
      </c>
      <c r="M56" s="62">
        <f ca="1">$J$56-EFEITO!$K$56*EFEITO!$Y$56</f>
        <v>246.37272442716676</v>
      </c>
      <c r="N56" s="62">
        <f ca="1">$K$56-EFEITO!$M$56*EFEITO!$Z$56</f>
        <v>584.76794530549159</v>
      </c>
      <c r="O56" s="62">
        <f>$L$56-EFEITO!$O$56*EFEITO!$AA$56</f>
        <v>551.70318778138608</v>
      </c>
      <c r="P56" s="45"/>
      <c r="Q56" s="45"/>
      <c r="R56" s="45"/>
      <c r="S56" s="45"/>
      <c r="T56" s="45"/>
      <c r="U56" s="45"/>
      <c r="V56" s="45"/>
      <c r="W56" s="4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41" t="s">
        <v>21</v>
      </c>
      <c r="B57" s="41" t="s">
        <v>39</v>
      </c>
      <c r="C57" s="41" t="s">
        <v>36</v>
      </c>
      <c r="D57" s="41" t="s">
        <v>48</v>
      </c>
      <c r="E57" s="41" t="s">
        <v>49</v>
      </c>
      <c r="F57" s="41" t="s">
        <v>25</v>
      </c>
      <c r="G57" s="41" t="s">
        <v>25</v>
      </c>
      <c r="H57" s="41" t="s">
        <v>38</v>
      </c>
      <c r="I57" s="61">
        <v>44652</v>
      </c>
      <c r="J57" s="62">
        <f ca="1">EFEITO!$J$57*EFEITO!$Y$37</f>
        <v>8212.4241475722229</v>
      </c>
      <c r="K57" s="62">
        <f ca="1">EFEITO!$L$57*EFEITO!$Z$37</f>
        <v>16674.516434337649</v>
      </c>
      <c r="L57" s="62">
        <f>EFEITO!$N$57*EFEITO!$AA$37</f>
        <v>15731.682875899243</v>
      </c>
      <c r="M57" s="62">
        <f ca="1">$J$57-EFEITO!$K$57*EFEITO!$Y$57</f>
        <v>246.37272442716676</v>
      </c>
      <c r="N57" s="62">
        <f ca="1">$K$57-EFEITO!$M$57*EFEITO!$Z$57</f>
        <v>500.23549303012987</v>
      </c>
      <c r="O57" s="62">
        <f>$L$57-EFEITO!$O$57*EFEITO!$AA$57</f>
        <v>471.95048627697724</v>
      </c>
      <c r="P57" s="45"/>
      <c r="Q57" s="45"/>
      <c r="R57" s="45"/>
      <c r="S57" s="45"/>
      <c r="T57" s="45"/>
      <c r="U57" s="45"/>
      <c r="V57" s="45"/>
      <c r="W57" s="4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41" t="s">
        <v>21</v>
      </c>
      <c r="B58" s="41" t="s">
        <v>39</v>
      </c>
      <c r="C58" s="41" t="s">
        <v>36</v>
      </c>
      <c r="D58" s="41" t="s">
        <v>48</v>
      </c>
      <c r="E58" s="41" t="s">
        <v>49</v>
      </c>
      <c r="F58" s="41" t="s">
        <v>25</v>
      </c>
      <c r="G58" s="41" t="s">
        <v>25</v>
      </c>
      <c r="H58" s="41" t="s">
        <v>38</v>
      </c>
      <c r="I58" s="61">
        <v>44682</v>
      </c>
      <c r="J58" s="62">
        <f ca="1">EFEITO!$J$58*EFEITO!$Y$37</f>
        <v>9131.0398240344402</v>
      </c>
      <c r="K58" s="62">
        <f ca="1">EFEITO!$L$58*EFEITO!$Z$37</f>
        <v>15869.115285262676</v>
      </c>
      <c r="L58" s="62">
        <f>EFEITO!$N$58*EFEITO!$AA$37</f>
        <v>14971.82183195074</v>
      </c>
      <c r="M58" s="62">
        <f ca="1">$J$58-EFEITO!$K$58*EFEITO!$Y$58</f>
        <v>273.93119472103353</v>
      </c>
      <c r="N58" s="62">
        <f ca="1">$K$58-EFEITO!$M$58*EFEITO!$Z$58</f>
        <v>476.07345855787935</v>
      </c>
      <c r="O58" s="62">
        <f>$L$58-EFEITO!$O$58*EFEITO!$AA$58</f>
        <v>449.15465495852186</v>
      </c>
      <c r="P58" s="45"/>
      <c r="Q58" s="45"/>
      <c r="R58" s="45"/>
      <c r="S58" s="45"/>
      <c r="T58" s="45"/>
      <c r="U58" s="45"/>
      <c r="V58" s="45"/>
      <c r="W58" s="4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41" t="s">
        <v>21</v>
      </c>
      <c r="B59" s="41" t="s">
        <v>39</v>
      </c>
      <c r="C59" s="41" t="s">
        <v>36</v>
      </c>
      <c r="D59" s="41" t="s">
        <v>48</v>
      </c>
      <c r="E59" s="41" t="s">
        <v>49</v>
      </c>
      <c r="F59" s="41" t="s">
        <v>25</v>
      </c>
      <c r="G59" s="41" t="s">
        <v>25</v>
      </c>
      <c r="H59" s="41" t="s">
        <v>38</v>
      </c>
      <c r="I59" s="61">
        <v>44713</v>
      </c>
      <c r="J59" s="62">
        <f ca="1">EFEITO!$J$59*EFEITO!$Y$37</f>
        <v>9131.0398240344402</v>
      </c>
      <c r="K59" s="62">
        <f ca="1">EFEITO!$L$59*EFEITO!$Z$37</f>
        <v>16614.424579988903</v>
      </c>
      <c r="L59" s="62">
        <f>EFEITO!$N$59*EFEITO!$AA$37</f>
        <v>15674.988818247746</v>
      </c>
      <c r="M59" s="62">
        <f ca="1">$J$59-EFEITO!$K$59*EFEITO!$Y$59</f>
        <v>273.93119472103353</v>
      </c>
      <c r="N59" s="62">
        <f ca="1">$K$59-EFEITO!$M$59*EFEITO!$Z$59</f>
        <v>498.43273739966571</v>
      </c>
      <c r="O59" s="62">
        <f>$L$59-EFEITO!$O$59*EFEITO!$AA$59</f>
        <v>470.24966454743299</v>
      </c>
      <c r="P59" s="45"/>
      <c r="Q59" s="45"/>
      <c r="R59" s="45"/>
      <c r="S59" s="45"/>
      <c r="T59" s="45"/>
      <c r="U59" s="45"/>
      <c r="V59" s="45"/>
      <c r="W59" s="4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41" t="s">
        <v>21</v>
      </c>
      <c r="B60" s="41" t="s">
        <v>39</v>
      </c>
      <c r="C60" s="41" t="s">
        <v>36</v>
      </c>
      <c r="D60" s="41" t="s">
        <v>48</v>
      </c>
      <c r="E60" s="41" t="s">
        <v>49</v>
      </c>
      <c r="F60" s="41" t="s">
        <v>25</v>
      </c>
      <c r="G60" s="41" t="s">
        <v>25</v>
      </c>
      <c r="H60" s="41" t="s">
        <v>38</v>
      </c>
      <c r="I60" s="61">
        <v>44743</v>
      </c>
      <c r="J60" s="62">
        <f ca="1">EFEITO!$J$60*EFEITO!$Y$37</f>
        <v>9131.0398240344402</v>
      </c>
      <c r="K60" s="62">
        <f ca="1">EFEITO!$L$60*EFEITO!$Z$37</f>
        <v>19769.003646438257</v>
      </c>
      <c r="L60" s="62">
        <f>EFEITO!$N$60*EFEITO!$AA$37</f>
        <v>18651.197314353547</v>
      </c>
      <c r="M60" s="62">
        <f ca="1">$J$60-EFEITO!$K$60*EFEITO!$Y$60</f>
        <v>273.93119472103353</v>
      </c>
      <c r="N60" s="62">
        <f ca="1">$K$60-EFEITO!$M$60*EFEITO!$Z$60</f>
        <v>593.07010939314569</v>
      </c>
      <c r="O60" s="62">
        <f>$L$60-EFEITO!$O$60*EFEITO!$AA$60</f>
        <v>559.53591943060383</v>
      </c>
      <c r="P60" s="45"/>
      <c r="Q60" s="45"/>
      <c r="R60" s="45"/>
      <c r="S60" s="45"/>
      <c r="T60" s="45"/>
      <c r="U60" s="45"/>
      <c r="V60" s="45"/>
      <c r="W60" s="4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41" t="s">
        <v>57</v>
      </c>
      <c r="B61" s="41" t="s">
        <v>39</v>
      </c>
      <c r="C61" s="41" t="s">
        <v>36</v>
      </c>
      <c r="D61" s="41" t="s">
        <v>48</v>
      </c>
      <c r="E61" s="41" t="s">
        <v>49</v>
      </c>
      <c r="F61" s="41" t="s">
        <v>25</v>
      </c>
      <c r="G61" s="41" t="s">
        <v>25</v>
      </c>
      <c r="H61" s="41" t="s">
        <v>38</v>
      </c>
      <c r="I61" s="61">
        <v>44774</v>
      </c>
      <c r="J61" s="62">
        <f ca="1">EFEITO!$J$61*EFEITO!$Y$37</f>
        <v>9131.0398240344402</v>
      </c>
      <c r="K61" s="62">
        <f ca="1">EFEITO!$L$61*EFEITO!$Z$37</f>
        <v>19769.003646438257</v>
      </c>
      <c r="L61" s="62">
        <f>EFEITO!$N$61*EFEITO!$AA$37</f>
        <v>18651.197314353547</v>
      </c>
      <c r="M61" s="62">
        <f ca="1">$J$61-EFEITO!$K$61*EFEITO!$Y$61</f>
        <v>273.93119472103353</v>
      </c>
      <c r="N61" s="62">
        <f ca="1">$K$61-EFEITO!$M$61*EFEITO!$Z$61</f>
        <v>593.07010939314569</v>
      </c>
      <c r="O61" s="62">
        <f>$L$61-EFEITO!$O$61*EFEITO!$AA$61</f>
        <v>559.53591943060383</v>
      </c>
      <c r="P61" s="45"/>
      <c r="Q61" s="45"/>
      <c r="R61" s="45"/>
      <c r="S61" s="45"/>
      <c r="T61" s="45"/>
      <c r="U61" s="45"/>
      <c r="V61" s="45"/>
      <c r="W61" s="4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41" t="s">
        <v>21</v>
      </c>
      <c r="B62" s="41" t="s">
        <v>39</v>
      </c>
      <c r="C62" s="41" t="s">
        <v>36</v>
      </c>
      <c r="D62" s="41" t="s">
        <v>48</v>
      </c>
      <c r="E62" s="41" t="s">
        <v>49</v>
      </c>
      <c r="F62" s="41" t="s">
        <v>25</v>
      </c>
      <c r="G62" s="41" t="s">
        <v>25</v>
      </c>
      <c r="H62" s="41" t="s">
        <v>37</v>
      </c>
      <c r="I62" s="61">
        <v>44440</v>
      </c>
      <c r="J62" s="62">
        <f ca="1">EFEITO!$J$62*EFEITO!$Y$49</f>
        <v>23883.754268248991</v>
      </c>
      <c r="K62" s="62">
        <f ca="1">EFEITO!$L$62*EFEITO!$Z$49</f>
        <v>2236.4144578980986</v>
      </c>
      <c r="L62" s="62">
        <f>EFEITO!$N$62*EFEITO!$AA$49</f>
        <v>2109.9600200865762</v>
      </c>
      <c r="M62" s="62">
        <f ca="1">$J$62-EFEITO!$K$62*EFEITO!$Y$62</f>
        <v>716.51262804746875</v>
      </c>
      <c r="N62" s="62">
        <f ca="1">$K$62-EFEITO!$M$62*EFEITO!$Z$62</f>
        <v>67.092433736942894</v>
      </c>
      <c r="O62" s="62">
        <f>$L$62-EFEITO!$O$62*EFEITO!$AA$62</f>
        <v>63.298800602597112</v>
      </c>
      <c r="P62" s="45"/>
      <c r="Q62" s="45"/>
      <c r="R62" s="45"/>
      <c r="S62" s="45"/>
      <c r="T62" s="45"/>
      <c r="U62" s="45"/>
      <c r="V62" s="45"/>
      <c r="W62" s="4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41" t="s">
        <v>21</v>
      </c>
      <c r="B63" s="41" t="s">
        <v>39</v>
      </c>
      <c r="C63" s="41" t="s">
        <v>36</v>
      </c>
      <c r="D63" s="41" t="s">
        <v>48</v>
      </c>
      <c r="E63" s="41" t="s">
        <v>49</v>
      </c>
      <c r="F63" s="41" t="s">
        <v>25</v>
      </c>
      <c r="G63" s="41" t="s">
        <v>25</v>
      </c>
      <c r="H63" s="41" t="s">
        <v>37</v>
      </c>
      <c r="I63" s="61">
        <v>44470</v>
      </c>
      <c r="J63" s="62">
        <f ca="1">EFEITO!$J$63*EFEITO!$Y$49</f>
        <v>18984.52262347997</v>
      </c>
      <c r="K63" s="62">
        <f ca="1">EFEITO!$L$63*EFEITO!$Z$49</f>
        <v>2376.6693325217866</v>
      </c>
      <c r="L63" s="62">
        <f>EFEITO!$N$63*EFEITO!$AA$49</f>
        <v>2242.2844097063653</v>
      </c>
      <c r="M63" s="62">
        <f ca="1">$J$63-EFEITO!$K$63*EFEITO!$Y$63</f>
        <v>569.5356787044002</v>
      </c>
      <c r="N63" s="62">
        <f ca="1">$K$63-EFEITO!$M$63*EFEITO!$Z$63</f>
        <v>71.300079975653261</v>
      </c>
      <c r="O63" s="62">
        <f>$L$63-EFEITO!$O$63*EFEITO!$AA$63</f>
        <v>67.26853229119115</v>
      </c>
      <c r="P63" s="45"/>
      <c r="Q63" s="45"/>
      <c r="R63" s="45"/>
      <c r="S63" s="45"/>
      <c r="T63" s="45"/>
      <c r="U63" s="45"/>
      <c r="V63" s="45"/>
      <c r="W63" s="4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41" t="s">
        <v>21</v>
      </c>
      <c r="B64" s="41" t="s">
        <v>39</v>
      </c>
      <c r="C64" s="41" t="s">
        <v>36</v>
      </c>
      <c r="D64" s="41" t="s">
        <v>48</v>
      </c>
      <c r="E64" s="41" t="s">
        <v>49</v>
      </c>
      <c r="F64" s="41" t="s">
        <v>25</v>
      </c>
      <c r="G64" s="41" t="s">
        <v>25</v>
      </c>
      <c r="H64" s="41" t="s">
        <v>37</v>
      </c>
      <c r="I64" s="61">
        <v>44501</v>
      </c>
      <c r="J64" s="62">
        <f ca="1">EFEITO!$J$64*EFEITO!$Y$49</f>
        <v>18890.306630311334</v>
      </c>
      <c r="K64" s="62">
        <f ca="1">EFEITO!$L$64*EFEITO!$Z$49</f>
        <v>2192.5011797201701</v>
      </c>
      <c r="L64" s="62">
        <f>EFEITO!$N$64*EFEITO!$AA$49</f>
        <v>2068.5297471874055</v>
      </c>
      <c r="M64" s="62">
        <f ca="1">$J$64-EFEITO!$K$64*EFEITO!$Y$64</f>
        <v>566.70919890934238</v>
      </c>
      <c r="N64" s="62">
        <f ca="1">$K$64-EFEITO!$M$64*EFEITO!$Z$64</f>
        <v>65.775035391604888</v>
      </c>
      <c r="O64" s="62">
        <f>$L$64-EFEITO!$O$64*EFEITO!$AA$64</f>
        <v>62.055892415622338</v>
      </c>
      <c r="P64" s="45"/>
      <c r="Q64" s="45"/>
      <c r="R64" s="45"/>
      <c r="S64" s="45"/>
      <c r="T64" s="45"/>
      <c r="U64" s="45"/>
      <c r="V64" s="45"/>
      <c r="W64" s="4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41" t="s">
        <v>21</v>
      </c>
      <c r="B65" s="41" t="s">
        <v>39</v>
      </c>
      <c r="C65" s="41" t="s">
        <v>36</v>
      </c>
      <c r="D65" s="41" t="s">
        <v>48</v>
      </c>
      <c r="E65" s="41" t="s">
        <v>49</v>
      </c>
      <c r="F65" s="41" t="s">
        <v>25</v>
      </c>
      <c r="G65" s="41" t="s">
        <v>25</v>
      </c>
      <c r="H65" s="41" t="s">
        <v>37</v>
      </c>
      <c r="I65" s="61">
        <v>44531</v>
      </c>
      <c r="J65" s="62">
        <f ca="1">EFEITO!$J$65*EFEITO!$Y$49</f>
        <v>18183.686681546569</v>
      </c>
      <c r="K65" s="62">
        <f ca="1">EFEITO!$L$65*EFEITO!$Z$49</f>
        <v>2608.6433532567162</v>
      </c>
      <c r="L65" s="62">
        <f>EFEITO!$N$65*EFEITO!$AA$49</f>
        <v>2461.141834688965</v>
      </c>
      <c r="M65" s="62">
        <f ca="1">$J$65-EFEITO!$K$65*EFEITO!$Y$65</f>
        <v>545.51060044639598</v>
      </c>
      <c r="N65" s="62">
        <f ca="1">$K$65-EFEITO!$M$65*EFEITO!$Z$65</f>
        <v>78.25930059770144</v>
      </c>
      <c r="O65" s="62">
        <f>$L$65-EFEITO!$O$65*EFEITO!$AA$65</f>
        <v>73.834255040668722</v>
      </c>
      <c r="P65" s="45"/>
      <c r="Q65" s="45"/>
      <c r="R65" s="45"/>
      <c r="S65" s="45"/>
      <c r="T65" s="45"/>
      <c r="U65" s="45"/>
      <c r="V65" s="45"/>
      <c r="W65" s="4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41" t="s">
        <v>21</v>
      </c>
      <c r="B66" s="41" t="s">
        <v>39</v>
      </c>
      <c r="C66" s="41" t="s">
        <v>36</v>
      </c>
      <c r="D66" s="41" t="s">
        <v>48</v>
      </c>
      <c r="E66" s="41" t="s">
        <v>49</v>
      </c>
      <c r="F66" s="41" t="s">
        <v>25</v>
      </c>
      <c r="G66" s="41" t="s">
        <v>25</v>
      </c>
      <c r="H66" s="41" t="s">
        <v>37</v>
      </c>
      <c r="I66" s="61">
        <v>44562</v>
      </c>
      <c r="J66" s="62">
        <f ca="1">EFEITO!$J$66*EFEITO!$Y$49</f>
        <v>18230.794678130889</v>
      </c>
      <c r="K66" s="62">
        <f ca="1">EFEITO!$L$66*EFEITO!$Z$49</f>
        <v>2270.3529748278552</v>
      </c>
      <c r="L66" s="62">
        <f>EFEITO!$N$66*EFEITO!$AA$49</f>
        <v>2141.979538476794</v>
      </c>
      <c r="M66" s="62">
        <f ca="1">$J$66-EFEITO!$K$66*EFEITO!$Y$66</f>
        <v>546.92384034393035</v>
      </c>
      <c r="N66" s="62">
        <f ca="1">$K$66-EFEITO!$M$66*EFEITO!$Z$66</f>
        <v>68.110589244835865</v>
      </c>
      <c r="O66" s="62">
        <f>$L$66-EFEITO!$O$66*EFEITO!$AA$66</f>
        <v>64.259386154303684</v>
      </c>
      <c r="P66" s="45"/>
      <c r="Q66" s="45"/>
      <c r="R66" s="45"/>
      <c r="S66" s="45"/>
      <c r="T66" s="45"/>
      <c r="U66" s="45"/>
      <c r="V66" s="45"/>
      <c r="W66" s="4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41" t="s">
        <v>21</v>
      </c>
      <c r="B67" s="41" t="s">
        <v>39</v>
      </c>
      <c r="C67" s="41" t="s">
        <v>36</v>
      </c>
      <c r="D67" s="41" t="s">
        <v>48</v>
      </c>
      <c r="E67" s="41" t="s">
        <v>49</v>
      </c>
      <c r="F67" s="41" t="s">
        <v>25</v>
      </c>
      <c r="G67" s="41" t="s">
        <v>25</v>
      </c>
      <c r="H67" s="41" t="s">
        <v>37</v>
      </c>
      <c r="I67" s="61">
        <v>44593</v>
      </c>
      <c r="J67" s="62">
        <f ca="1">EFEITO!$J$67*EFEITO!$Y$49</f>
        <v>19078.738616648603</v>
      </c>
      <c r="K67" s="62">
        <f ca="1">EFEITO!$L$67*EFEITO!$Z$49</f>
        <v>2188.9735202543534</v>
      </c>
      <c r="L67" s="62">
        <f>EFEITO!$N$67*EFEITO!$AA$49</f>
        <v>2065.2015535196051</v>
      </c>
      <c r="M67" s="62">
        <f ca="1">$J$67-EFEITO!$K$67*EFEITO!$Y$67</f>
        <v>572.36215849945802</v>
      </c>
      <c r="N67" s="62">
        <f ca="1">$K$67-EFEITO!$M$67*EFEITO!$Z$67</f>
        <v>65.669205607630829</v>
      </c>
      <c r="O67" s="62">
        <f>$L$67-EFEITO!$O$67*EFEITO!$AA$67</f>
        <v>61.956046605588199</v>
      </c>
      <c r="P67" s="45"/>
      <c r="Q67" s="45"/>
      <c r="R67" s="45"/>
      <c r="S67" s="45"/>
      <c r="T67" s="45"/>
      <c r="U67" s="45"/>
      <c r="V67" s="45"/>
      <c r="W67" s="4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41" t="s">
        <v>21</v>
      </c>
      <c r="B68" s="41" t="s">
        <v>39</v>
      </c>
      <c r="C68" s="41" t="s">
        <v>36</v>
      </c>
      <c r="D68" s="41" t="s">
        <v>48</v>
      </c>
      <c r="E68" s="41" t="s">
        <v>49</v>
      </c>
      <c r="F68" s="41" t="s">
        <v>25</v>
      </c>
      <c r="G68" s="41" t="s">
        <v>25</v>
      </c>
      <c r="H68" s="41" t="s">
        <v>37</v>
      </c>
      <c r="I68" s="61">
        <v>44621</v>
      </c>
      <c r="J68" s="62">
        <f ca="1">EFEITO!$J$68*EFEITO!$Y$49</f>
        <v>19549.818582491778</v>
      </c>
      <c r="K68" s="62">
        <f ca="1">EFEITO!$L$68*EFEITO!$Z$49</f>
        <v>2575.3130534762386</v>
      </c>
      <c r="L68" s="62">
        <f>EFEITO!$N$68*EFEITO!$AA$49</f>
        <v>2429.6961427931956</v>
      </c>
      <c r="M68" s="62">
        <f ca="1">$J$68-EFEITO!$K$68*EFEITO!$Y$68</f>
        <v>586.4945574747544</v>
      </c>
      <c r="N68" s="62">
        <f ca="1">$K$68-EFEITO!$M$68*EFEITO!$Z$68</f>
        <v>77.25939160428743</v>
      </c>
      <c r="O68" s="62">
        <f>$L$68-EFEITO!$O$68*EFEITO!$AA$68</f>
        <v>72.890884283795913</v>
      </c>
      <c r="P68" s="45"/>
      <c r="Q68" s="45"/>
      <c r="R68" s="45"/>
      <c r="S68" s="45"/>
      <c r="T68" s="45"/>
      <c r="U68" s="45"/>
      <c r="V68" s="45"/>
      <c r="W68" s="4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41" t="s">
        <v>21</v>
      </c>
      <c r="B69" s="41" t="s">
        <v>39</v>
      </c>
      <c r="C69" s="41" t="s">
        <v>36</v>
      </c>
      <c r="D69" s="41" t="s">
        <v>48</v>
      </c>
      <c r="E69" s="41" t="s">
        <v>49</v>
      </c>
      <c r="F69" s="41" t="s">
        <v>25</v>
      </c>
      <c r="G69" s="41" t="s">
        <v>25</v>
      </c>
      <c r="H69" s="41" t="s">
        <v>37</v>
      </c>
      <c r="I69" s="61">
        <v>44652</v>
      </c>
      <c r="J69" s="62">
        <f ca="1">EFEITO!$J$69*EFEITO!$Y$49</f>
        <v>17995.2546952093</v>
      </c>
      <c r="K69" s="62">
        <f ca="1">EFEITO!$L$69*EFEITO!$Z$49</f>
        <v>2109.6620039883992</v>
      </c>
      <c r="L69" s="62">
        <f>EFEITO!$N$69*EFEITO!$AA$49</f>
        <v>1990.3745786435402</v>
      </c>
      <c r="M69" s="62">
        <f ca="1">$J$69-EFEITO!$K$69*EFEITO!$Y$69</f>
        <v>539.85764085628034</v>
      </c>
      <c r="N69" s="62">
        <f ca="1">$K$69-EFEITO!$M$69*EFEITO!$Z$69</f>
        <v>63.289860119651621</v>
      </c>
      <c r="O69" s="62">
        <f>$L$69-EFEITO!$O$69*EFEITO!$AA$69</f>
        <v>59.711237359306097</v>
      </c>
      <c r="P69" s="45"/>
      <c r="Q69" s="45"/>
      <c r="R69" s="45"/>
      <c r="S69" s="45"/>
      <c r="T69" s="45"/>
      <c r="U69" s="45"/>
      <c r="V69" s="45"/>
      <c r="W69" s="4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41" t="s">
        <v>21</v>
      </c>
      <c r="B70" s="41" t="s">
        <v>39</v>
      </c>
      <c r="C70" s="41" t="s">
        <v>36</v>
      </c>
      <c r="D70" s="41" t="s">
        <v>48</v>
      </c>
      <c r="E70" s="41" t="s">
        <v>49</v>
      </c>
      <c r="F70" s="41" t="s">
        <v>25</v>
      </c>
      <c r="G70" s="41" t="s">
        <v>25</v>
      </c>
      <c r="H70" s="41" t="s">
        <v>37</v>
      </c>
      <c r="I70" s="61">
        <v>44682</v>
      </c>
      <c r="J70" s="62">
        <f ca="1">EFEITO!$J$70*EFEITO!$Y$49</f>
        <v>23412.674302405816</v>
      </c>
      <c r="K70" s="62">
        <f ca="1">EFEITO!$L$70*EFEITO!$Z$49</f>
        <v>1926.5886420554846</v>
      </c>
      <c r="L70" s="62">
        <f>EFEITO!$N$70*EFEITO!$AA$49</f>
        <v>1817.6528038145873</v>
      </c>
      <c r="M70" s="62">
        <f ca="1">$J$70-EFEITO!$K$70*EFEITO!$Y$70</f>
        <v>702.38022907217601</v>
      </c>
      <c r="N70" s="62">
        <f ca="1">$K$70-EFEITO!$M$70*EFEITO!$Z$70</f>
        <v>57.797659261664649</v>
      </c>
      <c r="O70" s="62">
        <f>$L$70-EFEITO!$O$70*EFEITO!$AA$70</f>
        <v>54.529584114437512</v>
      </c>
      <c r="P70" s="45"/>
      <c r="Q70" s="45"/>
      <c r="R70" s="45"/>
      <c r="S70" s="45"/>
      <c r="T70" s="45"/>
      <c r="U70" s="45"/>
      <c r="V70" s="45"/>
      <c r="W70" s="4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41" t="s">
        <v>21</v>
      </c>
      <c r="B71" s="41" t="s">
        <v>39</v>
      </c>
      <c r="C71" s="41" t="s">
        <v>36</v>
      </c>
      <c r="D71" s="41" t="s">
        <v>48</v>
      </c>
      <c r="E71" s="41" t="s">
        <v>49</v>
      </c>
      <c r="F71" s="41" t="s">
        <v>25</v>
      </c>
      <c r="G71" s="41" t="s">
        <v>25</v>
      </c>
      <c r="H71" s="41" t="s">
        <v>37</v>
      </c>
      <c r="I71" s="61">
        <v>44713</v>
      </c>
      <c r="J71" s="62">
        <f ca="1">EFEITO!$J$71*EFEITO!$Y$49</f>
        <v>23412.674302405816</v>
      </c>
      <c r="K71" s="62">
        <f ca="1">EFEITO!$L$71*EFEITO!$Z$49</f>
        <v>1921.357974571687</v>
      </c>
      <c r="L71" s="62">
        <f>EFEITO!$N$71*EFEITO!$AA$49</f>
        <v>1812.7178959623318</v>
      </c>
      <c r="M71" s="62">
        <f ca="1">$J$71-EFEITO!$K$71*EFEITO!$Y$71</f>
        <v>702.38022907217601</v>
      </c>
      <c r="N71" s="62">
        <f ca="1">$K$71-EFEITO!$M$71*EFEITO!$Z$71</f>
        <v>57.640739237150456</v>
      </c>
      <c r="O71" s="62">
        <f>$L$71-EFEITO!$O$71*EFEITO!$AA$71</f>
        <v>54.381536878870065</v>
      </c>
      <c r="P71" s="45"/>
      <c r="Q71" s="45"/>
      <c r="R71" s="45"/>
      <c r="S71" s="45"/>
      <c r="T71" s="45"/>
      <c r="U71" s="45"/>
      <c r="V71" s="45"/>
      <c r="W71" s="4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41" t="s">
        <v>21</v>
      </c>
      <c r="B72" s="41" t="s">
        <v>39</v>
      </c>
      <c r="C72" s="41" t="s">
        <v>36</v>
      </c>
      <c r="D72" s="41" t="s">
        <v>48</v>
      </c>
      <c r="E72" s="41" t="s">
        <v>49</v>
      </c>
      <c r="F72" s="41" t="s">
        <v>25</v>
      </c>
      <c r="G72" s="41" t="s">
        <v>25</v>
      </c>
      <c r="H72" s="41" t="s">
        <v>37</v>
      </c>
      <c r="I72" s="61">
        <v>44743</v>
      </c>
      <c r="J72" s="62">
        <f ca="1">EFEITO!$J$72*EFEITO!$Y$49</f>
        <v>23412.674302405816</v>
      </c>
      <c r="K72" s="62">
        <f ca="1">EFEITO!$L$72*EFEITO!$Z$49</f>
        <v>2508.0442367660044</v>
      </c>
      <c r="L72" s="62">
        <f>EFEITO!$N$72*EFEITO!$AA$49</f>
        <v>2366.2309325072083</v>
      </c>
      <c r="M72" s="62">
        <f ca="1">$J$72-EFEITO!$K$72*EFEITO!$Y$72</f>
        <v>702.38022907217601</v>
      </c>
      <c r="N72" s="62">
        <f ca="1">$K$72-EFEITO!$M$72*EFEITO!$Z$72</f>
        <v>75.241327102979994</v>
      </c>
      <c r="O72" s="62">
        <f>$L$72-EFEITO!$O$72*EFEITO!$AA$72</f>
        <v>70.986927975216531</v>
      </c>
      <c r="P72" s="45"/>
      <c r="Q72" s="45"/>
      <c r="R72" s="45"/>
      <c r="S72" s="45"/>
      <c r="T72" s="45"/>
      <c r="U72" s="45"/>
      <c r="V72" s="45"/>
      <c r="W72" s="4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41" t="s">
        <v>57</v>
      </c>
      <c r="B73" s="41" t="s">
        <v>39</v>
      </c>
      <c r="C73" s="41" t="s">
        <v>36</v>
      </c>
      <c r="D73" s="41" t="s">
        <v>48</v>
      </c>
      <c r="E73" s="41" t="s">
        <v>49</v>
      </c>
      <c r="F73" s="41" t="s">
        <v>25</v>
      </c>
      <c r="G73" s="41" t="s">
        <v>25</v>
      </c>
      <c r="H73" s="41" t="s">
        <v>37</v>
      </c>
      <c r="I73" s="61">
        <v>44774</v>
      </c>
      <c r="J73" s="62">
        <f ca="1">EFEITO!$J$73*EFEITO!$Y$49</f>
        <v>23412.674302405816</v>
      </c>
      <c r="K73" s="62">
        <f ca="1">EFEITO!$L$73*EFEITO!$Z$49</f>
        <v>2508.0442367660044</v>
      </c>
      <c r="L73" s="62">
        <f>EFEITO!$N$73*EFEITO!$AA$49</f>
        <v>2366.2309325072083</v>
      </c>
      <c r="M73" s="62">
        <f ca="1">$J$73-EFEITO!$K$73*EFEITO!$Y$73</f>
        <v>702.38022907217601</v>
      </c>
      <c r="N73" s="62">
        <f ca="1">$K$73-EFEITO!$M$73*EFEITO!$Z$73</f>
        <v>75.241327102979994</v>
      </c>
      <c r="O73" s="62">
        <f>$L$73-EFEITO!$O$73*EFEITO!$AA$73</f>
        <v>70.986927975216531</v>
      </c>
      <c r="P73" s="45"/>
      <c r="Q73" s="45"/>
      <c r="R73" s="45"/>
      <c r="S73" s="45"/>
      <c r="T73" s="45"/>
      <c r="U73" s="45"/>
      <c r="V73" s="45"/>
      <c r="W73" s="4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41" t="s">
        <v>21</v>
      </c>
      <c r="B74" s="41" t="s">
        <v>39</v>
      </c>
      <c r="C74" s="41" t="s">
        <v>40</v>
      </c>
      <c r="D74" s="41" t="s">
        <v>41</v>
      </c>
      <c r="E74" s="41" t="s">
        <v>25</v>
      </c>
      <c r="F74" s="41" t="s">
        <v>25</v>
      </c>
      <c r="G74" s="41" t="s">
        <v>25</v>
      </c>
      <c r="H74" s="41" t="s">
        <v>38</v>
      </c>
      <c r="I74" s="61">
        <v>44440</v>
      </c>
      <c r="J74" s="62">
        <f>EFEITO!$J$74*EFEITO!$Y$74</f>
        <v>0</v>
      </c>
      <c r="K74" s="62">
        <f ca="1">EFEITO!$L$74*EFEITO!$Z$74</f>
        <v>49003.934073961987</v>
      </c>
      <c r="L74" s="62">
        <f>EFEITO!$N$74*EFEITO!$AA$74</f>
        <v>46233.085892404517</v>
      </c>
      <c r="M74" s="62">
        <f>$J$74-EFEITO!$K$74*EFEITO!$Y$74</f>
        <v>0</v>
      </c>
      <c r="N74" s="62">
        <f ca="1">$K$74-EFEITO!$M$74*EFEITO!$Z$74</f>
        <v>0</v>
      </c>
      <c r="O74" s="62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41" t="s">
        <v>21</v>
      </c>
      <c r="B75" s="41" t="s">
        <v>39</v>
      </c>
      <c r="C75" s="41" t="s">
        <v>40</v>
      </c>
      <c r="D75" s="41" t="s">
        <v>41</v>
      </c>
      <c r="E75" s="41" t="s">
        <v>25</v>
      </c>
      <c r="F75" s="41" t="s">
        <v>25</v>
      </c>
      <c r="G75" s="41" t="s">
        <v>25</v>
      </c>
      <c r="H75" s="41" t="s">
        <v>38</v>
      </c>
      <c r="I75" s="61">
        <v>44470</v>
      </c>
      <c r="J75" s="62">
        <f>EFEITO!$J$75*EFEITO!$Y$75</f>
        <v>0</v>
      </c>
      <c r="K75" s="62">
        <f ca="1">EFEITO!$L$75*EFEITO!$Z$75</f>
        <v>50376.801823314061</v>
      </c>
      <c r="L75" s="62">
        <f>EFEITO!$N$75*EFEITO!$AA$75</f>
        <v>47528.327055673326</v>
      </c>
      <c r="M75" s="62">
        <f>$J$75-EFEITO!$K$75*EFEITO!$Y$75</f>
        <v>0</v>
      </c>
      <c r="N75" s="62">
        <f ca="1">$K$75-EFEITO!$M$75*EFEITO!$Z$75</f>
        <v>0</v>
      </c>
      <c r="O75" s="62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41" t="s">
        <v>21</v>
      </c>
      <c r="B76" s="41" t="s">
        <v>39</v>
      </c>
      <c r="C76" s="41" t="s">
        <v>40</v>
      </c>
      <c r="D76" s="41" t="s">
        <v>41</v>
      </c>
      <c r="E76" s="41" t="s">
        <v>25</v>
      </c>
      <c r="F76" s="41" t="s">
        <v>25</v>
      </c>
      <c r="G76" s="41" t="s">
        <v>25</v>
      </c>
      <c r="H76" s="41" t="s">
        <v>38</v>
      </c>
      <c r="I76" s="61">
        <v>44501</v>
      </c>
      <c r="J76" s="62">
        <f>EFEITO!$J$76*EFEITO!$Y$76</f>
        <v>0</v>
      </c>
      <c r="K76" s="62">
        <f ca="1">EFEITO!$L$76*EFEITO!$Z$76</f>
        <v>53968.689020094869</v>
      </c>
      <c r="L76" s="62">
        <f>EFEITO!$N$76*EFEITO!$AA$76</f>
        <v>50917.116801287499</v>
      </c>
      <c r="M76" s="62">
        <f>$J$76-EFEITO!$K$76*EFEITO!$Y$76</f>
        <v>0</v>
      </c>
      <c r="N76" s="62">
        <f ca="1">$K$76-EFEITO!$M$76*EFEITO!$Z$76</f>
        <v>0</v>
      </c>
      <c r="O76" s="62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41" t="s">
        <v>21</v>
      </c>
      <c r="B77" s="41" t="s">
        <v>39</v>
      </c>
      <c r="C77" s="41" t="s">
        <v>40</v>
      </c>
      <c r="D77" s="41" t="s">
        <v>41</v>
      </c>
      <c r="E77" s="41" t="s">
        <v>25</v>
      </c>
      <c r="F77" s="41" t="s">
        <v>25</v>
      </c>
      <c r="G77" s="41" t="s">
        <v>25</v>
      </c>
      <c r="H77" s="41" t="s">
        <v>38</v>
      </c>
      <c r="I77" s="61">
        <v>44531</v>
      </c>
      <c r="J77" s="62">
        <f>EFEITO!$J$77*EFEITO!$Y$77</f>
        <v>0</v>
      </c>
      <c r="K77" s="62">
        <f ca="1">EFEITO!$L$77*EFEITO!$Z$77</f>
        <v>57720.294040276283</v>
      </c>
      <c r="L77" s="62">
        <f>EFEITO!$N$77*EFEITO!$AA$77</f>
        <v>54456.593384343796</v>
      </c>
      <c r="M77" s="62">
        <f>$J$77-EFEITO!$K$77*EFEITO!$Y$77</f>
        <v>0</v>
      </c>
      <c r="N77" s="62">
        <f ca="1">$K$77-EFEITO!$M$77*EFEITO!$Z$77</f>
        <v>0</v>
      </c>
      <c r="O77" s="62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41" t="s">
        <v>21</v>
      </c>
      <c r="B78" s="41" t="s">
        <v>39</v>
      </c>
      <c r="C78" s="41" t="s">
        <v>40</v>
      </c>
      <c r="D78" s="41" t="s">
        <v>41</v>
      </c>
      <c r="E78" s="41" t="s">
        <v>25</v>
      </c>
      <c r="F78" s="41" t="s">
        <v>25</v>
      </c>
      <c r="G78" s="41" t="s">
        <v>25</v>
      </c>
      <c r="H78" s="41" t="s">
        <v>38</v>
      </c>
      <c r="I78" s="61">
        <v>44562</v>
      </c>
      <c r="J78" s="62">
        <f>EFEITO!$J$78*EFEITO!$Y$78</f>
        <v>0</v>
      </c>
      <c r="K78" s="62">
        <f ca="1">EFEITO!$L$78*EFEITO!$Z$78</f>
        <v>60236.001813123192</v>
      </c>
      <c r="L78" s="62">
        <f>EFEITO!$N$78*EFEITO!$AA$78</f>
        <v>56830.054530681053</v>
      </c>
      <c r="M78" s="62">
        <f>$J$78-EFEITO!$K$78*EFEITO!$Y$78</f>
        <v>0</v>
      </c>
      <c r="N78" s="62">
        <f ca="1">$K$78-EFEITO!$M$78*EFEITO!$Z$78</f>
        <v>0</v>
      </c>
      <c r="O78" s="62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41" t="s">
        <v>21</v>
      </c>
      <c r="B79" s="41" t="s">
        <v>39</v>
      </c>
      <c r="C79" s="41" t="s">
        <v>40</v>
      </c>
      <c r="D79" s="41" t="s">
        <v>41</v>
      </c>
      <c r="E79" s="41" t="s">
        <v>25</v>
      </c>
      <c r="F79" s="41" t="s">
        <v>25</v>
      </c>
      <c r="G79" s="41" t="s">
        <v>25</v>
      </c>
      <c r="H79" s="41" t="s">
        <v>38</v>
      </c>
      <c r="I79" s="61">
        <v>44593</v>
      </c>
      <c r="J79" s="62">
        <f>EFEITO!$J$79*EFEITO!$Y$79</f>
        <v>0</v>
      </c>
      <c r="K79" s="62">
        <f ca="1">EFEITO!$L$79*EFEITO!$Z$79</f>
        <v>54414.147260226644</v>
      </c>
      <c r="L79" s="62">
        <f>EFEITO!$N$79*EFEITO!$AA$79</f>
        <v>51337.387325821466</v>
      </c>
      <c r="M79" s="62">
        <f>$J$79-EFEITO!$K$79*EFEITO!$Y$79</f>
        <v>0</v>
      </c>
      <c r="N79" s="62">
        <f ca="1">$K$79-EFEITO!$M$79*EFEITO!$Z$79</f>
        <v>0</v>
      </c>
      <c r="O79" s="62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41" t="s">
        <v>21</v>
      </c>
      <c r="B80" s="41" t="s">
        <v>39</v>
      </c>
      <c r="C80" s="41" t="s">
        <v>40</v>
      </c>
      <c r="D80" s="41" t="s">
        <v>41</v>
      </c>
      <c r="E80" s="41" t="s">
        <v>25</v>
      </c>
      <c r="F80" s="41" t="s">
        <v>25</v>
      </c>
      <c r="G80" s="41" t="s">
        <v>25</v>
      </c>
      <c r="H80" s="41" t="s">
        <v>38</v>
      </c>
      <c r="I80" s="61">
        <v>44621</v>
      </c>
      <c r="J80" s="62">
        <f>EFEITO!$J$80*EFEITO!$Y$80</f>
        <v>0</v>
      </c>
      <c r="K80" s="62">
        <f ca="1">EFEITO!$L$80*EFEITO!$Z$80</f>
        <v>56100.611771746873</v>
      </c>
      <c r="L80" s="62">
        <f>EFEITO!$N$80*EFEITO!$AA$80</f>
        <v>52928.493429627844</v>
      </c>
      <c r="M80" s="62">
        <f>$J$80-EFEITO!$K$80*EFEITO!$Y$80</f>
        <v>0</v>
      </c>
      <c r="N80" s="62">
        <f ca="1">$K$80-EFEITO!$M$80*EFEITO!$Z$80</f>
        <v>0</v>
      </c>
      <c r="O80" s="62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41" t="s">
        <v>21</v>
      </c>
      <c r="B81" s="41" t="s">
        <v>39</v>
      </c>
      <c r="C81" s="41" t="s">
        <v>40</v>
      </c>
      <c r="D81" s="41" t="s">
        <v>41</v>
      </c>
      <c r="E81" s="41" t="s">
        <v>25</v>
      </c>
      <c r="F81" s="41" t="s">
        <v>25</v>
      </c>
      <c r="G81" s="41" t="s">
        <v>25</v>
      </c>
      <c r="H81" s="41" t="s">
        <v>38</v>
      </c>
      <c r="I81" s="61">
        <v>44652</v>
      </c>
      <c r="J81" s="62">
        <f>EFEITO!$J$81*EFEITO!$Y$81</f>
        <v>0</v>
      </c>
      <c r="K81" s="62">
        <f ca="1">EFEITO!$L$81*EFEITO!$Z$81</f>
        <v>50495.28252399357</v>
      </c>
      <c r="L81" s="62">
        <f>EFEITO!$N$81*EFEITO!$AA$81</f>
        <v>47640.108456791866</v>
      </c>
      <c r="M81" s="62">
        <f>$J$81-EFEITO!$K$81*EFEITO!$Y$81</f>
        <v>0</v>
      </c>
      <c r="N81" s="62">
        <f ca="1">$K$81-EFEITO!$M$81*EFEITO!$Z$81</f>
        <v>0</v>
      </c>
      <c r="O81" s="62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41" t="s">
        <v>21</v>
      </c>
      <c r="B82" s="41" t="s">
        <v>39</v>
      </c>
      <c r="C82" s="41" t="s">
        <v>40</v>
      </c>
      <c r="D82" s="41" t="s">
        <v>41</v>
      </c>
      <c r="E82" s="41" t="s">
        <v>25</v>
      </c>
      <c r="F82" s="41" t="s">
        <v>25</v>
      </c>
      <c r="G82" s="41" t="s">
        <v>25</v>
      </c>
      <c r="H82" s="41" t="s">
        <v>38</v>
      </c>
      <c r="I82" s="61">
        <v>44682</v>
      </c>
      <c r="J82" s="62">
        <f>EFEITO!$J$82*EFEITO!$Y$82</f>
        <v>0</v>
      </c>
      <c r="K82" s="62">
        <f ca="1">EFEITO!$L$82*EFEITO!$Z$82</f>
        <v>49276.537000268734</v>
      </c>
      <c r="L82" s="62">
        <f>EFEITO!$N$82*EFEITO!$AA$82</f>
        <v>46490.274927216262</v>
      </c>
      <c r="M82" s="62">
        <f>$J$82-EFEITO!$K$82*EFEITO!$Y$82</f>
        <v>0</v>
      </c>
      <c r="N82" s="62">
        <f ca="1">$K$82-EFEITO!$M$82*EFEITO!$Z$82</f>
        <v>0</v>
      </c>
      <c r="O82" s="62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41" t="s">
        <v>21</v>
      </c>
      <c r="B83" s="41" t="s">
        <v>39</v>
      </c>
      <c r="C83" s="41" t="s">
        <v>40</v>
      </c>
      <c r="D83" s="41" t="s">
        <v>41</v>
      </c>
      <c r="E83" s="41" t="s">
        <v>25</v>
      </c>
      <c r="F83" s="41" t="s">
        <v>25</v>
      </c>
      <c r="G83" s="41" t="s">
        <v>25</v>
      </c>
      <c r="H83" s="41" t="s">
        <v>38</v>
      </c>
      <c r="I83" s="61">
        <v>44713</v>
      </c>
      <c r="J83" s="62">
        <f>EFEITO!$J$83*EFEITO!$Y$83</f>
        <v>0</v>
      </c>
      <c r="K83" s="62">
        <f ca="1">EFEITO!$L$83*EFEITO!$Z$83</f>
        <v>46459.153521379536</v>
      </c>
      <c r="L83" s="62">
        <f>EFEITO!$N$83*EFEITO!$AA$83</f>
        <v>43832.19583963263</v>
      </c>
      <c r="M83" s="62">
        <f>$J$83-EFEITO!$K$83*EFEITO!$Y$83</f>
        <v>0</v>
      </c>
      <c r="N83" s="62">
        <f ca="1">$K$83-EFEITO!$M$83*EFEITO!$Z$83</f>
        <v>0</v>
      </c>
      <c r="O83" s="62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41" t="s">
        <v>21</v>
      </c>
      <c r="B84" s="41" t="s">
        <v>39</v>
      </c>
      <c r="C84" s="41" t="s">
        <v>40</v>
      </c>
      <c r="D84" s="41" t="s">
        <v>41</v>
      </c>
      <c r="E84" s="41" t="s">
        <v>25</v>
      </c>
      <c r="F84" s="41" t="s">
        <v>25</v>
      </c>
      <c r="G84" s="41" t="s">
        <v>25</v>
      </c>
      <c r="H84" s="41" t="s">
        <v>38</v>
      </c>
      <c r="I84" s="61">
        <v>44743</v>
      </c>
      <c r="J84" s="62">
        <f>EFEITO!$J$84*EFEITO!$Y$84</f>
        <v>0</v>
      </c>
      <c r="K84" s="62">
        <f ca="1">EFEITO!$L$84*EFEITO!$Z$84</f>
        <v>51237.550732973403</v>
      </c>
      <c r="L84" s="62">
        <f>EFEITO!$N$84*EFEITO!$AA$84</f>
        <v>48340.406310616636</v>
      </c>
      <c r="M84" s="62">
        <f>$J$84-EFEITO!$K$84*EFEITO!$Y$84</f>
        <v>0</v>
      </c>
      <c r="N84" s="62">
        <f ca="1">$K$84-EFEITO!$M$84*EFEITO!$Z$84</f>
        <v>0</v>
      </c>
      <c r="O84" s="62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41" t="s">
        <v>57</v>
      </c>
      <c r="B85" s="41" t="s">
        <v>39</v>
      </c>
      <c r="C85" s="41" t="s">
        <v>40</v>
      </c>
      <c r="D85" s="41" t="s">
        <v>41</v>
      </c>
      <c r="E85" s="41" t="s">
        <v>25</v>
      </c>
      <c r="F85" s="41" t="s">
        <v>25</v>
      </c>
      <c r="G85" s="41" t="s">
        <v>25</v>
      </c>
      <c r="H85" s="41" t="s">
        <v>38</v>
      </c>
      <c r="I85" s="61">
        <v>44774</v>
      </c>
      <c r="J85" s="62">
        <f>EFEITO!$J$85*EFEITO!$Y$85</f>
        <v>0</v>
      </c>
      <c r="K85" s="62">
        <f ca="1">EFEITO!$L$85*EFEITO!$Z$85</f>
        <v>51237.550732973403</v>
      </c>
      <c r="L85" s="62">
        <f>EFEITO!$N$85*EFEITO!$AA$85</f>
        <v>48340.406310616636</v>
      </c>
      <c r="M85" s="62">
        <f>$J$85-EFEITO!$K$85*EFEITO!$Y$85</f>
        <v>0</v>
      </c>
      <c r="N85" s="62">
        <f ca="1">$K$85-EFEITO!$M$85*EFEITO!$Z$85</f>
        <v>0</v>
      </c>
      <c r="O85" s="62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41" t="s">
        <v>21</v>
      </c>
      <c r="B86" s="41" t="s">
        <v>39</v>
      </c>
      <c r="C86" s="41" t="s">
        <v>40</v>
      </c>
      <c r="D86" s="41" t="s">
        <v>41</v>
      </c>
      <c r="E86" s="41" t="s">
        <v>25</v>
      </c>
      <c r="F86" s="41" t="s">
        <v>25</v>
      </c>
      <c r="G86" s="41" t="s">
        <v>25</v>
      </c>
      <c r="H86" s="41" t="s">
        <v>25</v>
      </c>
      <c r="I86" s="61">
        <v>44440</v>
      </c>
      <c r="J86" s="62">
        <f ca="1">EFEITO!$J$86*EFEITO!$Y$86</f>
        <v>30167.338815019219</v>
      </c>
      <c r="K86" s="62">
        <f>EFEITO!$L$86*EFEITO!$Z$86</f>
        <v>0</v>
      </c>
      <c r="L86" s="62">
        <f>EFEITO!$N$86*EFEITO!$AA$86</f>
        <v>0</v>
      </c>
      <c r="M86" s="62">
        <f ca="1">$J$86-EFEITO!$K$86*EFEITO!$Y$86</f>
        <v>0</v>
      </c>
      <c r="N86" s="62">
        <f>$K$86-EFEITO!$M$86*EFEITO!$Z$86</f>
        <v>0</v>
      </c>
      <c r="O86" s="62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41" t="s">
        <v>21</v>
      </c>
      <c r="B87" s="41" t="s">
        <v>39</v>
      </c>
      <c r="C87" s="41" t="s">
        <v>40</v>
      </c>
      <c r="D87" s="41" t="s">
        <v>41</v>
      </c>
      <c r="E87" s="41" t="s">
        <v>25</v>
      </c>
      <c r="F87" s="41" t="s">
        <v>25</v>
      </c>
      <c r="G87" s="41" t="s">
        <v>25</v>
      </c>
      <c r="H87" s="41" t="s">
        <v>25</v>
      </c>
      <c r="I87" s="61">
        <v>44470</v>
      </c>
      <c r="J87" s="62">
        <f ca="1">EFEITO!$J$87*EFEITO!$Y$87</f>
        <v>30424.551204428641</v>
      </c>
      <c r="K87" s="62">
        <f>EFEITO!$L$87*EFEITO!$Z$87</f>
        <v>0</v>
      </c>
      <c r="L87" s="62">
        <f>EFEITO!$N$87*EFEITO!$AA$87</f>
        <v>0</v>
      </c>
      <c r="M87" s="62">
        <f ca="1">$J$87-EFEITO!$K$87*EFEITO!$Y$87</f>
        <v>0</v>
      </c>
      <c r="N87" s="62">
        <f>$K$87-EFEITO!$M$87*EFEITO!$Z$87</f>
        <v>0</v>
      </c>
      <c r="O87" s="62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41" t="s">
        <v>21</v>
      </c>
      <c r="B88" s="41" t="s">
        <v>39</v>
      </c>
      <c r="C88" s="41" t="s">
        <v>40</v>
      </c>
      <c r="D88" s="41" t="s">
        <v>41</v>
      </c>
      <c r="E88" s="41" t="s">
        <v>25</v>
      </c>
      <c r="F88" s="41" t="s">
        <v>25</v>
      </c>
      <c r="G88" s="41" t="s">
        <v>25</v>
      </c>
      <c r="H88" s="41" t="s">
        <v>25</v>
      </c>
      <c r="I88" s="61">
        <v>44501</v>
      </c>
      <c r="J88" s="62">
        <f ca="1">EFEITO!$J$88*EFEITO!$Y$88</f>
        <v>31104.326805010682</v>
      </c>
      <c r="K88" s="62">
        <f>EFEITO!$L$88*EFEITO!$Z$88</f>
        <v>0</v>
      </c>
      <c r="L88" s="62">
        <f>EFEITO!$N$88*EFEITO!$AA$88</f>
        <v>0</v>
      </c>
      <c r="M88" s="62">
        <f ca="1">$J$88-EFEITO!$K$88*EFEITO!$Y$88</f>
        <v>0</v>
      </c>
      <c r="N88" s="62">
        <f>$K$88-EFEITO!$M$88*EFEITO!$Z$88</f>
        <v>0</v>
      </c>
      <c r="O88" s="62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41" t="s">
        <v>21</v>
      </c>
      <c r="B89" s="41" t="s">
        <v>39</v>
      </c>
      <c r="C89" s="41" t="s">
        <v>40</v>
      </c>
      <c r="D89" s="41" t="s">
        <v>41</v>
      </c>
      <c r="E89" s="41" t="s">
        <v>25</v>
      </c>
      <c r="F89" s="41" t="s">
        <v>25</v>
      </c>
      <c r="G89" s="41" t="s">
        <v>25</v>
      </c>
      <c r="H89" s="41" t="s">
        <v>25</v>
      </c>
      <c r="I89" s="61">
        <v>44531</v>
      </c>
      <c r="J89" s="62">
        <f ca="1">EFEITO!$J$89*EFEITO!$Y$89</f>
        <v>31986.197854414411</v>
      </c>
      <c r="K89" s="62">
        <f>EFEITO!$L$89*EFEITO!$Z$89</f>
        <v>0</v>
      </c>
      <c r="L89" s="62">
        <f>EFEITO!$N$89*EFEITO!$AA$89</f>
        <v>0</v>
      </c>
      <c r="M89" s="62">
        <f ca="1">$J$89-EFEITO!$K$89*EFEITO!$Y$89</f>
        <v>0</v>
      </c>
      <c r="N89" s="62">
        <f>$K$89-EFEITO!$M$89*EFEITO!$Z$89</f>
        <v>0</v>
      </c>
      <c r="O89" s="62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41" t="s">
        <v>21</v>
      </c>
      <c r="B90" s="41" t="s">
        <v>39</v>
      </c>
      <c r="C90" s="41" t="s">
        <v>40</v>
      </c>
      <c r="D90" s="41" t="s">
        <v>41</v>
      </c>
      <c r="E90" s="41" t="s">
        <v>25</v>
      </c>
      <c r="F90" s="41" t="s">
        <v>25</v>
      </c>
      <c r="G90" s="41" t="s">
        <v>25</v>
      </c>
      <c r="H90" s="41" t="s">
        <v>25</v>
      </c>
      <c r="I90" s="61">
        <v>44562</v>
      </c>
      <c r="J90" s="62">
        <f ca="1">EFEITO!$J$90*EFEITO!$Y$90</f>
        <v>32665.973454996452</v>
      </c>
      <c r="K90" s="62">
        <f>EFEITO!$L$90*EFEITO!$Z$90</f>
        <v>0</v>
      </c>
      <c r="L90" s="62">
        <f>EFEITO!$N$90*EFEITO!$AA$90</f>
        <v>0</v>
      </c>
      <c r="M90" s="62">
        <f ca="1">$J$90-EFEITO!$K$90*EFEITO!$Y$90</f>
        <v>0</v>
      </c>
      <c r="N90" s="62">
        <f>$K$90-EFEITO!$M$90*EFEITO!$Z$90</f>
        <v>0</v>
      </c>
      <c r="O90" s="62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41" t="s">
        <v>21</v>
      </c>
      <c r="B91" s="41" t="s">
        <v>39</v>
      </c>
      <c r="C91" s="41" t="s">
        <v>40</v>
      </c>
      <c r="D91" s="41" t="s">
        <v>41</v>
      </c>
      <c r="E91" s="41" t="s">
        <v>25</v>
      </c>
      <c r="F91" s="41" t="s">
        <v>25</v>
      </c>
      <c r="G91" s="41" t="s">
        <v>25</v>
      </c>
      <c r="H91" s="41" t="s">
        <v>25</v>
      </c>
      <c r="I91" s="61">
        <v>44593</v>
      </c>
      <c r="J91" s="62">
        <f ca="1">EFEITO!$J$91*EFEITO!$Y$91</f>
        <v>32243.41024382383</v>
      </c>
      <c r="K91" s="62">
        <f>EFEITO!$L$91*EFEITO!$Z$91</f>
        <v>0</v>
      </c>
      <c r="L91" s="62">
        <f>EFEITO!$N$91*EFEITO!$AA$91</f>
        <v>0</v>
      </c>
      <c r="M91" s="62">
        <f ca="1">$J$91-EFEITO!$K$91*EFEITO!$Y$91</f>
        <v>0</v>
      </c>
      <c r="N91" s="62">
        <f>$K$91-EFEITO!$M$91*EFEITO!$Z$91</f>
        <v>0</v>
      </c>
      <c r="O91" s="62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41" t="s">
        <v>21</v>
      </c>
      <c r="B92" s="41" t="s">
        <v>39</v>
      </c>
      <c r="C92" s="41" t="s">
        <v>40</v>
      </c>
      <c r="D92" s="41" t="s">
        <v>41</v>
      </c>
      <c r="E92" s="41" t="s">
        <v>25</v>
      </c>
      <c r="F92" s="41" t="s">
        <v>25</v>
      </c>
      <c r="G92" s="41" t="s">
        <v>25</v>
      </c>
      <c r="H92" s="41" t="s">
        <v>25</v>
      </c>
      <c r="I92" s="61">
        <v>44621</v>
      </c>
      <c r="J92" s="62">
        <f ca="1">EFEITO!$J$92*EFEITO!$Y$92</f>
        <v>31673.868524417256</v>
      </c>
      <c r="K92" s="62">
        <f>EFEITO!$L$92*EFEITO!$Z$92</f>
        <v>0</v>
      </c>
      <c r="L92" s="62">
        <f>EFEITO!$N$92*EFEITO!$AA$92</f>
        <v>0</v>
      </c>
      <c r="M92" s="62">
        <f ca="1">$J$92-EFEITO!$K$92*EFEITO!$Y$92</f>
        <v>0</v>
      </c>
      <c r="N92" s="62">
        <f>$K$92-EFEITO!$M$92*EFEITO!$Z$92</f>
        <v>0</v>
      </c>
      <c r="O92" s="62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41" t="s">
        <v>21</v>
      </c>
      <c r="B93" s="41" t="s">
        <v>39</v>
      </c>
      <c r="C93" s="41" t="s">
        <v>40</v>
      </c>
      <c r="D93" s="41" t="s">
        <v>41</v>
      </c>
      <c r="E93" s="41" t="s">
        <v>25</v>
      </c>
      <c r="F93" s="41" t="s">
        <v>25</v>
      </c>
      <c r="G93" s="41" t="s">
        <v>25</v>
      </c>
      <c r="H93" s="41" t="s">
        <v>25</v>
      </c>
      <c r="I93" s="61">
        <v>44652</v>
      </c>
      <c r="J93" s="62">
        <f ca="1">EFEITO!$J$93*EFEITO!$Y$93</f>
        <v>31416.656135007834</v>
      </c>
      <c r="K93" s="62">
        <f>EFEITO!$L$93*EFEITO!$Z$93</f>
        <v>0</v>
      </c>
      <c r="L93" s="62">
        <f>EFEITO!$N$93*EFEITO!$AA$93</f>
        <v>0</v>
      </c>
      <c r="M93" s="62">
        <f ca="1">$J$93-EFEITO!$K$93*EFEITO!$Y$93</f>
        <v>0</v>
      </c>
      <c r="N93" s="62">
        <f>$K$93-EFEITO!$M$93*EFEITO!$Z$93</f>
        <v>0</v>
      </c>
      <c r="O93" s="62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41" t="s">
        <v>21</v>
      </c>
      <c r="B94" s="41" t="s">
        <v>39</v>
      </c>
      <c r="C94" s="41" t="s">
        <v>40</v>
      </c>
      <c r="D94" s="41" t="s">
        <v>41</v>
      </c>
      <c r="E94" s="41" t="s">
        <v>25</v>
      </c>
      <c r="F94" s="41" t="s">
        <v>25</v>
      </c>
      <c r="G94" s="41" t="s">
        <v>25</v>
      </c>
      <c r="H94" s="41" t="s">
        <v>25</v>
      </c>
      <c r="I94" s="61">
        <v>44682</v>
      </c>
      <c r="J94" s="62">
        <f ca="1">EFEITO!$J$94*EFEITO!$Y$94</f>
        <v>30057.104933843755</v>
      </c>
      <c r="K94" s="62">
        <f>EFEITO!$L$94*EFEITO!$Z$94</f>
        <v>0</v>
      </c>
      <c r="L94" s="62">
        <f>EFEITO!$N$94*EFEITO!$AA$94</f>
        <v>0</v>
      </c>
      <c r="M94" s="62">
        <f ca="1">$J$94-EFEITO!$K$94*EFEITO!$Y$94</f>
        <v>0</v>
      </c>
      <c r="N94" s="62">
        <f>$K$94-EFEITO!$M$94*EFEITO!$Z$94</f>
        <v>0</v>
      </c>
      <c r="O94" s="62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41" t="s">
        <v>21</v>
      </c>
      <c r="B95" s="41" t="s">
        <v>39</v>
      </c>
      <c r="C95" s="41" t="s">
        <v>40</v>
      </c>
      <c r="D95" s="41" t="s">
        <v>41</v>
      </c>
      <c r="E95" s="41" t="s">
        <v>25</v>
      </c>
      <c r="F95" s="41" t="s">
        <v>25</v>
      </c>
      <c r="G95" s="41" t="s">
        <v>25</v>
      </c>
      <c r="H95" s="41" t="s">
        <v>25</v>
      </c>
      <c r="I95" s="61">
        <v>44713</v>
      </c>
      <c r="J95" s="62">
        <f ca="1">EFEITO!$J$95*EFEITO!$Y$95</f>
        <v>30259.20038266544</v>
      </c>
      <c r="K95" s="62">
        <f>EFEITO!$L$95*EFEITO!$Z$95</f>
        <v>0</v>
      </c>
      <c r="L95" s="62">
        <f>EFEITO!$N$95*EFEITO!$AA$95</f>
        <v>0</v>
      </c>
      <c r="M95" s="62">
        <f ca="1">$J$95-EFEITO!$K$95*EFEITO!$Y$95</f>
        <v>0</v>
      </c>
      <c r="N95" s="62">
        <f>$K$95-EFEITO!$M$95*EFEITO!$Z$95</f>
        <v>0</v>
      </c>
      <c r="O95" s="62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41" t="s">
        <v>21</v>
      </c>
      <c r="B96" s="41" t="s">
        <v>39</v>
      </c>
      <c r="C96" s="41" t="s">
        <v>40</v>
      </c>
      <c r="D96" s="41" t="s">
        <v>41</v>
      </c>
      <c r="E96" s="41" t="s">
        <v>25</v>
      </c>
      <c r="F96" s="41" t="s">
        <v>25</v>
      </c>
      <c r="G96" s="41" t="s">
        <v>25</v>
      </c>
      <c r="H96" s="41" t="s">
        <v>25</v>
      </c>
      <c r="I96" s="61">
        <v>44743</v>
      </c>
      <c r="J96" s="62">
        <f ca="1">EFEITO!$J$96*EFEITO!$Y$96</f>
        <v>30938.975983247481</v>
      </c>
      <c r="K96" s="62">
        <f>EFEITO!$L$96*EFEITO!$Z$96</f>
        <v>0</v>
      </c>
      <c r="L96" s="62">
        <f>EFEITO!$N$96*EFEITO!$AA$96</f>
        <v>0</v>
      </c>
      <c r="M96" s="62">
        <f ca="1">$J$96-EFEITO!$K$96*EFEITO!$Y$96</f>
        <v>0</v>
      </c>
      <c r="N96" s="62">
        <f>$K$96-EFEITO!$M$96*EFEITO!$Z$96</f>
        <v>0</v>
      </c>
      <c r="O96" s="62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41" t="s">
        <v>57</v>
      </c>
      <c r="B97" s="41" t="s">
        <v>39</v>
      </c>
      <c r="C97" s="41" t="s">
        <v>40</v>
      </c>
      <c r="D97" s="41" t="s">
        <v>41</v>
      </c>
      <c r="E97" s="41" t="s">
        <v>25</v>
      </c>
      <c r="F97" s="41" t="s">
        <v>25</v>
      </c>
      <c r="G97" s="41" t="s">
        <v>25</v>
      </c>
      <c r="H97" s="41" t="s">
        <v>25</v>
      </c>
      <c r="I97" s="61">
        <v>44774</v>
      </c>
      <c r="J97" s="62">
        <f ca="1">EFEITO!$J$97*EFEITO!$Y$97</f>
        <v>30938.975983247481</v>
      </c>
      <c r="K97" s="62">
        <f>EFEITO!$L$97*EFEITO!$Z$97</f>
        <v>0</v>
      </c>
      <c r="L97" s="62">
        <f>EFEITO!$N$97*EFEITO!$AA$97</f>
        <v>0</v>
      </c>
      <c r="M97" s="62">
        <f ca="1">$J$97-EFEITO!$K$97*EFEITO!$Y$97</f>
        <v>0</v>
      </c>
      <c r="N97" s="62">
        <f>$K$97-EFEITO!$M$97*EFEITO!$Z$97</f>
        <v>0</v>
      </c>
      <c r="O97" s="62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41" t="s">
        <v>21</v>
      </c>
      <c r="B98" s="41" t="s">
        <v>39</v>
      </c>
      <c r="C98" s="41" t="s">
        <v>40</v>
      </c>
      <c r="D98" s="41" t="s">
        <v>41</v>
      </c>
      <c r="E98" s="41" t="s">
        <v>25</v>
      </c>
      <c r="F98" s="41" t="s">
        <v>25</v>
      </c>
      <c r="G98" s="41" t="s">
        <v>25</v>
      </c>
      <c r="H98" s="41" t="s">
        <v>37</v>
      </c>
      <c r="I98" s="61">
        <v>44440</v>
      </c>
      <c r="J98" s="62">
        <f>EFEITO!$J$98*EFEITO!$Y$98</f>
        <v>0</v>
      </c>
      <c r="K98" s="62">
        <f ca="1">EFEITO!$L$98*EFEITO!$Z$98</f>
        <v>42782.914488280046</v>
      </c>
      <c r="L98" s="62">
        <f>EFEITO!$N$98*EFEITO!$AA$98</f>
        <v>3913.6114574366238</v>
      </c>
      <c r="M98" s="62">
        <f>$J$98-EFEITO!$K$98*EFEITO!$Y$98</f>
        <v>0</v>
      </c>
      <c r="N98" s="62">
        <f ca="1">$K$98-EFEITO!$M$98*EFEITO!$Z$98</f>
        <v>0</v>
      </c>
      <c r="O98" s="62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41" t="s">
        <v>21</v>
      </c>
      <c r="B99" s="41" t="s">
        <v>39</v>
      </c>
      <c r="C99" s="41" t="s">
        <v>40</v>
      </c>
      <c r="D99" s="41" t="s">
        <v>41</v>
      </c>
      <c r="E99" s="41" t="s">
        <v>25</v>
      </c>
      <c r="F99" s="41" t="s">
        <v>25</v>
      </c>
      <c r="G99" s="41" t="s">
        <v>25</v>
      </c>
      <c r="H99" s="41" t="s">
        <v>37</v>
      </c>
      <c r="I99" s="61">
        <v>44470</v>
      </c>
      <c r="J99" s="62">
        <f>EFEITO!$J$99*EFEITO!$Y$99</f>
        <v>0</v>
      </c>
      <c r="K99" s="62">
        <f ca="1">EFEITO!$L$99*EFEITO!$Z$99</f>
        <v>44476.616566200879</v>
      </c>
      <c r="L99" s="62">
        <f>EFEITO!$N$99*EFEITO!$AA$99</f>
        <v>4068.544610937678</v>
      </c>
      <c r="M99" s="62">
        <f>$J$99-EFEITO!$K$99*EFEITO!$Y$99</f>
        <v>0</v>
      </c>
      <c r="N99" s="62">
        <f ca="1">$K$99-EFEITO!$M$99*EFEITO!$Z$99</f>
        <v>0</v>
      </c>
      <c r="O99" s="62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41" t="s">
        <v>21</v>
      </c>
      <c r="B100" s="41" t="s">
        <v>39</v>
      </c>
      <c r="C100" s="41" t="s">
        <v>40</v>
      </c>
      <c r="D100" s="41" t="s">
        <v>41</v>
      </c>
      <c r="E100" s="41" t="s">
        <v>25</v>
      </c>
      <c r="F100" s="41" t="s">
        <v>25</v>
      </c>
      <c r="G100" s="41" t="s">
        <v>25</v>
      </c>
      <c r="H100" s="41" t="s">
        <v>37</v>
      </c>
      <c r="I100" s="61">
        <v>44501</v>
      </c>
      <c r="J100" s="62">
        <f>EFEITO!$J$100*EFEITO!$Y$100</f>
        <v>0</v>
      </c>
      <c r="K100" s="62">
        <f ca="1">EFEITO!$L$100*EFEITO!$Z$100</f>
        <v>50231.4398487363</v>
      </c>
      <c r="L100" s="62">
        <f>EFEITO!$N$100*EFEITO!$AA$100</f>
        <v>4594.9730369445924</v>
      </c>
      <c r="M100" s="62">
        <f>$J$100-EFEITO!$K$100*EFEITO!$Y$100</f>
        <v>0</v>
      </c>
      <c r="N100" s="62">
        <f ca="1">$K$100-EFEITO!$M$100*EFEITO!$Z$100</f>
        <v>0</v>
      </c>
      <c r="O100" s="62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41" t="s">
        <v>21</v>
      </c>
      <c r="B101" s="41" t="s">
        <v>39</v>
      </c>
      <c r="C101" s="41" t="s">
        <v>40</v>
      </c>
      <c r="D101" s="41" t="s">
        <v>41</v>
      </c>
      <c r="E101" s="41" t="s">
        <v>25</v>
      </c>
      <c r="F101" s="41" t="s">
        <v>25</v>
      </c>
      <c r="G101" s="41" t="s">
        <v>25</v>
      </c>
      <c r="H101" s="41" t="s">
        <v>37</v>
      </c>
      <c r="I101" s="61">
        <v>44531</v>
      </c>
      <c r="J101" s="62">
        <f>EFEITO!$J$101*EFEITO!$Y$101</f>
        <v>0</v>
      </c>
      <c r="K101" s="62">
        <f ca="1">EFEITO!$L$101*EFEITO!$Z$101</f>
        <v>55057.863473744757</v>
      </c>
      <c r="L101" s="62">
        <f>EFEITO!$N$101*EFEITO!$AA$101</f>
        <v>5036.4751417731513</v>
      </c>
      <c r="M101" s="62">
        <f>$J$101-EFEITO!$K$101*EFEITO!$Y$101</f>
        <v>0</v>
      </c>
      <c r="N101" s="62">
        <f ca="1">$K$101-EFEITO!$M$101*EFEITO!$Z$101</f>
        <v>0</v>
      </c>
      <c r="O101" s="62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41" t="s">
        <v>21</v>
      </c>
      <c r="B102" s="41" t="s">
        <v>39</v>
      </c>
      <c r="C102" s="41" t="s">
        <v>40</v>
      </c>
      <c r="D102" s="41" t="s">
        <v>41</v>
      </c>
      <c r="E102" s="41" t="s">
        <v>25</v>
      </c>
      <c r="F102" s="41" t="s">
        <v>25</v>
      </c>
      <c r="G102" s="41" t="s">
        <v>25</v>
      </c>
      <c r="H102" s="41" t="s">
        <v>37</v>
      </c>
      <c r="I102" s="61">
        <v>44562</v>
      </c>
      <c r="J102" s="62">
        <f>EFEITO!$J$102*EFEITO!$Y$102</f>
        <v>0</v>
      </c>
      <c r="K102" s="62">
        <f ca="1">EFEITO!$L$102*EFEITO!$Z$102</f>
        <v>55149.44884536566</v>
      </c>
      <c r="L102" s="62">
        <f>EFEITO!$N$102*EFEITO!$AA$102</f>
        <v>5044.8530085920975</v>
      </c>
      <c r="M102" s="62">
        <f>$J$102-EFEITO!$K$102*EFEITO!$Y$102</f>
        <v>0</v>
      </c>
      <c r="N102" s="62">
        <f ca="1">$K$102-EFEITO!$M$102*EFEITO!$Z$102</f>
        <v>0</v>
      </c>
      <c r="O102" s="62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41" t="s">
        <v>21</v>
      </c>
      <c r="B103" s="41" t="s">
        <v>39</v>
      </c>
      <c r="C103" s="41" t="s">
        <v>40</v>
      </c>
      <c r="D103" s="41" t="s">
        <v>41</v>
      </c>
      <c r="E103" s="41" t="s">
        <v>25</v>
      </c>
      <c r="F103" s="41" t="s">
        <v>25</v>
      </c>
      <c r="G103" s="41" t="s">
        <v>25</v>
      </c>
      <c r="H103" s="41" t="s">
        <v>37</v>
      </c>
      <c r="I103" s="61">
        <v>44593</v>
      </c>
      <c r="J103" s="62">
        <f>EFEITO!$J$103*EFEITO!$Y$103</f>
        <v>0</v>
      </c>
      <c r="K103" s="62">
        <f ca="1">EFEITO!$L$103*EFEITO!$Z$103</f>
        <v>50437.19328635039</v>
      </c>
      <c r="L103" s="62">
        <f>EFEITO!$N$103*EFEITO!$AA$103</f>
        <v>4613.794545962498</v>
      </c>
      <c r="M103" s="62">
        <f>$J$103-EFEITO!$K$103*EFEITO!$Y$103</f>
        <v>0</v>
      </c>
      <c r="N103" s="62">
        <f ca="1">$K$103-EFEITO!$M$103*EFEITO!$Z$103</f>
        <v>0</v>
      </c>
      <c r="O103" s="62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41" t="s">
        <v>21</v>
      </c>
      <c r="B104" s="41" t="s">
        <v>39</v>
      </c>
      <c r="C104" s="41" t="s">
        <v>40</v>
      </c>
      <c r="D104" s="41" t="s">
        <v>41</v>
      </c>
      <c r="E104" s="41" t="s">
        <v>25</v>
      </c>
      <c r="F104" s="41" t="s">
        <v>25</v>
      </c>
      <c r="G104" s="41" t="s">
        <v>25</v>
      </c>
      <c r="H104" s="41" t="s">
        <v>37</v>
      </c>
      <c r="I104" s="61">
        <v>44621</v>
      </c>
      <c r="J104" s="62">
        <f>EFEITO!$J$104*EFEITO!$Y$104</f>
        <v>0</v>
      </c>
      <c r="K104" s="62">
        <f ca="1">EFEITO!$L$104*EFEITO!$Z$104</f>
        <v>51331.718902318942</v>
      </c>
      <c r="L104" s="62">
        <f>EFEITO!$N$104*EFEITO!$AA$104</f>
        <v>4695.6222040708326</v>
      </c>
      <c r="M104" s="62">
        <f>$J$104-EFEITO!$K$104*EFEITO!$Y$104</f>
        <v>0</v>
      </c>
      <c r="N104" s="62">
        <f ca="1">$K$104-EFEITO!$M$104*EFEITO!$Z$104</f>
        <v>0</v>
      </c>
      <c r="O104" s="62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41" t="s">
        <v>21</v>
      </c>
      <c r="B105" s="41" t="s">
        <v>39</v>
      </c>
      <c r="C105" s="41" t="s">
        <v>40</v>
      </c>
      <c r="D105" s="41" t="s">
        <v>41</v>
      </c>
      <c r="E105" s="41" t="s">
        <v>25</v>
      </c>
      <c r="F105" s="41" t="s">
        <v>25</v>
      </c>
      <c r="G105" s="41" t="s">
        <v>25</v>
      </c>
      <c r="H105" s="41" t="s">
        <v>37</v>
      </c>
      <c r="I105" s="61">
        <v>44652</v>
      </c>
      <c r="J105" s="62">
        <f>EFEITO!$J$105*EFEITO!$Y$105</f>
        <v>0</v>
      </c>
      <c r="K105" s="62">
        <f ca="1">EFEITO!$L$105*EFEITO!$Z$105</f>
        <v>42273.549270772011</v>
      </c>
      <c r="L105" s="62">
        <f>EFEITO!$N$105*EFEITO!$AA$105</f>
        <v>3867.0167460874181</v>
      </c>
      <c r="M105" s="62">
        <f>$J$105-EFEITO!$K$105*EFEITO!$Y$105</f>
        <v>0</v>
      </c>
      <c r="N105" s="62">
        <f ca="1">$K$105-EFEITO!$M$105*EFEITO!$Z$105</f>
        <v>0</v>
      </c>
      <c r="O105" s="62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41" t="s">
        <v>21</v>
      </c>
      <c r="B106" s="41" t="s">
        <v>39</v>
      </c>
      <c r="C106" s="41" t="s">
        <v>40</v>
      </c>
      <c r="D106" s="41" t="s">
        <v>41</v>
      </c>
      <c r="E106" s="41" t="s">
        <v>25</v>
      </c>
      <c r="F106" s="41" t="s">
        <v>25</v>
      </c>
      <c r="G106" s="41" t="s">
        <v>25</v>
      </c>
      <c r="H106" s="41" t="s">
        <v>37</v>
      </c>
      <c r="I106" s="61">
        <v>44682</v>
      </c>
      <c r="J106" s="62">
        <f>EFEITO!$J$106*EFEITO!$Y$106</f>
        <v>0</v>
      </c>
      <c r="K106" s="62">
        <f ca="1">EFEITO!$L$106*EFEITO!$Z$106</f>
        <v>44816.611575916839</v>
      </c>
      <c r="L106" s="62">
        <f>EFEITO!$N$106*EFEITO!$AA$106</f>
        <v>4099.6460069367786</v>
      </c>
      <c r="M106" s="62">
        <f>$J$106-EFEITO!$K$106*EFEITO!$Y$106</f>
        <v>0</v>
      </c>
      <c r="N106" s="62">
        <f ca="1">$K$106-EFEITO!$M$106*EFEITO!$Z$106</f>
        <v>0</v>
      </c>
      <c r="O106" s="62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41" t="s">
        <v>21</v>
      </c>
      <c r="B107" s="41" t="s">
        <v>39</v>
      </c>
      <c r="C107" s="41" t="s">
        <v>40</v>
      </c>
      <c r="D107" s="41" t="s">
        <v>41</v>
      </c>
      <c r="E107" s="41" t="s">
        <v>25</v>
      </c>
      <c r="F107" s="41" t="s">
        <v>25</v>
      </c>
      <c r="G107" s="41" t="s">
        <v>25</v>
      </c>
      <c r="H107" s="41" t="s">
        <v>37</v>
      </c>
      <c r="I107" s="61">
        <v>44713</v>
      </c>
      <c r="J107" s="62">
        <f>EFEITO!$J$107*EFEITO!$Y$107</f>
        <v>0</v>
      </c>
      <c r="K107" s="62">
        <f ca="1">EFEITO!$L$107*EFEITO!$Z$107</f>
        <v>42957.303072599309</v>
      </c>
      <c r="L107" s="62">
        <f>EFEITO!$N$107*EFEITO!$AA$107</f>
        <v>3929.5638339822881</v>
      </c>
      <c r="M107" s="62">
        <f>$J$107-EFEITO!$K$107*EFEITO!$Y$107</f>
        <v>0</v>
      </c>
      <c r="N107" s="62">
        <f ca="1">$K$107-EFEITO!$M$107*EFEITO!$Z$107</f>
        <v>0</v>
      </c>
      <c r="O107" s="62">
        <f>$L$107-EFEITO!$O$107*EFEITO!$AA$107</f>
        <v>0</v>
      </c>
      <c r="P107" s="45"/>
      <c r="Q107" s="45"/>
      <c r="R107" s="45"/>
      <c r="S107" s="45"/>
      <c r="T107" s="45"/>
      <c r="U107" s="45"/>
      <c r="V107" s="45"/>
      <c r="W107" s="45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41" t="s">
        <v>21</v>
      </c>
      <c r="B108" s="41" t="s">
        <v>39</v>
      </c>
      <c r="C108" s="41" t="s">
        <v>40</v>
      </c>
      <c r="D108" s="41" t="s">
        <v>41</v>
      </c>
      <c r="E108" s="41" t="s">
        <v>25</v>
      </c>
      <c r="F108" s="41" t="s">
        <v>25</v>
      </c>
      <c r="G108" s="41" t="s">
        <v>25</v>
      </c>
      <c r="H108" s="41" t="s">
        <v>37</v>
      </c>
      <c r="I108" s="61">
        <v>44743</v>
      </c>
      <c r="J108" s="62">
        <f>EFEITO!$J$108*EFEITO!$Y$108</f>
        <v>0</v>
      </c>
      <c r="K108" s="62">
        <f ca="1">EFEITO!$L$108*EFEITO!$Z$108</f>
        <v>45039.929331376021</v>
      </c>
      <c r="L108" s="62">
        <f>EFEITO!$N$108*EFEITO!$AA$108</f>
        <v>4120.0742301391392</v>
      </c>
      <c r="M108" s="62">
        <f>$J$108-EFEITO!$K$108*EFEITO!$Y$108</f>
        <v>0</v>
      </c>
      <c r="N108" s="62">
        <f ca="1">$K$108-EFEITO!$M$108*EFEITO!$Z$108</f>
        <v>0</v>
      </c>
      <c r="O108" s="62">
        <f>$L$108-EFEITO!$O$108*EFEITO!$AA$108</f>
        <v>0</v>
      </c>
      <c r="P108" s="45"/>
      <c r="Q108" s="45"/>
      <c r="R108" s="45"/>
      <c r="S108" s="45"/>
      <c r="T108" s="45"/>
      <c r="U108" s="45"/>
      <c r="V108" s="45"/>
      <c r="W108" s="45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41" t="s">
        <v>57</v>
      </c>
      <c r="B109" s="41" t="s">
        <v>39</v>
      </c>
      <c r="C109" s="41" t="s">
        <v>40</v>
      </c>
      <c r="D109" s="41" t="s">
        <v>41</v>
      </c>
      <c r="E109" s="41" t="s">
        <v>25</v>
      </c>
      <c r="F109" s="41" t="s">
        <v>25</v>
      </c>
      <c r="G109" s="41" t="s">
        <v>25</v>
      </c>
      <c r="H109" s="41" t="s">
        <v>37</v>
      </c>
      <c r="I109" s="61">
        <v>44774</v>
      </c>
      <c r="J109" s="62">
        <f>EFEITO!$J$109*EFEITO!$Y$109</f>
        <v>0</v>
      </c>
      <c r="K109" s="62">
        <f ca="1">EFEITO!$L$109*EFEITO!$Z$109</f>
        <v>45039.929331376021</v>
      </c>
      <c r="L109" s="62">
        <f>EFEITO!$N$109*EFEITO!$AA$109</f>
        <v>4120.0742301391392</v>
      </c>
      <c r="M109" s="62">
        <f>$J$109-EFEITO!$K$109*EFEITO!$Y$109</f>
        <v>0</v>
      </c>
      <c r="N109" s="62">
        <f ca="1">$K$109-EFEITO!$M$109*EFEITO!$Z$109</f>
        <v>0</v>
      </c>
      <c r="O109" s="62">
        <f>$L$109-EFEITO!$O$109*EFEITO!$AA$109</f>
        <v>0</v>
      </c>
      <c r="P109" s="45"/>
      <c r="Q109" s="45"/>
      <c r="R109" s="45"/>
      <c r="S109" s="45"/>
      <c r="T109" s="45"/>
      <c r="U109" s="45"/>
      <c r="V109" s="45"/>
      <c r="W109" s="45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41" t="s">
        <v>21</v>
      </c>
      <c r="B110" s="41" t="s">
        <v>39</v>
      </c>
      <c r="C110" s="41" t="s">
        <v>40</v>
      </c>
      <c r="D110" s="41" t="s">
        <v>50</v>
      </c>
      <c r="E110" s="41" t="s">
        <v>25</v>
      </c>
      <c r="F110" s="41" t="s">
        <v>25</v>
      </c>
      <c r="G110" s="41" t="s">
        <v>25</v>
      </c>
      <c r="H110" s="41" t="s">
        <v>38</v>
      </c>
      <c r="I110" s="61">
        <v>44440</v>
      </c>
      <c r="J110" s="62">
        <f>EFEITO!$J$110*EFEITO!$Y$110</f>
        <v>0</v>
      </c>
      <c r="K110" s="62">
        <f ca="1">EFEITO!$L$110*EFEITO!$Z$110</f>
        <v>1418.7273224076978</v>
      </c>
      <c r="L110" s="62">
        <f>EFEITO!$N$110*EFEITO!$AA$110</f>
        <v>1338.5076809502168</v>
      </c>
      <c r="M110" s="62">
        <f>$J$110-EFEITO!$K$110*EFEITO!$Y$110</f>
        <v>0</v>
      </c>
      <c r="N110" s="62">
        <f ca="1">$K$110-EFEITO!$M$110*EFEITO!$Z$110</f>
        <v>0</v>
      </c>
      <c r="O110" s="62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41" t="s">
        <v>21</v>
      </c>
      <c r="B111" s="41" t="s">
        <v>39</v>
      </c>
      <c r="C111" s="41" t="s">
        <v>40</v>
      </c>
      <c r="D111" s="41" t="s">
        <v>50</v>
      </c>
      <c r="E111" s="41" t="s">
        <v>25</v>
      </c>
      <c r="F111" s="41" t="s">
        <v>25</v>
      </c>
      <c r="G111" s="41" t="s">
        <v>25</v>
      </c>
      <c r="H111" s="41" t="s">
        <v>38</v>
      </c>
      <c r="I111" s="61">
        <v>44470</v>
      </c>
      <c r="J111" s="62">
        <f>EFEITO!$J$111*EFEITO!$Y$111</f>
        <v>0</v>
      </c>
      <c r="K111" s="62">
        <f ca="1">EFEITO!$L$111*EFEITO!$Z$111</f>
        <v>1469.8175629471159</v>
      </c>
      <c r="L111" s="62">
        <f>EFEITO!$N$111*EFEITO!$AA$111</f>
        <v>1386.709106483878</v>
      </c>
      <c r="M111" s="62">
        <f>$J$111-EFEITO!$K$111*EFEITO!$Y$111</f>
        <v>0</v>
      </c>
      <c r="N111" s="62">
        <f ca="1">$K$111-EFEITO!$M$111*EFEITO!$Z$111</f>
        <v>0</v>
      </c>
      <c r="O111" s="62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41" t="s">
        <v>21</v>
      </c>
      <c r="B112" s="41" t="s">
        <v>39</v>
      </c>
      <c r="C112" s="41" t="s">
        <v>40</v>
      </c>
      <c r="D112" s="41" t="s">
        <v>50</v>
      </c>
      <c r="E112" s="41" t="s">
        <v>25</v>
      </c>
      <c r="F112" s="41" t="s">
        <v>25</v>
      </c>
      <c r="G112" s="41" t="s">
        <v>25</v>
      </c>
      <c r="H112" s="41" t="s">
        <v>38</v>
      </c>
      <c r="I112" s="61">
        <v>44501</v>
      </c>
      <c r="J112" s="62">
        <f>EFEITO!$J$112*EFEITO!$Y$112</f>
        <v>0</v>
      </c>
      <c r="K112" s="62">
        <f ca="1">EFEITO!$L$112*EFEITO!$Z$112</f>
        <v>1739.1361166477627</v>
      </c>
      <c r="L112" s="62">
        <f>EFEITO!$N$112*EFEITO!$AA$112</f>
        <v>1640.7994782256067</v>
      </c>
      <c r="M112" s="62">
        <f>$J$112-EFEITO!$K$112*EFEITO!$Y$112</f>
        <v>0</v>
      </c>
      <c r="N112" s="62">
        <f ca="1">$K$112-EFEITO!$M$112*EFEITO!$Z$112</f>
        <v>0</v>
      </c>
      <c r="O112" s="62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41" t="s">
        <v>21</v>
      </c>
      <c r="B113" s="41" t="s">
        <v>39</v>
      </c>
      <c r="C113" s="41" t="s">
        <v>40</v>
      </c>
      <c r="D113" s="41" t="s">
        <v>50</v>
      </c>
      <c r="E113" s="41" t="s">
        <v>25</v>
      </c>
      <c r="F113" s="41" t="s">
        <v>25</v>
      </c>
      <c r="G113" s="41" t="s">
        <v>25</v>
      </c>
      <c r="H113" s="41" t="s">
        <v>38</v>
      </c>
      <c r="I113" s="61">
        <v>44531</v>
      </c>
      <c r="J113" s="62">
        <f>EFEITO!$J$113*EFEITO!$Y$113</f>
        <v>0</v>
      </c>
      <c r="K113" s="62">
        <f ca="1">EFEITO!$L$113*EFEITO!$Z$113</f>
        <v>1920.3848271328411</v>
      </c>
      <c r="L113" s="62">
        <f>EFEITO!$N$113*EFEITO!$AA$113</f>
        <v>1811.7997735712145</v>
      </c>
      <c r="M113" s="62">
        <f>$J$113-EFEITO!$K$113*EFEITO!$Y$113</f>
        <v>0</v>
      </c>
      <c r="N113" s="62">
        <f ca="1">$K$113-EFEITO!$M$113*EFEITO!$Z$113</f>
        <v>0</v>
      </c>
      <c r="O113" s="62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41" t="s">
        <v>21</v>
      </c>
      <c r="B114" s="41" t="s">
        <v>39</v>
      </c>
      <c r="C114" s="41" t="s">
        <v>40</v>
      </c>
      <c r="D114" s="41" t="s">
        <v>50</v>
      </c>
      <c r="E114" s="41" t="s">
        <v>25</v>
      </c>
      <c r="F114" s="41" t="s">
        <v>25</v>
      </c>
      <c r="G114" s="41" t="s">
        <v>25</v>
      </c>
      <c r="H114" s="41" t="s">
        <v>38</v>
      </c>
      <c r="I114" s="61">
        <v>44562</v>
      </c>
      <c r="J114" s="62">
        <f>EFEITO!$J$114*EFEITO!$Y$114</f>
        <v>0</v>
      </c>
      <c r="K114" s="62">
        <f ca="1">EFEITO!$L$114*EFEITO!$Z$114</f>
        <v>2373.2633164858257</v>
      </c>
      <c r="L114" s="62">
        <f>EFEITO!$N$114*EFEITO!$AA$114</f>
        <v>2239.0709813374547</v>
      </c>
      <c r="M114" s="62">
        <f>$J$114-EFEITO!$K$114*EFEITO!$Y$114</f>
        <v>0</v>
      </c>
      <c r="N114" s="62">
        <f ca="1">$K$114-EFEITO!$M$114*EFEITO!$Z$114</f>
        <v>0</v>
      </c>
      <c r="O114" s="62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41" t="s">
        <v>21</v>
      </c>
      <c r="B115" s="41" t="s">
        <v>39</v>
      </c>
      <c r="C115" s="41" t="s">
        <v>40</v>
      </c>
      <c r="D115" s="41" t="s">
        <v>50</v>
      </c>
      <c r="E115" s="41" t="s">
        <v>25</v>
      </c>
      <c r="F115" s="41" t="s">
        <v>25</v>
      </c>
      <c r="G115" s="41" t="s">
        <v>25</v>
      </c>
      <c r="H115" s="41" t="s">
        <v>38</v>
      </c>
      <c r="I115" s="61">
        <v>44593</v>
      </c>
      <c r="J115" s="62">
        <f>EFEITO!$J$115*EFEITO!$Y$115</f>
        <v>0</v>
      </c>
      <c r="K115" s="62">
        <f ca="1">EFEITO!$L$115*EFEITO!$Z$115</f>
        <v>1921.966191720966</v>
      </c>
      <c r="L115" s="62">
        <f>EFEITO!$N$115*EFEITO!$AA$115</f>
        <v>1813.2917224567802</v>
      </c>
      <c r="M115" s="62">
        <f>$J$115-EFEITO!$K$115*EFEITO!$Y$115</f>
        <v>0</v>
      </c>
      <c r="N115" s="62">
        <f ca="1">$K$115-EFEITO!$M$115*EFEITO!$Z$115</f>
        <v>0</v>
      </c>
      <c r="O115" s="62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41" t="s">
        <v>21</v>
      </c>
      <c r="B116" s="41" t="s">
        <v>39</v>
      </c>
      <c r="C116" s="41" t="s">
        <v>40</v>
      </c>
      <c r="D116" s="41" t="s">
        <v>50</v>
      </c>
      <c r="E116" s="41" t="s">
        <v>25</v>
      </c>
      <c r="F116" s="41" t="s">
        <v>25</v>
      </c>
      <c r="G116" s="41" t="s">
        <v>25</v>
      </c>
      <c r="H116" s="41" t="s">
        <v>38</v>
      </c>
      <c r="I116" s="61">
        <v>44621</v>
      </c>
      <c r="J116" s="62">
        <f>EFEITO!$J$116*EFEITO!$Y$116</f>
        <v>0</v>
      </c>
      <c r="K116" s="62">
        <f ca="1">EFEITO!$L$116*EFEITO!$Z$116</f>
        <v>2074.8719830496525</v>
      </c>
      <c r="L116" s="62">
        <f>EFEITO!$N$116*EFEITO!$AA$116</f>
        <v>1957.5517031610946</v>
      </c>
      <c r="M116" s="62">
        <f>$J$116-EFEITO!$K$116*EFEITO!$Y$116</f>
        <v>0</v>
      </c>
      <c r="N116" s="62">
        <f ca="1">$K$116-EFEITO!$M$116*EFEITO!$Z$116</f>
        <v>0</v>
      </c>
      <c r="O116" s="62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41" t="s">
        <v>21</v>
      </c>
      <c r="B117" s="41" t="s">
        <v>39</v>
      </c>
      <c r="C117" s="41" t="s">
        <v>40</v>
      </c>
      <c r="D117" s="41" t="s">
        <v>50</v>
      </c>
      <c r="E117" s="41" t="s">
        <v>25</v>
      </c>
      <c r="F117" s="41" t="s">
        <v>25</v>
      </c>
      <c r="G117" s="41" t="s">
        <v>25</v>
      </c>
      <c r="H117" s="41" t="s">
        <v>38</v>
      </c>
      <c r="I117" s="61">
        <v>44652</v>
      </c>
      <c r="J117" s="62">
        <f>EFEITO!$J$117*EFEITO!$Y$117</f>
        <v>0</v>
      </c>
      <c r="K117" s="62">
        <f ca="1">EFEITO!$L$117*EFEITO!$Z$117</f>
        <v>1487.9424339956236</v>
      </c>
      <c r="L117" s="62">
        <f>EFEITO!$N$117*EFEITO!$AA$117</f>
        <v>1403.8091360184387</v>
      </c>
      <c r="M117" s="62">
        <f>$J$117-EFEITO!$K$117*EFEITO!$Y$117</f>
        <v>0</v>
      </c>
      <c r="N117" s="62">
        <f ca="1">$K$117-EFEITO!$M$117*EFEITO!$Z$117</f>
        <v>0</v>
      </c>
      <c r="O117" s="62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41" t="s">
        <v>21</v>
      </c>
      <c r="B118" s="41" t="s">
        <v>39</v>
      </c>
      <c r="C118" s="41" t="s">
        <v>40</v>
      </c>
      <c r="D118" s="41" t="s">
        <v>50</v>
      </c>
      <c r="E118" s="41" t="s">
        <v>25</v>
      </c>
      <c r="F118" s="41" t="s">
        <v>25</v>
      </c>
      <c r="G118" s="41" t="s">
        <v>25</v>
      </c>
      <c r="H118" s="41" t="s">
        <v>38</v>
      </c>
      <c r="I118" s="61">
        <v>44682</v>
      </c>
      <c r="J118" s="62">
        <f>EFEITO!$J$118*EFEITO!$Y$118</f>
        <v>0</v>
      </c>
      <c r="K118" s="62">
        <f ca="1">EFEITO!$L$118*EFEITO!$Z$118</f>
        <v>1419.3355395569765</v>
      </c>
      <c r="L118" s="62">
        <f>EFEITO!$N$118*EFEITO!$AA$118</f>
        <v>1339.081507444665</v>
      </c>
      <c r="M118" s="62">
        <f>$J$118-EFEITO!$K$118*EFEITO!$Y$118</f>
        <v>0</v>
      </c>
      <c r="N118" s="62">
        <f ca="1">$K$118-EFEITO!$M$118*EFEITO!$Z$118</f>
        <v>0</v>
      </c>
      <c r="O118" s="62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41" t="s">
        <v>21</v>
      </c>
      <c r="B119" s="41" t="s">
        <v>39</v>
      </c>
      <c r="C119" s="41" t="s">
        <v>40</v>
      </c>
      <c r="D119" s="41" t="s">
        <v>50</v>
      </c>
      <c r="E119" s="41" t="s">
        <v>25</v>
      </c>
      <c r="F119" s="41" t="s">
        <v>25</v>
      </c>
      <c r="G119" s="41" t="s">
        <v>25</v>
      </c>
      <c r="H119" s="41" t="s">
        <v>38</v>
      </c>
      <c r="I119" s="61">
        <v>44713</v>
      </c>
      <c r="J119" s="62">
        <f>EFEITO!$J$119*EFEITO!$Y$119</f>
        <v>0</v>
      </c>
      <c r="K119" s="62">
        <f ca="1">EFEITO!$L$119*EFEITO!$Z$119</f>
        <v>1489.4021551538929</v>
      </c>
      <c r="L119" s="62">
        <f>EFEITO!$N$119*EFEITO!$AA$119</f>
        <v>1405.1863196051149</v>
      </c>
      <c r="M119" s="62">
        <f>$J$119-EFEITO!$K$119*EFEITO!$Y$119</f>
        <v>0</v>
      </c>
      <c r="N119" s="62">
        <f ca="1">$K$119-EFEITO!$M$119*EFEITO!$Z$119</f>
        <v>0</v>
      </c>
      <c r="O119" s="62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41" t="s">
        <v>21</v>
      </c>
      <c r="B120" s="41" t="s">
        <v>39</v>
      </c>
      <c r="C120" s="41" t="s">
        <v>40</v>
      </c>
      <c r="D120" s="41" t="s">
        <v>50</v>
      </c>
      <c r="E120" s="41" t="s">
        <v>25</v>
      </c>
      <c r="F120" s="41" t="s">
        <v>25</v>
      </c>
      <c r="G120" s="41" t="s">
        <v>25</v>
      </c>
      <c r="H120" s="41" t="s">
        <v>38</v>
      </c>
      <c r="I120" s="61">
        <v>44743</v>
      </c>
      <c r="J120" s="62">
        <f>EFEITO!$J$120*EFEITO!$Y$120</f>
        <v>0</v>
      </c>
      <c r="K120" s="62">
        <f ca="1">EFEITO!$L$120*EFEITO!$Z$120</f>
        <v>1477.3594555981726</v>
      </c>
      <c r="L120" s="62">
        <f>EFEITO!$N$120*EFEITO!$AA$120</f>
        <v>1393.8245550150375</v>
      </c>
      <c r="M120" s="62">
        <f>$J$120-EFEITO!$K$120*EFEITO!$Y$120</f>
        <v>0</v>
      </c>
      <c r="N120" s="62">
        <f ca="1">$K$120-EFEITO!$M$120*EFEITO!$Z$120</f>
        <v>0</v>
      </c>
      <c r="O120" s="62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41" t="s">
        <v>57</v>
      </c>
      <c r="B121" s="41" t="s">
        <v>39</v>
      </c>
      <c r="C121" s="41" t="s">
        <v>40</v>
      </c>
      <c r="D121" s="41" t="s">
        <v>50</v>
      </c>
      <c r="E121" s="41" t="s">
        <v>25</v>
      </c>
      <c r="F121" s="41" t="s">
        <v>25</v>
      </c>
      <c r="G121" s="41" t="s">
        <v>25</v>
      </c>
      <c r="H121" s="41" t="s">
        <v>38</v>
      </c>
      <c r="I121" s="61">
        <v>44774</v>
      </c>
      <c r="J121" s="62">
        <f>EFEITO!$J$121*EFEITO!$Y$121</f>
        <v>0</v>
      </c>
      <c r="K121" s="62">
        <f ca="1">EFEITO!$L$121*EFEITO!$Z$121</f>
        <v>1477.3594555981726</v>
      </c>
      <c r="L121" s="62">
        <f>EFEITO!$N$121*EFEITO!$AA$121</f>
        <v>1393.8245550150375</v>
      </c>
      <c r="M121" s="62">
        <f>$J$121-EFEITO!$K$121*EFEITO!$Y$121</f>
        <v>0</v>
      </c>
      <c r="N121" s="62">
        <f ca="1">$K$121-EFEITO!$M$121*EFEITO!$Z$121</f>
        <v>0</v>
      </c>
      <c r="O121" s="62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41" t="s">
        <v>21</v>
      </c>
      <c r="B122" s="41" t="s">
        <v>39</v>
      </c>
      <c r="C122" s="41" t="s">
        <v>40</v>
      </c>
      <c r="D122" s="41" t="s">
        <v>50</v>
      </c>
      <c r="E122" s="41" t="s">
        <v>25</v>
      </c>
      <c r="F122" s="41" t="s">
        <v>25</v>
      </c>
      <c r="G122" s="41" t="s">
        <v>25</v>
      </c>
      <c r="H122" s="41" t="s">
        <v>25</v>
      </c>
      <c r="I122" s="61">
        <v>44440</v>
      </c>
      <c r="J122" s="62">
        <f ca="1">EFEITO!$J$122*EFEITO!$Y$122</f>
        <v>1745.3697852782132</v>
      </c>
      <c r="K122" s="62">
        <f>EFEITO!$L$122*EFEITO!$Z$122</f>
        <v>0</v>
      </c>
      <c r="L122" s="62">
        <f>EFEITO!$N$122*EFEITO!$AA$122</f>
        <v>0</v>
      </c>
      <c r="M122" s="62">
        <f ca="1">$J$122-EFEITO!$K$122*EFEITO!$Y$122</f>
        <v>0</v>
      </c>
      <c r="N122" s="62">
        <f>$K$122-EFEITO!$M$122*EFEITO!$Z$122</f>
        <v>0</v>
      </c>
      <c r="O122" s="62">
        <f>$L$122-EFEITO!$O$122*EFEITO!$AA$122</f>
        <v>0</v>
      </c>
      <c r="P122" s="45"/>
      <c r="Q122" s="45"/>
      <c r="R122" s="45"/>
      <c r="S122" s="45"/>
      <c r="T122" s="45"/>
      <c r="U122" s="45"/>
      <c r="V122" s="45"/>
      <c r="W122" s="45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41" t="s">
        <v>21</v>
      </c>
      <c r="B123" s="41" t="s">
        <v>39</v>
      </c>
      <c r="C123" s="41" t="s">
        <v>40</v>
      </c>
      <c r="D123" s="41" t="s">
        <v>50</v>
      </c>
      <c r="E123" s="41" t="s">
        <v>25</v>
      </c>
      <c r="F123" s="41" t="s">
        <v>25</v>
      </c>
      <c r="G123" s="41" t="s">
        <v>25</v>
      </c>
      <c r="H123" s="41" t="s">
        <v>25</v>
      </c>
      <c r="I123" s="61">
        <v>44470</v>
      </c>
      <c r="J123" s="62">
        <f ca="1">EFEITO!$J$123*EFEITO!$Y$123</f>
        <v>1745.3697852782132</v>
      </c>
      <c r="K123" s="62">
        <f>EFEITO!$L$123*EFEITO!$Z$123</f>
        <v>0</v>
      </c>
      <c r="L123" s="62">
        <f>EFEITO!$N$123*EFEITO!$AA$123</f>
        <v>0</v>
      </c>
      <c r="M123" s="62">
        <f ca="1">$J$123-EFEITO!$K$123*EFEITO!$Y$123</f>
        <v>0</v>
      </c>
      <c r="N123" s="62">
        <f>$K$123-EFEITO!$M$123*EFEITO!$Z$123</f>
        <v>0</v>
      </c>
      <c r="O123" s="62">
        <f>$L$123-EFEITO!$O$123*EFEITO!$AA$123</f>
        <v>0</v>
      </c>
      <c r="P123" s="45"/>
      <c r="Q123" s="45"/>
      <c r="R123" s="45"/>
      <c r="S123" s="45"/>
      <c r="T123" s="45"/>
      <c r="U123" s="45"/>
      <c r="V123" s="45"/>
      <c r="W123" s="45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41" t="s">
        <v>21</v>
      </c>
      <c r="B124" s="41" t="s">
        <v>39</v>
      </c>
      <c r="C124" s="41" t="s">
        <v>40</v>
      </c>
      <c r="D124" s="41" t="s">
        <v>50</v>
      </c>
      <c r="E124" s="41" t="s">
        <v>25</v>
      </c>
      <c r="F124" s="41" t="s">
        <v>25</v>
      </c>
      <c r="G124" s="41" t="s">
        <v>25</v>
      </c>
      <c r="H124" s="41" t="s">
        <v>25</v>
      </c>
      <c r="I124" s="61">
        <v>44501</v>
      </c>
      <c r="J124" s="62">
        <f ca="1">EFEITO!$J$124*EFEITO!$Y$124</f>
        <v>1745.3697852782132</v>
      </c>
      <c r="K124" s="62">
        <f>EFEITO!$L$124*EFEITO!$Z$124</f>
        <v>0</v>
      </c>
      <c r="L124" s="62">
        <f>EFEITO!$N$124*EFEITO!$AA$124</f>
        <v>0</v>
      </c>
      <c r="M124" s="62">
        <f ca="1">$J$124-EFEITO!$K$124*EFEITO!$Y$124</f>
        <v>0</v>
      </c>
      <c r="N124" s="62">
        <f>$K$124-EFEITO!$M$124*EFEITO!$Z$124</f>
        <v>0</v>
      </c>
      <c r="O124" s="62">
        <f>$L$124-EFEITO!$O$124*EFEITO!$AA$124</f>
        <v>0</v>
      </c>
      <c r="P124" s="45"/>
      <c r="Q124" s="45"/>
      <c r="R124" s="45"/>
      <c r="S124" s="45"/>
      <c r="T124" s="45"/>
      <c r="U124" s="45"/>
      <c r="V124" s="45"/>
      <c r="W124" s="45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41" t="s">
        <v>21</v>
      </c>
      <c r="B125" s="41" t="s">
        <v>39</v>
      </c>
      <c r="C125" s="41" t="s">
        <v>40</v>
      </c>
      <c r="D125" s="41" t="s">
        <v>50</v>
      </c>
      <c r="E125" s="41" t="s">
        <v>25</v>
      </c>
      <c r="F125" s="41" t="s">
        <v>25</v>
      </c>
      <c r="G125" s="41" t="s">
        <v>25</v>
      </c>
      <c r="H125" s="41" t="s">
        <v>25</v>
      </c>
      <c r="I125" s="61">
        <v>44531</v>
      </c>
      <c r="J125" s="62">
        <f ca="1">EFEITO!$J$125*EFEITO!$Y$125</f>
        <v>1745.3697852782132</v>
      </c>
      <c r="K125" s="62">
        <f>EFEITO!$L$125*EFEITO!$Z$125</f>
        <v>0</v>
      </c>
      <c r="L125" s="62">
        <f>EFEITO!$N$125*EFEITO!$AA$125</f>
        <v>0</v>
      </c>
      <c r="M125" s="62">
        <f ca="1">$J$125-EFEITO!$K$125*EFEITO!$Y$125</f>
        <v>0</v>
      </c>
      <c r="N125" s="62">
        <f>$K$125-EFEITO!$M$125*EFEITO!$Z$125</f>
        <v>0</v>
      </c>
      <c r="O125" s="62">
        <f>$L$125-EFEITO!$O$125*EFEITO!$AA$125</f>
        <v>0</v>
      </c>
      <c r="P125" s="45"/>
      <c r="Q125" s="45"/>
      <c r="R125" s="45"/>
      <c r="S125" s="45"/>
      <c r="T125" s="45"/>
      <c r="U125" s="45"/>
      <c r="V125" s="45"/>
      <c r="W125" s="45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41" t="s">
        <v>21</v>
      </c>
      <c r="B126" s="41" t="s">
        <v>39</v>
      </c>
      <c r="C126" s="41" t="s">
        <v>40</v>
      </c>
      <c r="D126" s="41" t="s">
        <v>50</v>
      </c>
      <c r="E126" s="41" t="s">
        <v>25</v>
      </c>
      <c r="F126" s="41" t="s">
        <v>25</v>
      </c>
      <c r="G126" s="41" t="s">
        <v>25</v>
      </c>
      <c r="H126" s="41" t="s">
        <v>25</v>
      </c>
      <c r="I126" s="61">
        <v>44562</v>
      </c>
      <c r="J126" s="62">
        <f ca="1">EFEITO!$J$126*EFEITO!$Y$126</f>
        <v>1745.3697852782132</v>
      </c>
      <c r="K126" s="62">
        <f>EFEITO!$L$126*EFEITO!$Z$126</f>
        <v>0</v>
      </c>
      <c r="L126" s="62">
        <f>EFEITO!$N$126*EFEITO!$AA$126</f>
        <v>0</v>
      </c>
      <c r="M126" s="62">
        <f ca="1">$J$126-EFEITO!$K$126*EFEITO!$Y$126</f>
        <v>0</v>
      </c>
      <c r="N126" s="62">
        <f>$K$126-EFEITO!$M$126*EFEITO!$Z$126</f>
        <v>0</v>
      </c>
      <c r="O126" s="62">
        <f>$L$126-EFEITO!$O$126*EFEITO!$AA$126</f>
        <v>0</v>
      </c>
      <c r="P126" s="45"/>
      <c r="Q126" s="45"/>
      <c r="R126" s="45"/>
      <c r="S126" s="45"/>
      <c r="T126" s="45"/>
      <c r="U126" s="45"/>
      <c r="V126" s="45"/>
      <c r="W126" s="45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41" t="s">
        <v>21</v>
      </c>
      <c r="B127" s="41" t="s">
        <v>39</v>
      </c>
      <c r="C127" s="41" t="s">
        <v>40</v>
      </c>
      <c r="D127" s="41" t="s">
        <v>50</v>
      </c>
      <c r="E127" s="41" t="s">
        <v>25</v>
      </c>
      <c r="F127" s="41" t="s">
        <v>25</v>
      </c>
      <c r="G127" s="41" t="s">
        <v>25</v>
      </c>
      <c r="H127" s="41" t="s">
        <v>25</v>
      </c>
      <c r="I127" s="61">
        <v>44593</v>
      </c>
      <c r="J127" s="62">
        <f ca="1">EFEITO!$J$127*EFEITO!$Y$127</f>
        <v>1782.1144123367017</v>
      </c>
      <c r="K127" s="62">
        <f>EFEITO!$L$127*EFEITO!$Z$127</f>
        <v>0</v>
      </c>
      <c r="L127" s="62">
        <f>EFEITO!$N$127*EFEITO!$AA$127</f>
        <v>0</v>
      </c>
      <c r="M127" s="62">
        <f ca="1">$J$127-EFEITO!$K$127*EFEITO!$Y$127</f>
        <v>0</v>
      </c>
      <c r="N127" s="62">
        <f>$K$127-EFEITO!$M$127*EFEITO!$Z$127</f>
        <v>0</v>
      </c>
      <c r="O127" s="62">
        <f>$L$127-EFEITO!$O$127*EFEITO!$AA$127</f>
        <v>0</v>
      </c>
      <c r="P127" s="45"/>
      <c r="Q127" s="45"/>
      <c r="R127" s="45"/>
      <c r="S127" s="45"/>
      <c r="T127" s="45"/>
      <c r="U127" s="45"/>
      <c r="V127" s="45"/>
      <c r="W127" s="45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41" t="s">
        <v>21</v>
      </c>
      <c r="B128" s="41" t="s">
        <v>39</v>
      </c>
      <c r="C128" s="41" t="s">
        <v>40</v>
      </c>
      <c r="D128" s="41" t="s">
        <v>50</v>
      </c>
      <c r="E128" s="41" t="s">
        <v>25</v>
      </c>
      <c r="F128" s="41" t="s">
        <v>25</v>
      </c>
      <c r="G128" s="41" t="s">
        <v>25</v>
      </c>
      <c r="H128" s="41" t="s">
        <v>25</v>
      </c>
      <c r="I128" s="61">
        <v>44621</v>
      </c>
      <c r="J128" s="62">
        <f ca="1">EFEITO!$J$128*EFEITO!$Y$128</f>
        <v>1763.7420988074573</v>
      </c>
      <c r="K128" s="62">
        <f>EFEITO!$L$128*EFEITO!$Z$128</f>
        <v>0</v>
      </c>
      <c r="L128" s="62">
        <f>EFEITO!$N$128*EFEITO!$AA$128</f>
        <v>0</v>
      </c>
      <c r="M128" s="62">
        <f ca="1">$J$128-EFEITO!$K$128*EFEITO!$Y$128</f>
        <v>0</v>
      </c>
      <c r="N128" s="62">
        <f>$K$128-EFEITO!$M$128*EFEITO!$Z$128</f>
        <v>0</v>
      </c>
      <c r="O128" s="62">
        <f>$L$128-EFEITO!$O$128*EFEITO!$AA$128</f>
        <v>0</v>
      </c>
      <c r="P128" s="45"/>
      <c r="Q128" s="45"/>
      <c r="R128" s="45"/>
      <c r="S128" s="45"/>
      <c r="T128" s="45"/>
      <c r="U128" s="45"/>
      <c r="V128" s="45"/>
      <c r="W128" s="45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41" t="s">
        <v>21</v>
      </c>
      <c r="B129" s="41" t="s">
        <v>39</v>
      </c>
      <c r="C129" s="41" t="s">
        <v>40</v>
      </c>
      <c r="D129" s="41" t="s">
        <v>50</v>
      </c>
      <c r="E129" s="41" t="s">
        <v>25</v>
      </c>
      <c r="F129" s="41" t="s">
        <v>25</v>
      </c>
      <c r="G129" s="41" t="s">
        <v>25</v>
      </c>
      <c r="H129" s="41" t="s">
        <v>25</v>
      </c>
      <c r="I129" s="61">
        <v>44652</v>
      </c>
      <c r="J129" s="62">
        <f ca="1">EFEITO!$J$129*EFEITO!$Y$129</f>
        <v>1745.3697852782132</v>
      </c>
      <c r="K129" s="62">
        <f>EFEITO!$L$129*EFEITO!$Z$129</f>
        <v>0</v>
      </c>
      <c r="L129" s="62">
        <f>EFEITO!$N$129*EFEITO!$AA$129</f>
        <v>0</v>
      </c>
      <c r="M129" s="62">
        <f ca="1">$J$129-EFEITO!$K$129*EFEITO!$Y$129</f>
        <v>0</v>
      </c>
      <c r="N129" s="62">
        <f>$K$129-EFEITO!$M$129*EFEITO!$Z$129</f>
        <v>0</v>
      </c>
      <c r="O129" s="62">
        <f>$L$129-EFEITO!$O$129*EFEITO!$AA$129</f>
        <v>0</v>
      </c>
      <c r="P129" s="45"/>
      <c r="Q129" s="45"/>
      <c r="R129" s="45"/>
      <c r="S129" s="45"/>
      <c r="T129" s="45"/>
      <c r="U129" s="45"/>
      <c r="V129" s="45"/>
      <c r="W129" s="45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41" t="s">
        <v>21</v>
      </c>
      <c r="B130" s="41" t="s">
        <v>39</v>
      </c>
      <c r="C130" s="41" t="s">
        <v>40</v>
      </c>
      <c r="D130" s="41" t="s">
        <v>50</v>
      </c>
      <c r="E130" s="41" t="s">
        <v>25</v>
      </c>
      <c r="F130" s="41" t="s">
        <v>25</v>
      </c>
      <c r="G130" s="41" t="s">
        <v>25</v>
      </c>
      <c r="H130" s="41" t="s">
        <v>25</v>
      </c>
      <c r="I130" s="61">
        <v>44682</v>
      </c>
      <c r="J130" s="62">
        <f ca="1">EFEITO!$J$130*EFEITO!$Y$130</f>
        <v>1745.3697852782132</v>
      </c>
      <c r="K130" s="62">
        <f>EFEITO!$L$130*EFEITO!$Z$130</f>
        <v>0</v>
      </c>
      <c r="L130" s="62">
        <f>EFEITO!$N$130*EFEITO!$AA$130</f>
        <v>0</v>
      </c>
      <c r="M130" s="62">
        <f ca="1">$J$130-EFEITO!$K$130*EFEITO!$Y$130</f>
        <v>0</v>
      </c>
      <c r="N130" s="62">
        <f>$K$130-EFEITO!$M$130*EFEITO!$Z$130</f>
        <v>0</v>
      </c>
      <c r="O130" s="62">
        <f>$L$130-EFEITO!$O$130*EFEITO!$AA$130</f>
        <v>0</v>
      </c>
      <c r="P130" s="45"/>
      <c r="Q130" s="45"/>
      <c r="R130" s="45"/>
      <c r="S130" s="45"/>
      <c r="T130" s="45"/>
      <c r="U130" s="45"/>
      <c r="V130" s="45"/>
      <c r="W130" s="45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41" t="s">
        <v>21</v>
      </c>
      <c r="B131" s="41" t="s">
        <v>39</v>
      </c>
      <c r="C131" s="41" t="s">
        <v>40</v>
      </c>
      <c r="D131" s="41" t="s">
        <v>50</v>
      </c>
      <c r="E131" s="41" t="s">
        <v>25</v>
      </c>
      <c r="F131" s="41" t="s">
        <v>25</v>
      </c>
      <c r="G131" s="41" t="s">
        <v>25</v>
      </c>
      <c r="H131" s="41" t="s">
        <v>25</v>
      </c>
      <c r="I131" s="61">
        <v>44713</v>
      </c>
      <c r="J131" s="62">
        <f ca="1">EFEITO!$J$131*EFEITO!$Y$131</f>
        <v>1745.3697852782132</v>
      </c>
      <c r="K131" s="62">
        <f>EFEITO!$L$131*EFEITO!$Z$131</f>
        <v>0</v>
      </c>
      <c r="L131" s="62">
        <f>EFEITO!$N$131*EFEITO!$AA$131</f>
        <v>0</v>
      </c>
      <c r="M131" s="62">
        <f ca="1">$J$131-EFEITO!$K$131*EFEITO!$Y$131</f>
        <v>0</v>
      </c>
      <c r="N131" s="62">
        <f>$K$131-EFEITO!$M$131*EFEITO!$Z$131</f>
        <v>0</v>
      </c>
      <c r="O131" s="62">
        <f>$L$131-EFEITO!$O$131*EFEITO!$AA$131</f>
        <v>0</v>
      </c>
      <c r="P131" s="45"/>
      <c r="Q131" s="45"/>
      <c r="R131" s="45"/>
      <c r="S131" s="45"/>
      <c r="T131" s="45"/>
      <c r="U131" s="45"/>
      <c r="V131" s="45"/>
      <c r="W131" s="45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41" t="s">
        <v>21</v>
      </c>
      <c r="B132" s="41" t="s">
        <v>39</v>
      </c>
      <c r="C132" s="41" t="s">
        <v>40</v>
      </c>
      <c r="D132" s="41" t="s">
        <v>50</v>
      </c>
      <c r="E132" s="41" t="s">
        <v>25</v>
      </c>
      <c r="F132" s="41" t="s">
        <v>25</v>
      </c>
      <c r="G132" s="41" t="s">
        <v>25</v>
      </c>
      <c r="H132" s="41" t="s">
        <v>25</v>
      </c>
      <c r="I132" s="61">
        <v>44743</v>
      </c>
      <c r="J132" s="62">
        <f ca="1">EFEITO!$J$132*EFEITO!$Y$132</f>
        <v>1745.3697852782132</v>
      </c>
      <c r="K132" s="62">
        <f>EFEITO!$L$132*EFEITO!$Z$132</f>
        <v>0</v>
      </c>
      <c r="L132" s="62">
        <f>EFEITO!$N$132*EFEITO!$AA$132</f>
        <v>0</v>
      </c>
      <c r="M132" s="62">
        <f ca="1">$J$132-EFEITO!$K$132*EFEITO!$Y$132</f>
        <v>0</v>
      </c>
      <c r="N132" s="62">
        <f>$K$132-EFEITO!$M$132*EFEITO!$Z$132</f>
        <v>0</v>
      </c>
      <c r="O132" s="62">
        <f>$L$132-EFEITO!$O$132*EFEITO!$AA$132</f>
        <v>0</v>
      </c>
      <c r="P132" s="45"/>
      <c r="Q132" s="45"/>
      <c r="R132" s="45"/>
      <c r="S132" s="45"/>
      <c r="T132" s="45"/>
      <c r="U132" s="45"/>
      <c r="V132" s="45"/>
      <c r="W132" s="45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41" t="s">
        <v>57</v>
      </c>
      <c r="B133" s="41" t="s">
        <v>39</v>
      </c>
      <c r="C133" s="41" t="s">
        <v>40</v>
      </c>
      <c r="D133" s="41" t="s">
        <v>50</v>
      </c>
      <c r="E133" s="41" t="s">
        <v>25</v>
      </c>
      <c r="F133" s="41" t="s">
        <v>25</v>
      </c>
      <c r="G133" s="41" t="s">
        <v>25</v>
      </c>
      <c r="H133" s="41" t="s">
        <v>25</v>
      </c>
      <c r="I133" s="61">
        <v>44774</v>
      </c>
      <c r="J133" s="62">
        <f ca="1">EFEITO!$J$133*EFEITO!$Y$133</f>
        <v>1745.3697852782132</v>
      </c>
      <c r="K133" s="62">
        <f>EFEITO!$L$133*EFEITO!$Z$133</f>
        <v>0</v>
      </c>
      <c r="L133" s="62">
        <f>EFEITO!$N$133*EFEITO!$AA$133</f>
        <v>0</v>
      </c>
      <c r="M133" s="62">
        <f ca="1">$J$133-EFEITO!$K$133*EFEITO!$Y$133</f>
        <v>0</v>
      </c>
      <c r="N133" s="62">
        <f>$K$133-EFEITO!$M$133*EFEITO!$Z$133</f>
        <v>0</v>
      </c>
      <c r="O133" s="62">
        <f>$L$133-EFEITO!$O$133*EFEITO!$AA$133</f>
        <v>0</v>
      </c>
      <c r="P133" s="45"/>
      <c r="Q133" s="45"/>
      <c r="R133" s="45"/>
      <c r="S133" s="45"/>
      <c r="T133" s="45"/>
      <c r="U133" s="45"/>
      <c r="V133" s="45"/>
      <c r="W133" s="45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41" t="s">
        <v>21</v>
      </c>
      <c r="B134" s="41" t="s">
        <v>39</v>
      </c>
      <c r="C134" s="41" t="s">
        <v>40</v>
      </c>
      <c r="D134" s="41" t="s">
        <v>50</v>
      </c>
      <c r="E134" s="41" t="s">
        <v>25</v>
      </c>
      <c r="F134" s="41" t="s">
        <v>25</v>
      </c>
      <c r="G134" s="41" t="s">
        <v>25</v>
      </c>
      <c r="H134" s="41" t="s">
        <v>37</v>
      </c>
      <c r="I134" s="61">
        <v>44440</v>
      </c>
      <c r="J134" s="62">
        <f>EFEITO!$J$134*EFEITO!$Y$134</f>
        <v>0</v>
      </c>
      <c r="K134" s="62">
        <f ca="1">EFEITO!$L$134*EFEITO!$Z$134</f>
        <v>1383.817327367904</v>
      </c>
      <c r="L134" s="62">
        <f>EFEITO!$N$134*EFEITO!$AA$134</f>
        <v>126.5861246753056</v>
      </c>
      <c r="M134" s="62">
        <f>$J$134-EFEITO!$K$134*EFEITO!$Y$134</f>
        <v>0</v>
      </c>
      <c r="N134" s="62">
        <f ca="1">$K$134-EFEITO!$M$134*EFEITO!$Z$134</f>
        <v>0</v>
      </c>
      <c r="O134" s="62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41" t="s">
        <v>21</v>
      </c>
      <c r="B135" s="41" t="s">
        <v>39</v>
      </c>
      <c r="C135" s="41" t="s">
        <v>40</v>
      </c>
      <c r="D135" s="41" t="s">
        <v>50</v>
      </c>
      <c r="E135" s="41" t="s">
        <v>25</v>
      </c>
      <c r="F135" s="41" t="s">
        <v>25</v>
      </c>
      <c r="G135" s="41" t="s">
        <v>25</v>
      </c>
      <c r="H135" s="41" t="s">
        <v>37</v>
      </c>
      <c r="I135" s="61">
        <v>44470</v>
      </c>
      <c r="J135" s="62">
        <f>EFEITO!$J$135*EFEITO!$Y$135</f>
        <v>0</v>
      </c>
      <c r="K135" s="62">
        <f ca="1">EFEITO!$L$135*EFEITO!$Z$135</f>
        <v>1285.9589850880341</v>
      </c>
      <c r="L135" s="62">
        <f>EFEITO!$N$135*EFEITO!$AA$135</f>
        <v>117.63443136191135</v>
      </c>
      <c r="M135" s="62">
        <f>$J$135-EFEITO!$K$135*EFEITO!$Y$135</f>
        <v>0</v>
      </c>
      <c r="N135" s="62">
        <f ca="1">$K$135-EFEITO!$M$135*EFEITO!$Z$135</f>
        <v>0</v>
      </c>
      <c r="O135" s="62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41" t="s">
        <v>21</v>
      </c>
      <c r="B136" s="41" t="s">
        <v>39</v>
      </c>
      <c r="C136" s="41" t="s">
        <v>40</v>
      </c>
      <c r="D136" s="41" t="s">
        <v>50</v>
      </c>
      <c r="E136" s="41" t="s">
        <v>25</v>
      </c>
      <c r="F136" s="41" t="s">
        <v>25</v>
      </c>
      <c r="G136" s="41" t="s">
        <v>25</v>
      </c>
      <c r="H136" s="41" t="s">
        <v>37</v>
      </c>
      <c r="I136" s="61">
        <v>44501</v>
      </c>
      <c r="J136" s="62">
        <f>EFEITO!$J$136*EFEITO!$Y$136</f>
        <v>0</v>
      </c>
      <c r="K136" s="62">
        <f ca="1">EFEITO!$L$136*EFEITO!$Z$136</f>
        <v>1361.2346329956263</v>
      </c>
      <c r="L136" s="62">
        <f>EFEITO!$N$136*EFEITO!$AA$136</f>
        <v>124.52034929529154</v>
      </c>
      <c r="M136" s="62">
        <f>$J$136-EFEITO!$K$136*EFEITO!$Y$136</f>
        <v>0</v>
      </c>
      <c r="N136" s="62">
        <f ca="1">$K$136-EFEITO!$M$136*EFEITO!$Z$136</f>
        <v>0</v>
      </c>
      <c r="O136" s="62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41" t="s">
        <v>21</v>
      </c>
      <c r="B137" s="41" t="s">
        <v>39</v>
      </c>
      <c r="C137" s="41" t="s">
        <v>40</v>
      </c>
      <c r="D137" s="41" t="s">
        <v>50</v>
      </c>
      <c r="E137" s="41" t="s">
        <v>25</v>
      </c>
      <c r="F137" s="41" t="s">
        <v>25</v>
      </c>
      <c r="G137" s="41" t="s">
        <v>25</v>
      </c>
      <c r="H137" s="41" t="s">
        <v>37</v>
      </c>
      <c r="I137" s="61">
        <v>44531</v>
      </c>
      <c r="J137" s="62">
        <f>EFEITO!$J$137*EFEITO!$Y$137</f>
        <v>0</v>
      </c>
      <c r="K137" s="62">
        <f ca="1">EFEITO!$L$137*EFEITO!$Z$137</f>
        <v>1484.1848579113605</v>
      </c>
      <c r="L137" s="62">
        <f>EFEITO!$N$137*EFEITO!$AA$137</f>
        <v>135.76734858647916</v>
      </c>
      <c r="M137" s="62">
        <f>$J$137-EFEITO!$K$137*EFEITO!$Y$137</f>
        <v>0</v>
      </c>
      <c r="N137" s="62">
        <f ca="1">$K$137-EFEITO!$M$137*EFEITO!$Z$137</f>
        <v>0</v>
      </c>
      <c r="O137" s="62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41" t="s">
        <v>21</v>
      </c>
      <c r="B138" s="41" t="s">
        <v>39</v>
      </c>
      <c r="C138" s="41" t="s">
        <v>40</v>
      </c>
      <c r="D138" s="41" t="s">
        <v>50</v>
      </c>
      <c r="E138" s="41" t="s">
        <v>25</v>
      </c>
      <c r="F138" s="41" t="s">
        <v>25</v>
      </c>
      <c r="G138" s="41" t="s">
        <v>25</v>
      </c>
      <c r="H138" s="41" t="s">
        <v>37</v>
      </c>
      <c r="I138" s="61">
        <v>44562</v>
      </c>
      <c r="J138" s="62">
        <f>EFEITO!$J$138*EFEITO!$Y$138</f>
        <v>0</v>
      </c>
      <c r="K138" s="62">
        <f ca="1">EFEITO!$L$138*EFEITO!$Z$138</f>
        <v>1486.6940461749468</v>
      </c>
      <c r="L138" s="62">
        <f>EFEITO!$N$138*EFEITO!$AA$138</f>
        <v>135.99687918425852</v>
      </c>
      <c r="M138" s="62">
        <f>$J$138-EFEITO!$K$138*EFEITO!$Y$138</f>
        <v>0</v>
      </c>
      <c r="N138" s="62">
        <f ca="1">$K$138-EFEITO!$M$138*EFEITO!$Z$138</f>
        <v>0</v>
      </c>
      <c r="O138" s="62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41" t="s">
        <v>21</v>
      </c>
      <c r="B139" s="41" t="s">
        <v>39</v>
      </c>
      <c r="C139" s="41" t="s">
        <v>40</v>
      </c>
      <c r="D139" s="41" t="s">
        <v>50</v>
      </c>
      <c r="E139" s="41" t="s">
        <v>25</v>
      </c>
      <c r="F139" s="41" t="s">
        <v>25</v>
      </c>
      <c r="G139" s="41" t="s">
        <v>25</v>
      </c>
      <c r="H139" s="41" t="s">
        <v>37</v>
      </c>
      <c r="I139" s="61">
        <v>44593</v>
      </c>
      <c r="J139" s="62">
        <f>EFEITO!$J$139*EFEITO!$Y$139</f>
        <v>0</v>
      </c>
      <c r="K139" s="62">
        <f ca="1">EFEITO!$L$139*EFEITO!$Z$139</f>
        <v>1385.0719214996973</v>
      </c>
      <c r="L139" s="62">
        <f>EFEITO!$N$139*EFEITO!$AA$139</f>
        <v>126.70088997419528</v>
      </c>
      <c r="M139" s="62">
        <f>$J$139-EFEITO!$K$139*EFEITO!$Y$139</f>
        <v>0</v>
      </c>
      <c r="N139" s="62">
        <f ca="1">$K$139-EFEITO!$M$139*EFEITO!$Z$139</f>
        <v>0</v>
      </c>
      <c r="O139" s="62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41" t="s">
        <v>21</v>
      </c>
      <c r="B140" s="41" t="s">
        <v>39</v>
      </c>
      <c r="C140" s="41" t="s">
        <v>40</v>
      </c>
      <c r="D140" s="41" t="s">
        <v>50</v>
      </c>
      <c r="E140" s="41" t="s">
        <v>25</v>
      </c>
      <c r="F140" s="41" t="s">
        <v>25</v>
      </c>
      <c r="G140" s="41" t="s">
        <v>25</v>
      </c>
      <c r="H140" s="41" t="s">
        <v>37</v>
      </c>
      <c r="I140" s="61">
        <v>44621</v>
      </c>
      <c r="J140" s="62">
        <f>EFEITO!$J$140*EFEITO!$Y$140</f>
        <v>0</v>
      </c>
      <c r="K140" s="62">
        <f ca="1">EFEITO!$L$140*EFEITO!$Z$140</f>
        <v>1610.8988652224741</v>
      </c>
      <c r="L140" s="62">
        <f>EFEITO!$N$140*EFEITO!$AA$140</f>
        <v>147.3586437743358</v>
      </c>
      <c r="M140" s="62">
        <f>$J$140-EFEITO!$K$140*EFEITO!$Y$140</f>
        <v>0</v>
      </c>
      <c r="N140" s="62">
        <f ca="1">$K$140-EFEITO!$M$140*EFEITO!$Z$140</f>
        <v>0</v>
      </c>
      <c r="O140" s="62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41" t="s">
        <v>21</v>
      </c>
      <c r="B141" s="41" t="s">
        <v>39</v>
      </c>
      <c r="C141" s="41" t="s">
        <v>40</v>
      </c>
      <c r="D141" s="41" t="s">
        <v>50</v>
      </c>
      <c r="E141" s="41" t="s">
        <v>25</v>
      </c>
      <c r="F141" s="41" t="s">
        <v>25</v>
      </c>
      <c r="G141" s="41" t="s">
        <v>25</v>
      </c>
      <c r="H141" s="41" t="s">
        <v>37</v>
      </c>
      <c r="I141" s="61">
        <v>44652</v>
      </c>
      <c r="J141" s="62">
        <f>EFEITO!$J$141*EFEITO!$Y$141</f>
        <v>0</v>
      </c>
      <c r="K141" s="62">
        <f ca="1">EFEITO!$L$141*EFEITO!$Z$141</f>
        <v>1288.4681733516204</v>
      </c>
      <c r="L141" s="62">
        <f>EFEITO!$N$141*EFEITO!$AA$141</f>
        <v>117.8639619596907</v>
      </c>
      <c r="M141" s="62">
        <f>$J$141-EFEITO!$K$141*EFEITO!$Y$141</f>
        <v>0</v>
      </c>
      <c r="N141" s="62">
        <f ca="1">$K$141-EFEITO!$M$141*EFEITO!$Z$141</f>
        <v>0</v>
      </c>
      <c r="O141" s="62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41" t="s">
        <v>21</v>
      </c>
      <c r="B142" s="41" t="s">
        <v>39</v>
      </c>
      <c r="C142" s="41" t="s">
        <v>40</v>
      </c>
      <c r="D142" s="41" t="s">
        <v>50</v>
      </c>
      <c r="E142" s="41" t="s">
        <v>25</v>
      </c>
      <c r="F142" s="41" t="s">
        <v>25</v>
      </c>
      <c r="G142" s="41" t="s">
        <v>25</v>
      </c>
      <c r="H142" s="41" t="s">
        <v>37</v>
      </c>
      <c r="I142" s="61">
        <v>44682</v>
      </c>
      <c r="J142" s="62">
        <f>EFEITO!$J$142*EFEITO!$Y$142</f>
        <v>0</v>
      </c>
      <c r="K142" s="62">
        <f ca="1">EFEITO!$L$142*EFEITO!$Z$142</f>
        <v>1362.4892271274198</v>
      </c>
      <c r="L142" s="62">
        <f>EFEITO!$N$142*EFEITO!$AA$142</f>
        <v>124.63511459418122</v>
      </c>
      <c r="M142" s="62">
        <f>$J$142-EFEITO!$K$142*EFEITO!$Y$142</f>
        <v>0</v>
      </c>
      <c r="N142" s="62">
        <f ca="1">$K$142-EFEITO!$M$142*EFEITO!$Z$142</f>
        <v>0</v>
      </c>
      <c r="O142" s="62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41" t="s">
        <v>21</v>
      </c>
      <c r="B143" s="41" t="s">
        <v>39</v>
      </c>
      <c r="C143" s="41" t="s">
        <v>40</v>
      </c>
      <c r="D143" s="41" t="s">
        <v>50</v>
      </c>
      <c r="E143" s="41" t="s">
        <v>25</v>
      </c>
      <c r="F143" s="41" t="s">
        <v>25</v>
      </c>
      <c r="G143" s="41" t="s">
        <v>25</v>
      </c>
      <c r="H143" s="41" t="s">
        <v>37</v>
      </c>
      <c r="I143" s="61">
        <v>44713</v>
      </c>
      <c r="J143" s="62">
        <f>EFEITO!$J$143*EFEITO!$Y$143</f>
        <v>0</v>
      </c>
      <c r="K143" s="62">
        <f ca="1">EFEITO!$L$143*EFEITO!$Z$143</f>
        <v>1272.1584496383089</v>
      </c>
      <c r="L143" s="62">
        <f>EFEITO!$N$143*EFEITO!$AA$143</f>
        <v>116.37201307412499</v>
      </c>
      <c r="M143" s="62">
        <f>$J$143-EFEITO!$K$143*EFEITO!$Y$143</f>
        <v>0</v>
      </c>
      <c r="N143" s="62">
        <f ca="1">$K$143-EFEITO!$M$143*EFEITO!$Z$143</f>
        <v>0</v>
      </c>
      <c r="O143" s="62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41" t="s">
        <v>21</v>
      </c>
      <c r="B144" s="41" t="s">
        <v>39</v>
      </c>
      <c r="C144" s="41" t="s">
        <v>40</v>
      </c>
      <c r="D144" s="41" t="s">
        <v>50</v>
      </c>
      <c r="E144" s="41" t="s">
        <v>25</v>
      </c>
      <c r="F144" s="41" t="s">
        <v>25</v>
      </c>
      <c r="G144" s="41" t="s">
        <v>25</v>
      </c>
      <c r="H144" s="41" t="s">
        <v>37</v>
      </c>
      <c r="I144" s="61">
        <v>44743</v>
      </c>
      <c r="J144" s="62">
        <f>EFEITO!$J$144*EFEITO!$Y$144</f>
        <v>0</v>
      </c>
      <c r="K144" s="62">
        <f ca="1">EFEITO!$L$144*EFEITO!$Z$144</f>
        <v>1298.504926405966</v>
      </c>
      <c r="L144" s="62">
        <f>EFEITO!$N$144*EFEITO!$AA$144</f>
        <v>118.78208435080805</v>
      </c>
      <c r="M144" s="62">
        <f>$J$144-EFEITO!$K$144*EFEITO!$Y$144</f>
        <v>0</v>
      </c>
      <c r="N144" s="62">
        <f ca="1">$K$144-EFEITO!$M$144*EFEITO!$Z$144</f>
        <v>0</v>
      </c>
      <c r="O144" s="62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41" t="s">
        <v>57</v>
      </c>
      <c r="B145" s="41" t="s">
        <v>39</v>
      </c>
      <c r="C145" s="41" t="s">
        <v>40</v>
      </c>
      <c r="D145" s="41" t="s">
        <v>50</v>
      </c>
      <c r="E145" s="41" t="s">
        <v>25</v>
      </c>
      <c r="F145" s="41" t="s">
        <v>25</v>
      </c>
      <c r="G145" s="41" t="s">
        <v>25</v>
      </c>
      <c r="H145" s="41" t="s">
        <v>37</v>
      </c>
      <c r="I145" s="61">
        <v>44774</v>
      </c>
      <c r="J145" s="62">
        <f>EFEITO!$J$145*EFEITO!$Y$145</f>
        <v>0</v>
      </c>
      <c r="K145" s="62">
        <f ca="1">EFEITO!$L$145*EFEITO!$Z$145</f>
        <v>1298.504926405966</v>
      </c>
      <c r="L145" s="62">
        <f>EFEITO!$N$145*EFEITO!$AA$145</f>
        <v>118.78208435080805</v>
      </c>
      <c r="M145" s="62">
        <f>$J$145-EFEITO!$K$145*EFEITO!$Y$145</f>
        <v>0</v>
      </c>
      <c r="N145" s="62">
        <f ca="1">$K$145-EFEITO!$M$145*EFEITO!$Z$145</f>
        <v>0</v>
      </c>
      <c r="O145" s="62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41" t="s">
        <v>21</v>
      </c>
      <c r="B146" s="41" t="s">
        <v>39</v>
      </c>
      <c r="C146" s="41" t="s">
        <v>40</v>
      </c>
      <c r="D146" s="41" t="s">
        <v>34</v>
      </c>
      <c r="E146" s="41" t="s">
        <v>25</v>
      </c>
      <c r="F146" s="41" t="s">
        <v>25</v>
      </c>
      <c r="G146" s="41" t="s">
        <v>25</v>
      </c>
      <c r="H146" s="41" t="s">
        <v>38</v>
      </c>
      <c r="I146" s="61">
        <v>44440</v>
      </c>
      <c r="J146" s="62">
        <f>EFEITO!$J$146*EFEITO!$Y$146</f>
        <v>0</v>
      </c>
      <c r="K146" s="62">
        <f ca="1">EFEITO!$L$146*EFEITO!$Z$146</f>
        <v>1565153.5331582581</v>
      </c>
      <c r="L146" s="62">
        <f>EFEITO!$N$146*EFEITO!$AA$146</f>
        <v>1476654.4584785756</v>
      </c>
      <c r="M146" s="62">
        <f>$J$146-EFEITO!$K$146*EFEITO!$Y$146</f>
        <v>0</v>
      </c>
      <c r="N146" s="62">
        <f ca="1">$K$146-EFEITO!$M$146*EFEITO!$Z$146</f>
        <v>0</v>
      </c>
      <c r="O146" s="62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41" t="s">
        <v>21</v>
      </c>
      <c r="B147" s="41" t="s">
        <v>39</v>
      </c>
      <c r="C147" s="41" t="s">
        <v>40</v>
      </c>
      <c r="D147" s="41" t="s">
        <v>34</v>
      </c>
      <c r="E147" s="41" t="s">
        <v>25</v>
      </c>
      <c r="F147" s="41" t="s">
        <v>25</v>
      </c>
      <c r="G147" s="41" t="s">
        <v>25</v>
      </c>
      <c r="H147" s="41" t="s">
        <v>38</v>
      </c>
      <c r="I147" s="61">
        <v>44470</v>
      </c>
      <c r="J147" s="62">
        <f>EFEITO!$J$147*EFEITO!$Y$147</f>
        <v>0</v>
      </c>
      <c r="K147" s="62">
        <f ca="1">EFEITO!$L$147*EFEITO!$Z$147</f>
        <v>1608159.5946363222</v>
      </c>
      <c r="L147" s="62">
        <f>EFEITO!$N$147*EFEITO!$AA$147</f>
        <v>1517228.8117786271</v>
      </c>
      <c r="M147" s="62">
        <f>$J$147-EFEITO!$K$147*EFEITO!$Y$147</f>
        <v>0</v>
      </c>
      <c r="N147" s="62">
        <f ca="1">$K$147-EFEITO!$M$147*EFEITO!$Z$147</f>
        <v>0</v>
      </c>
      <c r="O147" s="62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41" t="s">
        <v>21</v>
      </c>
      <c r="B148" s="41" t="s">
        <v>39</v>
      </c>
      <c r="C148" s="41" t="s">
        <v>40</v>
      </c>
      <c r="D148" s="41" t="s">
        <v>34</v>
      </c>
      <c r="E148" s="41" t="s">
        <v>25</v>
      </c>
      <c r="F148" s="41" t="s">
        <v>25</v>
      </c>
      <c r="G148" s="41" t="s">
        <v>25</v>
      </c>
      <c r="H148" s="41" t="s">
        <v>38</v>
      </c>
      <c r="I148" s="61">
        <v>44501</v>
      </c>
      <c r="J148" s="62">
        <f>EFEITO!$J$148*EFEITO!$Y$148</f>
        <v>0</v>
      </c>
      <c r="K148" s="62">
        <f ca="1">EFEITO!$L$148*EFEITO!$Z$148</f>
        <v>1611967.8854948166</v>
      </c>
      <c r="L148" s="62">
        <f>EFEITO!$N$148*EFEITO!$AA$148</f>
        <v>1520821.768990966</v>
      </c>
      <c r="M148" s="62">
        <f>$J$148-EFEITO!$K$148*EFEITO!$Y$148</f>
        <v>0</v>
      </c>
      <c r="N148" s="62">
        <f ca="1">$K$148-EFEITO!$M$148*EFEITO!$Z$148</f>
        <v>0</v>
      </c>
      <c r="O148" s="62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41" t="s">
        <v>21</v>
      </c>
      <c r="B149" s="41" t="s">
        <v>39</v>
      </c>
      <c r="C149" s="41" t="s">
        <v>40</v>
      </c>
      <c r="D149" s="41" t="s">
        <v>34</v>
      </c>
      <c r="E149" s="41" t="s">
        <v>25</v>
      </c>
      <c r="F149" s="41" t="s">
        <v>25</v>
      </c>
      <c r="G149" s="41" t="s">
        <v>25</v>
      </c>
      <c r="H149" s="41" t="s">
        <v>38</v>
      </c>
      <c r="I149" s="61">
        <v>44531</v>
      </c>
      <c r="J149" s="62">
        <f>EFEITO!$J$149*EFEITO!$Y$149</f>
        <v>0</v>
      </c>
      <c r="K149" s="62">
        <f ca="1">EFEITO!$L$149*EFEITO!$Z$149</f>
        <v>1490576.7441125801</v>
      </c>
      <c r="L149" s="62">
        <f>EFEITO!$N$149*EFEITO!$AA$149</f>
        <v>1406294.4933311937</v>
      </c>
      <c r="M149" s="62">
        <f>$J$149-EFEITO!$K$149*EFEITO!$Y$149</f>
        <v>0</v>
      </c>
      <c r="N149" s="62">
        <f ca="1">$K$149-EFEITO!$M$149*EFEITO!$Z$149</f>
        <v>0</v>
      </c>
      <c r="O149" s="62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41" t="s">
        <v>21</v>
      </c>
      <c r="B150" s="41" t="s">
        <v>39</v>
      </c>
      <c r="C150" s="41" t="s">
        <v>40</v>
      </c>
      <c r="D150" s="41" t="s">
        <v>34</v>
      </c>
      <c r="E150" s="41" t="s">
        <v>25</v>
      </c>
      <c r="F150" s="41" t="s">
        <v>25</v>
      </c>
      <c r="G150" s="41" t="s">
        <v>25</v>
      </c>
      <c r="H150" s="41" t="s">
        <v>38</v>
      </c>
      <c r="I150" s="61">
        <v>44562</v>
      </c>
      <c r="J150" s="62">
        <f>EFEITO!$J$150*EFEITO!$Y$150</f>
        <v>0</v>
      </c>
      <c r="K150" s="62">
        <f ca="1">EFEITO!$L$150*EFEITO!$Z$150</f>
        <v>1497141.8400218952</v>
      </c>
      <c r="L150" s="62">
        <f>EFEITO!$N$150*EFEITO!$AA$150</f>
        <v>1412488.376512269</v>
      </c>
      <c r="M150" s="62">
        <f>$J$150-EFEITO!$K$150*EFEITO!$Y$150</f>
        <v>0</v>
      </c>
      <c r="N150" s="62">
        <f ca="1">$K$150-EFEITO!$M$150*EFEITO!$Z$150</f>
        <v>0</v>
      </c>
      <c r="O150" s="62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41" t="s">
        <v>21</v>
      </c>
      <c r="B151" s="41" t="s">
        <v>39</v>
      </c>
      <c r="C151" s="41" t="s">
        <v>40</v>
      </c>
      <c r="D151" s="41" t="s">
        <v>34</v>
      </c>
      <c r="E151" s="41" t="s">
        <v>25</v>
      </c>
      <c r="F151" s="41" t="s">
        <v>25</v>
      </c>
      <c r="G151" s="41" t="s">
        <v>25</v>
      </c>
      <c r="H151" s="41" t="s">
        <v>38</v>
      </c>
      <c r="I151" s="61">
        <v>44593</v>
      </c>
      <c r="J151" s="62">
        <f>EFEITO!$J$151*EFEITO!$Y$151</f>
        <v>0</v>
      </c>
      <c r="K151" s="62">
        <f ca="1">EFEITO!$L$151*EFEITO!$Z$151</f>
        <v>1534878.6730488976</v>
      </c>
      <c r="L151" s="62">
        <f>EFEITO!$N$151*EFEITO!$AA$151</f>
        <v>1448091.4413603167</v>
      </c>
      <c r="M151" s="62">
        <f>$J$151-EFEITO!$K$151*EFEITO!$Y$151</f>
        <v>0</v>
      </c>
      <c r="N151" s="62">
        <f ca="1">$K$151-EFEITO!$M$151*EFEITO!$Z$151</f>
        <v>0</v>
      </c>
      <c r="O151" s="62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41" t="s">
        <v>21</v>
      </c>
      <c r="B152" s="41" t="s">
        <v>39</v>
      </c>
      <c r="C152" s="41" t="s">
        <v>40</v>
      </c>
      <c r="D152" s="41" t="s">
        <v>34</v>
      </c>
      <c r="E152" s="41" t="s">
        <v>25</v>
      </c>
      <c r="F152" s="41" t="s">
        <v>25</v>
      </c>
      <c r="G152" s="41" t="s">
        <v>25</v>
      </c>
      <c r="H152" s="41" t="s">
        <v>38</v>
      </c>
      <c r="I152" s="61">
        <v>44621</v>
      </c>
      <c r="J152" s="62">
        <f>EFEITO!$J$152*EFEITO!$Y$152</f>
        <v>0</v>
      </c>
      <c r="K152" s="62">
        <f ca="1">EFEITO!$L$152*EFEITO!$Z$152</f>
        <v>1777911.5412788736</v>
      </c>
      <c r="L152" s="62">
        <f>EFEITO!$N$152*EFEITO!$AA$152</f>
        <v>1677382.4091955745</v>
      </c>
      <c r="M152" s="62">
        <f>$J$152-EFEITO!$K$152*EFEITO!$Y$152</f>
        <v>0</v>
      </c>
      <c r="N152" s="62">
        <f ca="1">$K$152-EFEITO!$M$152*EFEITO!$Z$152</f>
        <v>0</v>
      </c>
      <c r="O152" s="62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41" t="s">
        <v>21</v>
      </c>
      <c r="B153" s="41" t="s">
        <v>39</v>
      </c>
      <c r="C153" s="41" t="s">
        <v>40</v>
      </c>
      <c r="D153" s="41" t="s">
        <v>34</v>
      </c>
      <c r="E153" s="41" t="s">
        <v>25</v>
      </c>
      <c r="F153" s="41" t="s">
        <v>25</v>
      </c>
      <c r="G153" s="41" t="s">
        <v>25</v>
      </c>
      <c r="H153" s="41" t="s">
        <v>38</v>
      </c>
      <c r="I153" s="61">
        <v>44652</v>
      </c>
      <c r="J153" s="62">
        <f>EFEITO!$J$153*EFEITO!$Y$153</f>
        <v>0</v>
      </c>
      <c r="K153" s="62">
        <f ca="1">EFEITO!$L$153*EFEITO!$Z$153</f>
        <v>1619839.9184145019</v>
      </c>
      <c r="L153" s="62">
        <f>EFEITO!$N$153*EFEITO!$AA$153</f>
        <v>1528248.6905433121</v>
      </c>
      <c r="M153" s="62">
        <f>$J$153-EFEITO!$K$153*EFEITO!$Y$153</f>
        <v>0</v>
      </c>
      <c r="N153" s="62">
        <f ca="1">$K$153-EFEITO!$M$153*EFEITO!$Z$153</f>
        <v>0</v>
      </c>
      <c r="O153" s="62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41" t="s">
        <v>21</v>
      </c>
      <c r="B154" s="41" t="s">
        <v>39</v>
      </c>
      <c r="C154" s="41" t="s">
        <v>40</v>
      </c>
      <c r="D154" s="41" t="s">
        <v>34</v>
      </c>
      <c r="E154" s="41" t="s">
        <v>25</v>
      </c>
      <c r="F154" s="41" t="s">
        <v>25</v>
      </c>
      <c r="G154" s="41" t="s">
        <v>25</v>
      </c>
      <c r="H154" s="41" t="s">
        <v>38</v>
      </c>
      <c r="I154" s="61">
        <v>44682</v>
      </c>
      <c r="J154" s="62">
        <f>EFEITO!$J$154*EFEITO!$Y$154</f>
        <v>0</v>
      </c>
      <c r="K154" s="62">
        <f ca="1">EFEITO!$L$154*EFEITO!$Z$154</f>
        <v>1681771.5079963845</v>
      </c>
      <c r="L154" s="62">
        <f>EFEITO!$N$154*EFEITO!$AA$154</f>
        <v>1586678.4585752161</v>
      </c>
      <c r="M154" s="62">
        <f>$J$154-EFEITO!$K$154*EFEITO!$Y$154</f>
        <v>0</v>
      </c>
      <c r="N154" s="62">
        <f ca="1">$K$154-EFEITO!$M$154*EFEITO!$Z$154</f>
        <v>0</v>
      </c>
      <c r="O154" s="62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41" t="s">
        <v>21</v>
      </c>
      <c r="B155" s="41" t="s">
        <v>39</v>
      </c>
      <c r="C155" s="41" t="s">
        <v>40</v>
      </c>
      <c r="D155" s="41" t="s">
        <v>34</v>
      </c>
      <c r="E155" s="41" t="s">
        <v>25</v>
      </c>
      <c r="F155" s="41" t="s">
        <v>25</v>
      </c>
      <c r="G155" s="41" t="s">
        <v>25</v>
      </c>
      <c r="H155" s="41" t="s">
        <v>38</v>
      </c>
      <c r="I155" s="61">
        <v>44713</v>
      </c>
      <c r="J155" s="62">
        <f>EFEITO!$J$155*EFEITO!$Y$155</f>
        <v>0</v>
      </c>
      <c r="K155" s="62">
        <f ca="1">EFEITO!$L$155*EFEITO!$Z$155</f>
        <v>1580022.252876387</v>
      </c>
      <c r="L155" s="62">
        <f>EFEITO!$N$155*EFEITO!$AA$155</f>
        <v>1490682.4504924577</v>
      </c>
      <c r="M155" s="62">
        <f>$J$155-EFEITO!$K$155*EFEITO!$Y$155</f>
        <v>0</v>
      </c>
      <c r="N155" s="62">
        <f ca="1">$K$155-EFEITO!$M$155*EFEITO!$Z$155</f>
        <v>0</v>
      </c>
      <c r="O155" s="62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41" t="s">
        <v>21</v>
      </c>
      <c r="B156" s="41" t="s">
        <v>39</v>
      </c>
      <c r="C156" s="41" t="s">
        <v>40</v>
      </c>
      <c r="D156" s="41" t="s">
        <v>34</v>
      </c>
      <c r="E156" s="41" t="s">
        <v>25</v>
      </c>
      <c r="F156" s="41" t="s">
        <v>25</v>
      </c>
      <c r="G156" s="41" t="s">
        <v>25</v>
      </c>
      <c r="H156" s="41" t="s">
        <v>38</v>
      </c>
      <c r="I156" s="61">
        <v>44743</v>
      </c>
      <c r="J156" s="62">
        <f>EFEITO!$J$156*EFEITO!$Y$156</f>
        <v>0</v>
      </c>
      <c r="K156" s="62">
        <f ca="1">EFEITO!$L$156*EFEITO!$Z$156</f>
        <v>1559155.2956320709</v>
      </c>
      <c r="L156" s="62">
        <f>EFEITO!$N$156*EFEITO!$AA$156</f>
        <v>1470995.3815903259</v>
      </c>
      <c r="M156" s="62">
        <f>$J$156-EFEITO!$K$156*EFEITO!$Y$156</f>
        <v>0</v>
      </c>
      <c r="N156" s="62">
        <f ca="1">$K$156-EFEITO!$M$156*EFEITO!$Z$156</f>
        <v>0</v>
      </c>
      <c r="O156" s="62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41" t="s">
        <v>57</v>
      </c>
      <c r="B157" s="41" t="s">
        <v>39</v>
      </c>
      <c r="C157" s="41" t="s">
        <v>40</v>
      </c>
      <c r="D157" s="41" t="s">
        <v>34</v>
      </c>
      <c r="E157" s="41" t="s">
        <v>25</v>
      </c>
      <c r="F157" s="41" t="s">
        <v>25</v>
      </c>
      <c r="G157" s="41" t="s">
        <v>25</v>
      </c>
      <c r="H157" s="41" t="s">
        <v>38</v>
      </c>
      <c r="I157" s="61">
        <v>44774</v>
      </c>
      <c r="J157" s="62">
        <f>EFEITO!$J$157*EFEITO!$Y$157</f>
        <v>0</v>
      </c>
      <c r="K157" s="62">
        <f ca="1">EFEITO!$L$157*EFEITO!$Z$157</f>
        <v>1559155.2956320709</v>
      </c>
      <c r="L157" s="62">
        <f>EFEITO!$N$157*EFEITO!$AA$157</f>
        <v>1470995.3815903259</v>
      </c>
      <c r="M157" s="62">
        <f>$J$157-EFEITO!$K$157*EFEITO!$Y$157</f>
        <v>0</v>
      </c>
      <c r="N157" s="62">
        <f ca="1">$K$157-EFEITO!$M$157*EFEITO!$Z$157</f>
        <v>0</v>
      </c>
      <c r="O157" s="62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41" t="s">
        <v>21</v>
      </c>
      <c r="B158" s="41" t="s">
        <v>39</v>
      </c>
      <c r="C158" s="41" t="s">
        <v>40</v>
      </c>
      <c r="D158" s="41" t="s">
        <v>34</v>
      </c>
      <c r="E158" s="41" t="s">
        <v>25</v>
      </c>
      <c r="F158" s="41" t="s">
        <v>25</v>
      </c>
      <c r="G158" s="41" t="s">
        <v>25</v>
      </c>
      <c r="H158" s="41" t="s">
        <v>25</v>
      </c>
      <c r="I158" s="61">
        <v>44440</v>
      </c>
      <c r="J158" s="62">
        <f ca="1">EFEITO!$J$158*EFEITO!$Y$158</f>
        <v>918376.83638633718</v>
      </c>
      <c r="K158" s="62">
        <f>EFEITO!$L$158*EFEITO!$Z$158</f>
        <v>0</v>
      </c>
      <c r="L158" s="62">
        <f>EFEITO!$N$158*EFEITO!$AA$158</f>
        <v>0</v>
      </c>
      <c r="M158" s="62">
        <f ca="1">$J$158-EFEITO!$K$158*EFEITO!$Y$158</f>
        <v>0</v>
      </c>
      <c r="N158" s="62">
        <f>$K$158-EFEITO!$M$158*EFEITO!$Z$158</f>
        <v>0</v>
      </c>
      <c r="O158" s="62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41" t="s">
        <v>21</v>
      </c>
      <c r="B159" s="41" t="s">
        <v>39</v>
      </c>
      <c r="C159" s="41" t="s">
        <v>40</v>
      </c>
      <c r="D159" s="41" t="s">
        <v>34</v>
      </c>
      <c r="E159" s="41" t="s">
        <v>25</v>
      </c>
      <c r="F159" s="41" t="s">
        <v>25</v>
      </c>
      <c r="G159" s="41" t="s">
        <v>25</v>
      </c>
      <c r="H159" s="41" t="s">
        <v>25</v>
      </c>
      <c r="I159" s="61">
        <v>44470</v>
      </c>
      <c r="J159" s="62">
        <f ca="1">EFEITO!$J$159*EFEITO!$Y$159</f>
        <v>925725.761798035</v>
      </c>
      <c r="K159" s="62">
        <f>EFEITO!$L$159*EFEITO!$Z$159</f>
        <v>0</v>
      </c>
      <c r="L159" s="62">
        <f>EFEITO!$N$159*EFEITO!$AA$159</f>
        <v>0</v>
      </c>
      <c r="M159" s="62">
        <f ca="1">$J$159-EFEITO!$K$159*EFEITO!$Y$159</f>
        <v>0</v>
      </c>
      <c r="N159" s="62">
        <f>$K$159-EFEITO!$M$159*EFEITO!$Z$159</f>
        <v>0</v>
      </c>
      <c r="O159" s="62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41" t="s">
        <v>21</v>
      </c>
      <c r="B160" s="41" t="s">
        <v>39</v>
      </c>
      <c r="C160" s="41" t="s">
        <v>40</v>
      </c>
      <c r="D160" s="41" t="s">
        <v>34</v>
      </c>
      <c r="E160" s="41" t="s">
        <v>25</v>
      </c>
      <c r="F160" s="41" t="s">
        <v>25</v>
      </c>
      <c r="G160" s="41" t="s">
        <v>25</v>
      </c>
      <c r="H160" s="41" t="s">
        <v>25</v>
      </c>
      <c r="I160" s="61">
        <v>44501</v>
      </c>
      <c r="J160" s="62">
        <f ca="1">EFEITO!$J$160*EFEITO!$Y$160</f>
        <v>914555.39517225442</v>
      </c>
      <c r="K160" s="62">
        <f>EFEITO!$L$160*EFEITO!$Z$160</f>
        <v>0</v>
      </c>
      <c r="L160" s="62">
        <f>EFEITO!$N$160*EFEITO!$AA$160</f>
        <v>0</v>
      </c>
      <c r="M160" s="62">
        <f ca="1">$J$160-EFEITO!$K$160*EFEITO!$Y$160</f>
        <v>0</v>
      </c>
      <c r="N160" s="62">
        <f>$K$160-EFEITO!$M$160*EFEITO!$Z$160</f>
        <v>0</v>
      </c>
      <c r="O160" s="62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41" t="s">
        <v>21</v>
      </c>
      <c r="B161" s="41" t="s">
        <v>39</v>
      </c>
      <c r="C161" s="41" t="s">
        <v>40</v>
      </c>
      <c r="D161" s="41" t="s">
        <v>34</v>
      </c>
      <c r="E161" s="41" t="s">
        <v>25</v>
      </c>
      <c r="F161" s="41" t="s">
        <v>25</v>
      </c>
      <c r="G161" s="41" t="s">
        <v>25</v>
      </c>
      <c r="H161" s="41" t="s">
        <v>25</v>
      </c>
      <c r="I161" s="61">
        <v>44531</v>
      </c>
      <c r="J161" s="62">
        <f ca="1">EFEITO!$J$161*EFEITO!$Y$161</f>
        <v>916319.13727106189</v>
      </c>
      <c r="K161" s="62">
        <f>EFEITO!$L$161*EFEITO!$Z$161</f>
        <v>0</v>
      </c>
      <c r="L161" s="62">
        <f>EFEITO!$N$161*EFEITO!$AA$161</f>
        <v>0</v>
      </c>
      <c r="M161" s="62">
        <f ca="1">$J$161-EFEITO!$K$161*EFEITO!$Y$161</f>
        <v>0</v>
      </c>
      <c r="N161" s="62">
        <f>$K$161-EFEITO!$M$161*EFEITO!$Z$161</f>
        <v>0</v>
      </c>
      <c r="O161" s="62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41" t="s">
        <v>21</v>
      </c>
      <c r="B162" s="41" t="s">
        <v>39</v>
      </c>
      <c r="C162" s="41" t="s">
        <v>40</v>
      </c>
      <c r="D162" s="41" t="s">
        <v>34</v>
      </c>
      <c r="E162" s="41" t="s">
        <v>25</v>
      </c>
      <c r="F162" s="41" t="s">
        <v>25</v>
      </c>
      <c r="G162" s="41" t="s">
        <v>25</v>
      </c>
      <c r="H162" s="41" t="s">
        <v>25</v>
      </c>
      <c r="I162" s="61">
        <v>44562</v>
      </c>
      <c r="J162" s="62">
        <f ca="1">EFEITO!$J$162*EFEITO!$Y$162</f>
        <v>916925.42361752689</v>
      </c>
      <c r="K162" s="62">
        <f>EFEITO!$L$162*EFEITO!$Z$162</f>
        <v>0</v>
      </c>
      <c r="L162" s="62">
        <f>EFEITO!$N$162*EFEITO!$AA$162</f>
        <v>0</v>
      </c>
      <c r="M162" s="62">
        <f ca="1">$J$162-EFEITO!$K$162*EFEITO!$Y$162</f>
        <v>0</v>
      </c>
      <c r="N162" s="62">
        <f>$K$162-EFEITO!$M$162*EFEITO!$Z$162</f>
        <v>0</v>
      </c>
      <c r="O162" s="62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41" t="s">
        <v>21</v>
      </c>
      <c r="B163" s="41" t="s">
        <v>39</v>
      </c>
      <c r="C163" s="41" t="s">
        <v>40</v>
      </c>
      <c r="D163" s="41" t="s">
        <v>34</v>
      </c>
      <c r="E163" s="41" t="s">
        <v>25</v>
      </c>
      <c r="F163" s="41" t="s">
        <v>25</v>
      </c>
      <c r="G163" s="41" t="s">
        <v>25</v>
      </c>
      <c r="H163" s="41" t="s">
        <v>25</v>
      </c>
      <c r="I163" s="61">
        <v>44593</v>
      </c>
      <c r="J163" s="62">
        <f ca="1">EFEITO!$J$163*EFEITO!$Y$163</f>
        <v>936106.11894205806</v>
      </c>
      <c r="K163" s="62">
        <f>EFEITO!$L$163*EFEITO!$Z$163</f>
        <v>0</v>
      </c>
      <c r="L163" s="62">
        <f>EFEITO!$N$163*EFEITO!$AA$163</f>
        <v>0</v>
      </c>
      <c r="M163" s="62">
        <f ca="1">$J$163-EFEITO!$K$163*EFEITO!$Y$163</f>
        <v>0</v>
      </c>
      <c r="N163" s="62">
        <f>$K$163-EFEITO!$M$163*EFEITO!$Z$163</f>
        <v>0</v>
      </c>
      <c r="O163" s="62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41" t="s">
        <v>21</v>
      </c>
      <c r="B164" s="41" t="s">
        <v>39</v>
      </c>
      <c r="C164" s="41" t="s">
        <v>40</v>
      </c>
      <c r="D164" s="41" t="s">
        <v>34</v>
      </c>
      <c r="E164" s="41" t="s">
        <v>25</v>
      </c>
      <c r="F164" s="41" t="s">
        <v>25</v>
      </c>
      <c r="G164" s="41" t="s">
        <v>25</v>
      </c>
      <c r="H164" s="41" t="s">
        <v>25</v>
      </c>
      <c r="I164" s="61">
        <v>44621</v>
      </c>
      <c r="J164" s="62">
        <f ca="1">EFEITO!$J$164*EFEITO!$Y$164</f>
        <v>943308.06584552175</v>
      </c>
      <c r="K164" s="62">
        <f>EFEITO!$L$164*EFEITO!$Z$164</f>
        <v>0</v>
      </c>
      <c r="L164" s="62">
        <f>EFEITO!$N$164*EFEITO!$AA$164</f>
        <v>0</v>
      </c>
      <c r="M164" s="62">
        <f ca="1">$J$164-EFEITO!$K$164*EFEITO!$Y$164</f>
        <v>0</v>
      </c>
      <c r="N164" s="62">
        <f>$K$164-EFEITO!$M$164*EFEITO!$Z$164</f>
        <v>0</v>
      </c>
      <c r="O164" s="62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41" t="s">
        <v>21</v>
      </c>
      <c r="B165" s="41" t="s">
        <v>39</v>
      </c>
      <c r="C165" s="41" t="s">
        <v>40</v>
      </c>
      <c r="D165" s="41" t="s">
        <v>34</v>
      </c>
      <c r="E165" s="41" t="s">
        <v>25</v>
      </c>
      <c r="F165" s="41" t="s">
        <v>25</v>
      </c>
      <c r="G165" s="41" t="s">
        <v>25</v>
      </c>
      <c r="H165" s="41" t="s">
        <v>25</v>
      </c>
      <c r="I165" s="61">
        <v>44652</v>
      </c>
      <c r="J165" s="62">
        <f ca="1">EFEITO!$J$165*EFEITO!$Y$165</f>
        <v>939504.99694496824</v>
      </c>
      <c r="K165" s="62">
        <f>EFEITO!$L$165*EFEITO!$Z$165</f>
        <v>0</v>
      </c>
      <c r="L165" s="62">
        <f>EFEITO!$N$165*EFEITO!$AA$165</f>
        <v>0</v>
      </c>
      <c r="M165" s="62">
        <f ca="1">$J$165-EFEITO!$K$165*EFEITO!$Y$165</f>
        <v>0</v>
      </c>
      <c r="N165" s="62">
        <f>$K$165-EFEITO!$M$165*EFEITO!$Z$165</f>
        <v>0</v>
      </c>
      <c r="O165" s="62">
        <f>$L$165-EFEITO!$O$165*EFEITO!$AA$165</f>
        <v>0</v>
      </c>
      <c r="P165" s="45"/>
      <c r="Q165" s="45"/>
      <c r="R165" s="45"/>
      <c r="S165" s="45"/>
      <c r="T165" s="45"/>
      <c r="U165" s="45"/>
      <c r="V165" s="45"/>
      <c r="W165" s="45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41" t="s">
        <v>21</v>
      </c>
      <c r="B166" s="41" t="s">
        <v>39</v>
      </c>
      <c r="C166" s="41" t="s">
        <v>40</v>
      </c>
      <c r="D166" s="41" t="s">
        <v>34</v>
      </c>
      <c r="E166" s="41" t="s">
        <v>25</v>
      </c>
      <c r="F166" s="41" t="s">
        <v>25</v>
      </c>
      <c r="G166" s="41" t="s">
        <v>25</v>
      </c>
      <c r="H166" s="41" t="s">
        <v>25</v>
      </c>
      <c r="I166" s="61">
        <v>44682</v>
      </c>
      <c r="J166" s="62">
        <f ca="1">EFEITO!$J$166*EFEITO!$Y$166</f>
        <v>935848.90655264864</v>
      </c>
      <c r="K166" s="62">
        <f>EFEITO!$L$166*EFEITO!$Z$166</f>
        <v>0</v>
      </c>
      <c r="L166" s="62">
        <f>EFEITO!$N$166*EFEITO!$AA$166</f>
        <v>0</v>
      </c>
      <c r="M166" s="62">
        <f ca="1">$J$166-EFEITO!$K$166*EFEITO!$Y$166</f>
        <v>0</v>
      </c>
      <c r="N166" s="62">
        <f>$K$166-EFEITO!$M$166*EFEITO!$Z$166</f>
        <v>0</v>
      </c>
      <c r="O166" s="62">
        <f>$L$166-EFEITO!$O$166*EFEITO!$AA$166</f>
        <v>0</v>
      </c>
      <c r="P166" s="45"/>
      <c r="Q166" s="45"/>
      <c r="R166" s="45"/>
      <c r="S166" s="45"/>
      <c r="T166" s="45"/>
      <c r="U166" s="45"/>
      <c r="V166" s="45"/>
      <c r="W166" s="45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41" t="s">
        <v>21</v>
      </c>
      <c r="B167" s="41" t="s">
        <v>39</v>
      </c>
      <c r="C167" s="41" t="s">
        <v>40</v>
      </c>
      <c r="D167" s="41" t="s">
        <v>34</v>
      </c>
      <c r="E167" s="41" t="s">
        <v>25</v>
      </c>
      <c r="F167" s="41" t="s">
        <v>25</v>
      </c>
      <c r="G167" s="41" t="s">
        <v>25</v>
      </c>
      <c r="H167" s="41" t="s">
        <v>25</v>
      </c>
      <c r="I167" s="61">
        <v>44713</v>
      </c>
      <c r="J167" s="62">
        <f ca="1">EFEITO!$J$167*EFEITO!$Y$167</f>
        <v>924127.37052099069</v>
      </c>
      <c r="K167" s="62">
        <f>EFEITO!$L$167*EFEITO!$Z$167</f>
        <v>0</v>
      </c>
      <c r="L167" s="62">
        <f>EFEITO!$N$167*EFEITO!$AA$167</f>
        <v>0</v>
      </c>
      <c r="M167" s="62">
        <f ca="1">$J$167-EFEITO!$K$167*EFEITO!$Y$167</f>
        <v>0</v>
      </c>
      <c r="N167" s="62">
        <f>$K$167-EFEITO!$M$167*EFEITO!$Z$167</f>
        <v>0</v>
      </c>
      <c r="O167" s="62">
        <f>$L$167-EFEITO!$O$167*EFEITO!$AA$167</f>
        <v>0</v>
      </c>
      <c r="P167" s="45"/>
      <c r="Q167" s="45"/>
      <c r="R167" s="45"/>
      <c r="S167" s="45"/>
      <c r="T167" s="45"/>
      <c r="U167" s="45"/>
      <c r="V167" s="45"/>
      <c r="W167" s="45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41" t="s">
        <v>21</v>
      </c>
      <c r="B168" s="41" t="s">
        <v>39</v>
      </c>
      <c r="C168" s="41" t="s">
        <v>40</v>
      </c>
      <c r="D168" s="41" t="s">
        <v>34</v>
      </c>
      <c r="E168" s="41" t="s">
        <v>25</v>
      </c>
      <c r="F168" s="41" t="s">
        <v>25</v>
      </c>
      <c r="G168" s="41" t="s">
        <v>25</v>
      </c>
      <c r="H168" s="41" t="s">
        <v>25</v>
      </c>
      <c r="I168" s="61">
        <v>44743</v>
      </c>
      <c r="J168" s="62">
        <f ca="1">EFEITO!$J$168*EFEITO!$Y$168</f>
        <v>931237.45585680823</v>
      </c>
      <c r="K168" s="62">
        <f>EFEITO!$L$168*EFEITO!$Z$168</f>
        <v>0</v>
      </c>
      <c r="L168" s="62">
        <f>EFEITO!$N$168*EFEITO!$AA$168</f>
        <v>0</v>
      </c>
      <c r="M168" s="62">
        <f ca="1">$J$168-EFEITO!$K$168*EFEITO!$Y$168</f>
        <v>0</v>
      </c>
      <c r="N168" s="62">
        <f>$K$168-EFEITO!$M$168*EFEITO!$Z$168</f>
        <v>0</v>
      </c>
      <c r="O168" s="62">
        <f>$L$168-EFEITO!$O$168*EFEITO!$AA$168</f>
        <v>0</v>
      </c>
      <c r="P168" s="45"/>
      <c r="Q168" s="45"/>
      <c r="R168" s="45"/>
      <c r="S168" s="45"/>
      <c r="T168" s="45"/>
      <c r="U168" s="45"/>
      <c r="V168" s="45"/>
      <c r="W168" s="45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41" t="s">
        <v>57</v>
      </c>
      <c r="B169" s="41" t="s">
        <v>39</v>
      </c>
      <c r="C169" s="41" t="s">
        <v>40</v>
      </c>
      <c r="D169" s="41" t="s">
        <v>34</v>
      </c>
      <c r="E169" s="41" t="s">
        <v>25</v>
      </c>
      <c r="F169" s="41" t="s">
        <v>25</v>
      </c>
      <c r="G169" s="41" t="s">
        <v>25</v>
      </c>
      <c r="H169" s="41" t="s">
        <v>25</v>
      </c>
      <c r="I169" s="61">
        <v>44774</v>
      </c>
      <c r="J169" s="62">
        <f ca="1">EFEITO!$J$169*EFEITO!$Y$169</f>
        <v>931237.45585680823</v>
      </c>
      <c r="K169" s="62">
        <f>EFEITO!$L$169*EFEITO!$Z$169</f>
        <v>0</v>
      </c>
      <c r="L169" s="62">
        <f>EFEITO!$N$169*EFEITO!$AA$169</f>
        <v>0</v>
      </c>
      <c r="M169" s="62">
        <f ca="1">$J$169-EFEITO!$K$169*EFEITO!$Y$169</f>
        <v>0</v>
      </c>
      <c r="N169" s="62">
        <f>$K$169-EFEITO!$M$169*EFEITO!$Z$169</f>
        <v>0</v>
      </c>
      <c r="O169" s="62">
        <f>$L$169-EFEITO!$O$169*EFEITO!$AA$169</f>
        <v>0</v>
      </c>
      <c r="P169" s="45"/>
      <c r="Q169" s="45"/>
      <c r="R169" s="45"/>
      <c r="S169" s="45"/>
      <c r="T169" s="45"/>
      <c r="U169" s="45"/>
      <c r="V169" s="45"/>
      <c r="W169" s="45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41" t="s">
        <v>21</v>
      </c>
      <c r="B170" s="41" t="s">
        <v>39</v>
      </c>
      <c r="C170" s="41" t="s">
        <v>40</v>
      </c>
      <c r="D170" s="41" t="s">
        <v>34</v>
      </c>
      <c r="E170" s="41" t="s">
        <v>25</v>
      </c>
      <c r="F170" s="41" t="s">
        <v>25</v>
      </c>
      <c r="G170" s="41" t="s">
        <v>25</v>
      </c>
      <c r="H170" s="41" t="s">
        <v>37</v>
      </c>
      <c r="I170" s="61">
        <v>44440</v>
      </c>
      <c r="J170" s="62">
        <f>EFEITO!$J$170*EFEITO!$Y$170</f>
        <v>0</v>
      </c>
      <c r="K170" s="62">
        <f ca="1">EFEITO!$L$170*EFEITO!$Z$170</f>
        <v>1018441.8783657692</v>
      </c>
      <c r="L170" s="62">
        <f>EFEITO!$N$170*EFEITO!$AA$170</f>
        <v>93163.026679667106</v>
      </c>
      <c r="M170" s="62">
        <f>$J$170-EFEITO!$K$170*EFEITO!$Y$170</f>
        <v>0</v>
      </c>
      <c r="N170" s="62">
        <f ca="1">$K$170-EFEITO!$M$170*EFEITO!$Z$170</f>
        <v>0</v>
      </c>
      <c r="O170" s="62">
        <f>$L$170-EFEITO!$O$170*EFEITO!$AA$170</f>
        <v>0</v>
      </c>
      <c r="P170" s="45"/>
      <c r="Q170" s="45"/>
      <c r="R170" s="45"/>
      <c r="S170" s="45"/>
      <c r="T170" s="45"/>
      <c r="U170" s="45"/>
      <c r="V170" s="45"/>
      <c r="W170" s="45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41" t="s">
        <v>21</v>
      </c>
      <c r="B171" s="41" t="s">
        <v>39</v>
      </c>
      <c r="C171" s="41" t="s">
        <v>40</v>
      </c>
      <c r="D171" s="41" t="s">
        <v>34</v>
      </c>
      <c r="E171" s="41" t="s">
        <v>25</v>
      </c>
      <c r="F171" s="41" t="s">
        <v>25</v>
      </c>
      <c r="G171" s="41" t="s">
        <v>25</v>
      </c>
      <c r="H171" s="41" t="s">
        <v>37</v>
      </c>
      <c r="I171" s="61">
        <v>44470</v>
      </c>
      <c r="J171" s="62">
        <f>EFEITO!$J$171*EFEITO!$Y$171</f>
        <v>0</v>
      </c>
      <c r="K171" s="62">
        <f ca="1">EFEITO!$L$171*EFEITO!$Z$171</f>
        <v>991125.60033423582</v>
      </c>
      <c r="L171" s="62">
        <f>EFEITO!$N$171*EFEITO!$AA$171</f>
        <v>90664.241826942321</v>
      </c>
      <c r="M171" s="62">
        <f>$J$171-EFEITO!$K$171*EFEITO!$Y$171</f>
        <v>0</v>
      </c>
      <c r="N171" s="62">
        <f ca="1">$K$171-EFEITO!$M$171*EFEITO!$Z$171</f>
        <v>0</v>
      </c>
      <c r="O171" s="62">
        <f>$L$171-EFEITO!$O$171*EFEITO!$AA$171</f>
        <v>0</v>
      </c>
      <c r="P171" s="45"/>
      <c r="Q171" s="45"/>
      <c r="R171" s="45"/>
      <c r="S171" s="45"/>
      <c r="T171" s="45"/>
      <c r="U171" s="45"/>
      <c r="V171" s="45"/>
      <c r="W171" s="45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41" t="s">
        <v>21</v>
      </c>
      <c r="B172" s="41" t="s">
        <v>39</v>
      </c>
      <c r="C172" s="41" t="s">
        <v>40</v>
      </c>
      <c r="D172" s="41" t="s">
        <v>34</v>
      </c>
      <c r="E172" s="41" t="s">
        <v>25</v>
      </c>
      <c r="F172" s="41" t="s">
        <v>25</v>
      </c>
      <c r="G172" s="41" t="s">
        <v>25</v>
      </c>
      <c r="H172" s="41" t="s">
        <v>37</v>
      </c>
      <c r="I172" s="61">
        <v>44501</v>
      </c>
      <c r="J172" s="62">
        <f>EFEITO!$J$172*EFEITO!$Y$172</f>
        <v>0</v>
      </c>
      <c r="K172" s="62">
        <f ca="1">EFEITO!$L$172*EFEITO!$Z$172</f>
        <v>1010874.1665627927</v>
      </c>
      <c r="L172" s="62">
        <f>EFEITO!$N$172*EFEITO!$AA$172</f>
        <v>92470.762396764636</v>
      </c>
      <c r="M172" s="62">
        <f>$J$172-EFEITO!$K$172*EFEITO!$Y$172</f>
        <v>0</v>
      </c>
      <c r="N172" s="62">
        <f ca="1">$K$172-EFEITO!$M$172*EFEITO!$Z$172</f>
        <v>0</v>
      </c>
      <c r="O172" s="62">
        <f>$L$172-EFEITO!$O$172*EFEITO!$AA$172</f>
        <v>0</v>
      </c>
      <c r="P172" s="45"/>
      <c r="Q172" s="45"/>
      <c r="R172" s="45"/>
      <c r="S172" s="45"/>
      <c r="T172" s="45"/>
      <c r="U172" s="45"/>
      <c r="V172" s="45"/>
      <c r="W172" s="45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41" t="s">
        <v>21</v>
      </c>
      <c r="B173" s="41" t="s">
        <v>39</v>
      </c>
      <c r="C173" s="41" t="s">
        <v>40</v>
      </c>
      <c r="D173" s="41" t="s">
        <v>34</v>
      </c>
      <c r="E173" s="41" t="s">
        <v>25</v>
      </c>
      <c r="F173" s="41" t="s">
        <v>25</v>
      </c>
      <c r="G173" s="41" t="s">
        <v>25</v>
      </c>
      <c r="H173" s="41" t="s">
        <v>37</v>
      </c>
      <c r="I173" s="61">
        <v>44531</v>
      </c>
      <c r="J173" s="62">
        <f>EFEITO!$J$173*EFEITO!$Y$173</f>
        <v>0</v>
      </c>
      <c r="K173" s="62">
        <f ca="1">EFEITO!$L$173*EFEITO!$Z$173</f>
        <v>1032926.1676173218</v>
      </c>
      <c r="L173" s="62">
        <f>EFEITO!$N$173*EFEITO!$AA$173</f>
        <v>94487.992055348353</v>
      </c>
      <c r="M173" s="62">
        <f>$J$173-EFEITO!$K$173*EFEITO!$Y$173</f>
        <v>0</v>
      </c>
      <c r="N173" s="62">
        <f ca="1">$K$173-EFEITO!$M$173*EFEITO!$Z$173</f>
        <v>0</v>
      </c>
      <c r="O173" s="62">
        <f>$L$173-EFEITO!$O$173*EFEITO!$AA$173</f>
        <v>0</v>
      </c>
      <c r="P173" s="45"/>
      <c r="Q173" s="45"/>
      <c r="R173" s="45"/>
      <c r="S173" s="45"/>
      <c r="T173" s="45"/>
      <c r="U173" s="45"/>
      <c r="V173" s="45"/>
      <c r="W173" s="45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41" t="s">
        <v>21</v>
      </c>
      <c r="B174" s="41" t="s">
        <v>39</v>
      </c>
      <c r="C174" s="41" t="s">
        <v>40</v>
      </c>
      <c r="D174" s="41" t="s">
        <v>34</v>
      </c>
      <c r="E174" s="41" t="s">
        <v>25</v>
      </c>
      <c r="F174" s="41" t="s">
        <v>25</v>
      </c>
      <c r="G174" s="41" t="s">
        <v>25</v>
      </c>
      <c r="H174" s="41" t="s">
        <v>37</v>
      </c>
      <c r="I174" s="61">
        <v>44562</v>
      </c>
      <c r="J174" s="62">
        <f>EFEITO!$J$174*EFEITO!$Y$174</f>
        <v>0</v>
      </c>
      <c r="K174" s="62">
        <f ca="1">EFEITO!$L$174*EFEITO!$Z$174</f>
        <v>976785.58940783946</v>
      </c>
      <c r="L174" s="62">
        <f>EFEITO!$N$174*EFEITO!$AA$174</f>
        <v>89352.474460633413</v>
      </c>
      <c r="M174" s="62">
        <f>$J$174-EFEITO!$K$174*EFEITO!$Y$174</f>
        <v>0</v>
      </c>
      <c r="N174" s="62">
        <f ca="1">$K$174-EFEITO!$M$174*EFEITO!$Z$174</f>
        <v>0</v>
      </c>
      <c r="O174" s="62">
        <f>$L$174-EFEITO!$O$174*EFEITO!$AA$174</f>
        <v>0</v>
      </c>
      <c r="P174" s="45"/>
      <c r="Q174" s="45"/>
      <c r="R174" s="45"/>
      <c r="S174" s="45"/>
      <c r="T174" s="45"/>
      <c r="U174" s="45"/>
      <c r="V174" s="45"/>
      <c r="W174" s="45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41" t="s">
        <v>21</v>
      </c>
      <c r="B175" s="41" t="s">
        <v>39</v>
      </c>
      <c r="C175" s="41" t="s">
        <v>40</v>
      </c>
      <c r="D175" s="41" t="s">
        <v>34</v>
      </c>
      <c r="E175" s="41" t="s">
        <v>25</v>
      </c>
      <c r="F175" s="41" t="s">
        <v>25</v>
      </c>
      <c r="G175" s="41" t="s">
        <v>25</v>
      </c>
      <c r="H175" s="41" t="s">
        <v>37</v>
      </c>
      <c r="I175" s="61">
        <v>44593</v>
      </c>
      <c r="J175" s="62">
        <f>EFEITO!$J$175*EFEITO!$Y$175</f>
        <v>0</v>
      </c>
      <c r="K175" s="62">
        <f ca="1">EFEITO!$L$175*EFEITO!$Z$175</f>
        <v>977140.63954713696</v>
      </c>
      <c r="L175" s="62">
        <f>EFEITO!$N$175*EFEITO!$AA$175</f>
        <v>89384.953040219189</v>
      </c>
      <c r="M175" s="62">
        <f>$J$175-EFEITO!$K$175*EFEITO!$Y$175</f>
        <v>0</v>
      </c>
      <c r="N175" s="62">
        <f ca="1">$K$175-EFEITO!$M$175*EFEITO!$Z$175</f>
        <v>0</v>
      </c>
      <c r="O175" s="62">
        <f>$L$175-EFEITO!$O$175*EFEITO!$AA$175</f>
        <v>0</v>
      </c>
      <c r="P175" s="45"/>
      <c r="Q175" s="45"/>
      <c r="R175" s="45"/>
      <c r="S175" s="45"/>
      <c r="T175" s="45"/>
      <c r="U175" s="45"/>
      <c r="V175" s="45"/>
      <c r="W175" s="45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41" t="s">
        <v>21</v>
      </c>
      <c r="B176" s="41" t="s">
        <v>39</v>
      </c>
      <c r="C176" s="41" t="s">
        <v>40</v>
      </c>
      <c r="D176" s="41" t="s">
        <v>34</v>
      </c>
      <c r="E176" s="41" t="s">
        <v>25</v>
      </c>
      <c r="F176" s="41" t="s">
        <v>25</v>
      </c>
      <c r="G176" s="41" t="s">
        <v>25</v>
      </c>
      <c r="H176" s="41" t="s">
        <v>37</v>
      </c>
      <c r="I176" s="61">
        <v>44621</v>
      </c>
      <c r="J176" s="62">
        <f>EFEITO!$J$176*EFEITO!$Y$176</f>
        <v>0</v>
      </c>
      <c r="K176" s="62">
        <f ca="1">EFEITO!$L$176*EFEITO!$Z$176</f>
        <v>1079634.7071439826</v>
      </c>
      <c r="L176" s="62">
        <f>EFEITO!$N$176*EFEITO!$AA$176</f>
        <v>98760.704133010746</v>
      </c>
      <c r="M176" s="62">
        <f>$J$176-EFEITO!$K$176*EFEITO!$Y$176</f>
        <v>0</v>
      </c>
      <c r="N176" s="62">
        <f ca="1">$K$176-EFEITO!$M$176*EFEITO!$Z$176</f>
        <v>0</v>
      </c>
      <c r="O176" s="62">
        <f>$L$176-EFEITO!$O$176*EFEITO!$AA$176</f>
        <v>0</v>
      </c>
      <c r="P176" s="45"/>
      <c r="Q176" s="45"/>
      <c r="R176" s="45"/>
      <c r="S176" s="45"/>
      <c r="T176" s="45"/>
      <c r="U176" s="45"/>
      <c r="V176" s="45"/>
      <c r="W176" s="45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41" t="s">
        <v>21</v>
      </c>
      <c r="B177" s="41" t="s">
        <v>39</v>
      </c>
      <c r="C177" s="41" t="s">
        <v>40</v>
      </c>
      <c r="D177" s="41" t="s">
        <v>34</v>
      </c>
      <c r="E177" s="41" t="s">
        <v>25</v>
      </c>
      <c r="F177" s="41" t="s">
        <v>25</v>
      </c>
      <c r="G177" s="41" t="s">
        <v>25</v>
      </c>
      <c r="H177" s="41" t="s">
        <v>37</v>
      </c>
      <c r="I177" s="61">
        <v>44652</v>
      </c>
      <c r="J177" s="62">
        <f>EFEITO!$J$177*EFEITO!$Y$177</f>
        <v>0</v>
      </c>
      <c r="K177" s="62">
        <f ca="1">EFEITO!$L$177*EFEITO!$Z$177</f>
        <v>966570.68398677919</v>
      </c>
      <c r="L177" s="62">
        <f>EFEITO!$N$177*EFEITO!$AA$177</f>
        <v>88418.055397073709</v>
      </c>
      <c r="M177" s="62">
        <f>$J$177-EFEITO!$K$177*EFEITO!$Y$177</f>
        <v>0</v>
      </c>
      <c r="N177" s="62">
        <f ca="1">$K$177-EFEITO!$M$177*EFEITO!$Z$177</f>
        <v>0</v>
      </c>
      <c r="O177" s="62">
        <f>$L$177-EFEITO!$O$177*EFEITO!$AA$177</f>
        <v>0</v>
      </c>
      <c r="P177" s="45"/>
      <c r="Q177" s="45"/>
      <c r="R177" s="45"/>
      <c r="S177" s="45"/>
      <c r="T177" s="45"/>
      <c r="U177" s="45"/>
      <c r="V177" s="45"/>
      <c r="W177" s="45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41" t="s">
        <v>21</v>
      </c>
      <c r="B178" s="41" t="s">
        <v>39</v>
      </c>
      <c r="C178" s="41" t="s">
        <v>40</v>
      </c>
      <c r="D178" s="41" t="s">
        <v>34</v>
      </c>
      <c r="E178" s="41" t="s">
        <v>25</v>
      </c>
      <c r="F178" s="41" t="s">
        <v>25</v>
      </c>
      <c r="G178" s="41" t="s">
        <v>25</v>
      </c>
      <c r="H178" s="41" t="s">
        <v>37</v>
      </c>
      <c r="I178" s="61">
        <v>44682</v>
      </c>
      <c r="J178" s="62">
        <f>EFEITO!$J$178*EFEITO!$Y$178</f>
        <v>0</v>
      </c>
      <c r="K178" s="62">
        <f ca="1">EFEITO!$L$178*EFEITO!$Z$178</f>
        <v>1113752.1399639673</v>
      </c>
      <c r="L178" s="62">
        <f>EFEITO!$N$178*EFEITO!$AA$178</f>
        <v>101881.63167101642</v>
      </c>
      <c r="M178" s="62">
        <f>$J$178-EFEITO!$K$178*EFEITO!$Y$178</f>
        <v>0</v>
      </c>
      <c r="N178" s="62">
        <f ca="1">$K$178-EFEITO!$M$178*EFEITO!$Z$178</f>
        <v>0</v>
      </c>
      <c r="O178" s="62">
        <f>$L$178-EFEITO!$O$178*EFEITO!$AA$178</f>
        <v>0</v>
      </c>
      <c r="P178" s="45"/>
      <c r="Q178" s="45"/>
      <c r="R178" s="45"/>
      <c r="S178" s="45"/>
      <c r="T178" s="45"/>
      <c r="U178" s="45"/>
      <c r="V178" s="45"/>
      <c r="W178" s="45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41" t="s">
        <v>21</v>
      </c>
      <c r="B179" s="41" t="s">
        <v>39</v>
      </c>
      <c r="C179" s="41" t="s">
        <v>40</v>
      </c>
      <c r="D179" s="41" t="s">
        <v>34</v>
      </c>
      <c r="E179" s="41" t="s">
        <v>25</v>
      </c>
      <c r="F179" s="41" t="s">
        <v>25</v>
      </c>
      <c r="G179" s="41" t="s">
        <v>25</v>
      </c>
      <c r="H179" s="41" t="s">
        <v>37</v>
      </c>
      <c r="I179" s="61">
        <v>44713</v>
      </c>
      <c r="J179" s="62">
        <f>EFEITO!$J$179*EFEITO!$Y$179</f>
        <v>0</v>
      </c>
      <c r="K179" s="62">
        <f ca="1">EFEITO!$L$179*EFEITO!$Z$179</f>
        <v>1088448.23091983</v>
      </c>
      <c r="L179" s="62">
        <f>EFEITO!$N$179*EFEITO!$AA$179</f>
        <v>99566.930357710677</v>
      </c>
      <c r="M179" s="62">
        <f>$J$179-EFEITO!$K$179*EFEITO!$Y$179</f>
        <v>0</v>
      </c>
      <c r="N179" s="62">
        <f ca="1">$K$179-EFEITO!$M$179*EFEITO!$Z$179</f>
        <v>0</v>
      </c>
      <c r="O179" s="62">
        <f>$L$179-EFEITO!$O$179*EFEITO!$AA$179</f>
        <v>0</v>
      </c>
      <c r="P179" s="45"/>
      <c r="Q179" s="45"/>
      <c r="R179" s="45"/>
      <c r="S179" s="45"/>
      <c r="T179" s="45"/>
      <c r="U179" s="45"/>
      <c r="V179" s="45"/>
      <c r="W179" s="45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41" t="s">
        <v>21</v>
      </c>
      <c r="B180" s="41" t="s">
        <v>39</v>
      </c>
      <c r="C180" s="41" t="s">
        <v>40</v>
      </c>
      <c r="D180" s="41" t="s">
        <v>34</v>
      </c>
      <c r="E180" s="41" t="s">
        <v>25</v>
      </c>
      <c r="F180" s="41" t="s">
        <v>25</v>
      </c>
      <c r="G180" s="41" t="s">
        <v>25</v>
      </c>
      <c r="H180" s="41" t="s">
        <v>37</v>
      </c>
      <c r="I180" s="61">
        <v>44743</v>
      </c>
      <c r="J180" s="62">
        <f>EFEITO!$J$180*EFEITO!$Y$180</f>
        <v>0</v>
      </c>
      <c r="K180" s="62">
        <f ca="1">EFEITO!$L$180*EFEITO!$Z$180</f>
        <v>1121382.5814735335</v>
      </c>
      <c r="L180" s="62">
        <f>EFEITO!$N$180*EFEITO!$AA$180</f>
        <v>102579.6342188634</v>
      </c>
      <c r="M180" s="62">
        <f>$J$180-EFEITO!$K$180*EFEITO!$Y$180</f>
        <v>0</v>
      </c>
      <c r="N180" s="62">
        <f ca="1">$K$180-EFEITO!$M$180*EFEITO!$Z$180</f>
        <v>0</v>
      </c>
      <c r="O180" s="62">
        <f>$L$180-EFEITO!$O$180*EFEITO!$AA$180</f>
        <v>0</v>
      </c>
      <c r="P180" s="45"/>
      <c r="Q180" s="45"/>
      <c r="R180" s="45"/>
      <c r="S180" s="45"/>
      <c r="T180" s="45"/>
      <c r="U180" s="45"/>
      <c r="V180" s="45"/>
      <c r="W180" s="45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41" t="s">
        <v>57</v>
      </c>
      <c r="B181" s="41" t="s">
        <v>39</v>
      </c>
      <c r="C181" s="41" t="s">
        <v>40</v>
      </c>
      <c r="D181" s="41" t="s">
        <v>34</v>
      </c>
      <c r="E181" s="41" t="s">
        <v>25</v>
      </c>
      <c r="F181" s="41" t="s">
        <v>25</v>
      </c>
      <c r="G181" s="41" t="s">
        <v>25</v>
      </c>
      <c r="H181" s="41" t="s">
        <v>37</v>
      </c>
      <c r="I181" s="61">
        <v>44774</v>
      </c>
      <c r="J181" s="62">
        <f>EFEITO!$J$181*EFEITO!$Y$181</f>
        <v>0</v>
      </c>
      <c r="K181" s="62">
        <f ca="1">EFEITO!$L$181*EFEITO!$Z$181</f>
        <v>1121382.5814735335</v>
      </c>
      <c r="L181" s="62">
        <f>EFEITO!$N$181*EFEITO!$AA$181</f>
        <v>102579.6342188634</v>
      </c>
      <c r="M181" s="62">
        <f>$J$181-EFEITO!$K$181*EFEITO!$Y$181</f>
        <v>0</v>
      </c>
      <c r="N181" s="62">
        <f ca="1">$K$181-EFEITO!$M$181*EFEITO!$Z$181</f>
        <v>0</v>
      </c>
      <c r="O181" s="62">
        <f>$L$181-EFEITO!$O$181*EFEITO!$AA$181</f>
        <v>0</v>
      </c>
      <c r="P181" s="45"/>
      <c r="Q181" s="45"/>
      <c r="R181" s="45"/>
      <c r="S181" s="45"/>
      <c r="T181" s="45"/>
      <c r="U181" s="45"/>
      <c r="V181" s="45"/>
      <c r="W181" s="45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41" t="s">
        <v>21</v>
      </c>
      <c r="B182" s="41" t="s">
        <v>39</v>
      </c>
      <c r="C182" s="41" t="s">
        <v>40</v>
      </c>
      <c r="D182" s="41" t="s">
        <v>44</v>
      </c>
      <c r="E182" s="41" t="s">
        <v>25</v>
      </c>
      <c r="F182" s="41" t="s">
        <v>25</v>
      </c>
      <c r="G182" s="41" t="s">
        <v>25</v>
      </c>
      <c r="H182" s="41" t="s">
        <v>38</v>
      </c>
      <c r="I182" s="61">
        <v>44440</v>
      </c>
      <c r="J182" s="62">
        <f>EFEITO!$J$182*EFEITO!$Y$182</f>
        <v>0</v>
      </c>
      <c r="K182" s="62">
        <f ca="1">EFEITO!$L$182*EFEITO!$Z$182</f>
        <v>2512.423400240812</v>
      </c>
      <c r="L182" s="62">
        <f>EFEITO!$N$182*EFEITO!$AA$182</f>
        <v>2370.3624832672363</v>
      </c>
      <c r="M182" s="62">
        <f>$J$182-EFEITO!$K$182*EFEITO!$Y$182</f>
        <v>0</v>
      </c>
      <c r="N182" s="62">
        <f ca="1">$K$182-EFEITO!$M$182*EFEITO!$Z$182</f>
        <v>0</v>
      </c>
      <c r="O182" s="62">
        <f>$L$182-EFEITO!$O$182*EFEITO!$AA$182</f>
        <v>0</v>
      </c>
      <c r="P182" s="45"/>
      <c r="Q182" s="45"/>
      <c r="R182" s="45"/>
      <c r="S182" s="45"/>
      <c r="T182" s="45"/>
      <c r="U182" s="45"/>
      <c r="V182" s="45"/>
      <c r="W182" s="45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41" t="s">
        <v>21</v>
      </c>
      <c r="B183" s="41" t="s">
        <v>39</v>
      </c>
      <c r="C183" s="41" t="s">
        <v>40</v>
      </c>
      <c r="D183" s="41" t="s">
        <v>44</v>
      </c>
      <c r="E183" s="41" t="s">
        <v>25</v>
      </c>
      <c r="F183" s="41" t="s">
        <v>25</v>
      </c>
      <c r="G183" s="41" t="s">
        <v>25</v>
      </c>
      <c r="H183" s="41" t="s">
        <v>38</v>
      </c>
      <c r="I183" s="61">
        <v>44470</v>
      </c>
      <c r="J183" s="62">
        <f>EFEITO!$J$183*EFEITO!$Y$183</f>
        <v>0</v>
      </c>
      <c r="K183" s="62">
        <f ca="1">EFEITO!$L$183*EFEITO!$Z$183</f>
        <v>2617.4016802063306</v>
      </c>
      <c r="L183" s="62">
        <f>EFEITO!$N$183*EFEITO!$AA$183</f>
        <v>2469.4049362090213</v>
      </c>
      <c r="M183" s="62">
        <f>$J$183-EFEITO!$K$183*EFEITO!$Y$183</f>
        <v>0</v>
      </c>
      <c r="N183" s="62">
        <f ca="1">$K$183-EFEITO!$M$183*EFEITO!$Z$183</f>
        <v>0</v>
      </c>
      <c r="O183" s="62">
        <f>$L$183-EFEITO!$O$183*EFEITO!$AA$183</f>
        <v>0</v>
      </c>
      <c r="P183" s="45"/>
      <c r="Q183" s="45"/>
      <c r="R183" s="45"/>
      <c r="S183" s="45"/>
      <c r="T183" s="45"/>
      <c r="U183" s="45"/>
      <c r="V183" s="45"/>
      <c r="W183" s="45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41" t="s">
        <v>21</v>
      </c>
      <c r="B184" s="41" t="s">
        <v>39</v>
      </c>
      <c r="C184" s="41" t="s">
        <v>40</v>
      </c>
      <c r="D184" s="41" t="s">
        <v>44</v>
      </c>
      <c r="E184" s="41" t="s">
        <v>25</v>
      </c>
      <c r="F184" s="41" t="s">
        <v>25</v>
      </c>
      <c r="G184" s="41" t="s">
        <v>25</v>
      </c>
      <c r="H184" s="41" t="s">
        <v>38</v>
      </c>
      <c r="I184" s="61">
        <v>44501</v>
      </c>
      <c r="J184" s="62">
        <f>EFEITO!$J$184*EFEITO!$Y$184</f>
        <v>0</v>
      </c>
      <c r="K184" s="62">
        <f ca="1">EFEITO!$L$184*EFEITO!$Z$184</f>
        <v>2748.7765844505484</v>
      </c>
      <c r="L184" s="62">
        <f>EFEITO!$N$184*EFEITO!$AA$184</f>
        <v>2593.3514590098648</v>
      </c>
      <c r="M184" s="62">
        <f>$J$184-EFEITO!$K$184*EFEITO!$Y$184</f>
        <v>0</v>
      </c>
      <c r="N184" s="62">
        <f ca="1">$K$184-EFEITO!$M$184*EFEITO!$Z$184</f>
        <v>0</v>
      </c>
      <c r="O184" s="62">
        <f>$L$184-EFEITO!$O$184*EFEITO!$AA$184</f>
        <v>0</v>
      </c>
      <c r="P184" s="45"/>
      <c r="Q184" s="45"/>
      <c r="R184" s="45"/>
      <c r="S184" s="45"/>
      <c r="T184" s="45"/>
      <c r="U184" s="45"/>
      <c r="V184" s="45"/>
      <c r="W184" s="45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41" t="s">
        <v>21</v>
      </c>
      <c r="B185" s="41" t="s">
        <v>39</v>
      </c>
      <c r="C185" s="41" t="s">
        <v>40</v>
      </c>
      <c r="D185" s="41" t="s">
        <v>44</v>
      </c>
      <c r="E185" s="41" t="s">
        <v>25</v>
      </c>
      <c r="F185" s="41" t="s">
        <v>25</v>
      </c>
      <c r="G185" s="41" t="s">
        <v>25</v>
      </c>
      <c r="H185" s="41" t="s">
        <v>38</v>
      </c>
      <c r="I185" s="61">
        <v>44531</v>
      </c>
      <c r="J185" s="62">
        <f>EFEITO!$J$185*EFEITO!$Y$185</f>
        <v>0</v>
      </c>
      <c r="K185" s="62">
        <f ca="1">EFEITO!$L$185*EFEITO!$Z$185</f>
        <v>2546.7268474601356</v>
      </c>
      <c r="L185" s="62">
        <f>EFEITO!$N$185*EFEITO!$AA$185</f>
        <v>2402.726297554123</v>
      </c>
      <c r="M185" s="62">
        <f>$J$185-EFEITO!$K$185*EFEITO!$Y$185</f>
        <v>0</v>
      </c>
      <c r="N185" s="62">
        <f ca="1">$K$185-EFEITO!$M$185*EFEITO!$Z$185</f>
        <v>0</v>
      </c>
      <c r="O185" s="62">
        <f>$L$185-EFEITO!$O$185*EFEITO!$AA$185</f>
        <v>0</v>
      </c>
      <c r="P185" s="45"/>
      <c r="Q185" s="45"/>
      <c r="R185" s="45"/>
      <c r="S185" s="45"/>
      <c r="T185" s="45"/>
      <c r="U185" s="45"/>
      <c r="V185" s="45"/>
      <c r="W185" s="45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41" t="s">
        <v>21</v>
      </c>
      <c r="B186" s="41" t="s">
        <v>39</v>
      </c>
      <c r="C186" s="41" t="s">
        <v>40</v>
      </c>
      <c r="D186" s="41" t="s">
        <v>44</v>
      </c>
      <c r="E186" s="41" t="s">
        <v>25</v>
      </c>
      <c r="F186" s="41" t="s">
        <v>25</v>
      </c>
      <c r="G186" s="41" t="s">
        <v>25</v>
      </c>
      <c r="H186" s="41" t="s">
        <v>38</v>
      </c>
      <c r="I186" s="61">
        <v>44562</v>
      </c>
      <c r="J186" s="62">
        <f>EFEITO!$J$186*EFEITO!$Y$186</f>
        <v>0</v>
      </c>
      <c r="K186" s="62">
        <f ca="1">EFEITO!$L$186*EFEITO!$Z$186</f>
        <v>3127.0876513019539</v>
      </c>
      <c r="L186" s="62">
        <f>EFEITO!$N$186*EFEITO!$AA$186</f>
        <v>2950.2715385567371</v>
      </c>
      <c r="M186" s="62">
        <f>$J$186-EFEITO!$K$186*EFEITO!$Y$186</f>
        <v>0</v>
      </c>
      <c r="N186" s="62">
        <f ca="1">$K$186-EFEITO!$M$186*EFEITO!$Z$186</f>
        <v>0</v>
      </c>
      <c r="O186" s="62">
        <f>$L$186-EFEITO!$O$186*EFEITO!$AA$186</f>
        <v>0</v>
      </c>
      <c r="P186" s="45"/>
      <c r="Q186" s="45"/>
      <c r="R186" s="45"/>
      <c r="S186" s="45"/>
      <c r="T186" s="45"/>
      <c r="U186" s="45"/>
      <c r="V186" s="45"/>
      <c r="W186" s="45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41" t="s">
        <v>21</v>
      </c>
      <c r="B187" s="41" t="s">
        <v>39</v>
      </c>
      <c r="C187" s="41" t="s">
        <v>40</v>
      </c>
      <c r="D187" s="41" t="s">
        <v>44</v>
      </c>
      <c r="E187" s="41" t="s">
        <v>25</v>
      </c>
      <c r="F187" s="41" t="s">
        <v>25</v>
      </c>
      <c r="G187" s="41" t="s">
        <v>25</v>
      </c>
      <c r="H187" s="41" t="s">
        <v>38</v>
      </c>
      <c r="I187" s="61">
        <v>44593</v>
      </c>
      <c r="J187" s="62">
        <f>EFEITO!$J$187*EFEITO!$Y$187</f>
        <v>0</v>
      </c>
      <c r="K187" s="62">
        <f ca="1">EFEITO!$L$187*EFEITO!$Z$187</f>
        <v>3506.8584393116284</v>
      </c>
      <c r="L187" s="62">
        <f>EFEITO!$N$187*EFEITO!$AA$187</f>
        <v>3308.5688016902855</v>
      </c>
      <c r="M187" s="62">
        <f>$J$187-EFEITO!$K$187*EFEITO!$Y$187</f>
        <v>0</v>
      </c>
      <c r="N187" s="62">
        <f ca="1">$K$187-EFEITO!$M$187*EFEITO!$Z$187</f>
        <v>0</v>
      </c>
      <c r="O187" s="62">
        <f>$L$187-EFEITO!$O$187*EFEITO!$AA$187</f>
        <v>0</v>
      </c>
      <c r="P187" s="45"/>
      <c r="Q187" s="45"/>
      <c r="R187" s="45"/>
      <c r="S187" s="45"/>
      <c r="T187" s="45"/>
      <c r="U187" s="45"/>
      <c r="V187" s="45"/>
      <c r="W187" s="45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41" t="s">
        <v>21</v>
      </c>
      <c r="B188" s="41" t="s">
        <v>39</v>
      </c>
      <c r="C188" s="41" t="s">
        <v>40</v>
      </c>
      <c r="D188" s="41" t="s">
        <v>44</v>
      </c>
      <c r="E188" s="41" t="s">
        <v>25</v>
      </c>
      <c r="F188" s="41" t="s">
        <v>25</v>
      </c>
      <c r="G188" s="41" t="s">
        <v>25</v>
      </c>
      <c r="H188" s="41" t="s">
        <v>38</v>
      </c>
      <c r="I188" s="61">
        <v>44621</v>
      </c>
      <c r="J188" s="62">
        <f>EFEITO!$J$188*EFEITO!$Y$188</f>
        <v>0</v>
      </c>
      <c r="K188" s="62">
        <f ca="1">EFEITO!$L$188*EFEITO!$Z$188</f>
        <v>3500.532980959129</v>
      </c>
      <c r="L188" s="62">
        <f>EFEITO!$N$188*EFEITO!$AA$188</f>
        <v>3302.6010061480229</v>
      </c>
      <c r="M188" s="62">
        <f>$J$188-EFEITO!$K$188*EFEITO!$Y$188</f>
        <v>0</v>
      </c>
      <c r="N188" s="62">
        <f ca="1">$K$188-EFEITO!$M$188*EFEITO!$Z$188</f>
        <v>0</v>
      </c>
      <c r="O188" s="62">
        <f>$L$188-EFEITO!$O$188*EFEITO!$AA$188</f>
        <v>0</v>
      </c>
      <c r="P188" s="45"/>
      <c r="Q188" s="45"/>
      <c r="R188" s="45"/>
      <c r="S188" s="45"/>
      <c r="T188" s="45"/>
      <c r="U188" s="45"/>
      <c r="V188" s="45"/>
      <c r="W188" s="45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41" t="s">
        <v>21</v>
      </c>
      <c r="B189" s="41" t="s">
        <v>39</v>
      </c>
      <c r="C189" s="41" t="s">
        <v>40</v>
      </c>
      <c r="D189" s="41" t="s">
        <v>44</v>
      </c>
      <c r="E189" s="41" t="s">
        <v>25</v>
      </c>
      <c r="F189" s="41" t="s">
        <v>25</v>
      </c>
      <c r="G189" s="41" t="s">
        <v>25</v>
      </c>
      <c r="H189" s="41" t="s">
        <v>38</v>
      </c>
      <c r="I189" s="61">
        <v>44652</v>
      </c>
      <c r="J189" s="62">
        <f>EFEITO!$J$189*EFEITO!$Y$189</f>
        <v>0</v>
      </c>
      <c r="K189" s="62">
        <f ca="1">EFEITO!$L$189*EFEITO!$Z$189</f>
        <v>2720.7985955837244</v>
      </c>
      <c r="L189" s="62">
        <f>EFEITO!$N$189*EFEITO!$AA$189</f>
        <v>2566.9554402652407</v>
      </c>
      <c r="M189" s="62">
        <f>$J$189-EFEITO!$K$189*EFEITO!$Y$189</f>
        <v>0</v>
      </c>
      <c r="N189" s="62">
        <f ca="1">$K$189-EFEITO!$M$189*EFEITO!$Z$189</f>
        <v>0</v>
      </c>
      <c r="O189" s="62">
        <f>$L$189-EFEITO!$O$189*EFEITO!$AA$189</f>
        <v>0</v>
      </c>
      <c r="P189" s="45"/>
      <c r="Q189" s="45"/>
      <c r="R189" s="45"/>
      <c r="S189" s="45"/>
      <c r="T189" s="45"/>
      <c r="U189" s="45"/>
      <c r="V189" s="45"/>
      <c r="W189" s="45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41" t="s">
        <v>21</v>
      </c>
      <c r="B190" s="41" t="s">
        <v>39</v>
      </c>
      <c r="C190" s="41" t="s">
        <v>40</v>
      </c>
      <c r="D190" s="41" t="s">
        <v>44</v>
      </c>
      <c r="E190" s="41" t="s">
        <v>25</v>
      </c>
      <c r="F190" s="41" t="s">
        <v>25</v>
      </c>
      <c r="G190" s="41" t="s">
        <v>25</v>
      </c>
      <c r="H190" s="41" t="s">
        <v>38</v>
      </c>
      <c r="I190" s="61">
        <v>44682</v>
      </c>
      <c r="J190" s="62">
        <f>EFEITO!$J$190*EFEITO!$Y$190</f>
        <v>0</v>
      </c>
      <c r="K190" s="62">
        <f ca="1">EFEITO!$L$190*EFEITO!$Z$190</f>
        <v>2493.9335989027368</v>
      </c>
      <c r="L190" s="62">
        <f>EFEITO!$N$190*EFEITO!$AA$190</f>
        <v>2352.9181578360067</v>
      </c>
      <c r="M190" s="62">
        <f>$J$190-EFEITO!$K$190*EFEITO!$Y$190</f>
        <v>0</v>
      </c>
      <c r="N190" s="62">
        <f ca="1">$K$190-EFEITO!$M$190*EFEITO!$Z$190</f>
        <v>0</v>
      </c>
      <c r="O190" s="62">
        <f>$L$190-EFEITO!$O$190*EFEITO!$AA$190</f>
        <v>0</v>
      </c>
      <c r="P190" s="45"/>
      <c r="Q190" s="45"/>
      <c r="R190" s="45"/>
      <c r="S190" s="45"/>
      <c r="T190" s="45"/>
      <c r="U190" s="45"/>
      <c r="V190" s="45"/>
      <c r="W190" s="45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41" t="s">
        <v>21</v>
      </c>
      <c r="B191" s="41" t="s">
        <v>39</v>
      </c>
      <c r="C191" s="41" t="s">
        <v>40</v>
      </c>
      <c r="D191" s="41" t="s">
        <v>44</v>
      </c>
      <c r="E191" s="41" t="s">
        <v>25</v>
      </c>
      <c r="F191" s="41" t="s">
        <v>25</v>
      </c>
      <c r="G191" s="41" t="s">
        <v>25</v>
      </c>
      <c r="H191" s="41" t="s">
        <v>38</v>
      </c>
      <c r="I191" s="61">
        <v>44713</v>
      </c>
      <c r="J191" s="62">
        <f>EFEITO!$J$191*EFEITO!$Y$191</f>
        <v>0</v>
      </c>
      <c r="K191" s="62">
        <f ca="1">EFEITO!$L$191*EFEITO!$Z$191</f>
        <v>2586.0176753035453</v>
      </c>
      <c r="L191" s="62">
        <f>EFEITO!$N$191*EFEITO!$AA$191</f>
        <v>2439.7954890954866</v>
      </c>
      <c r="M191" s="62">
        <f>$J$191-EFEITO!$K$191*EFEITO!$Y$191</f>
        <v>0</v>
      </c>
      <c r="N191" s="62">
        <f ca="1">$K$191-EFEITO!$M$191*EFEITO!$Z$191</f>
        <v>0</v>
      </c>
      <c r="O191" s="62">
        <f>$L$191-EFEITO!$O$191*EFEITO!$AA$191</f>
        <v>0</v>
      </c>
      <c r="P191" s="45"/>
      <c r="Q191" s="45"/>
      <c r="R191" s="45"/>
      <c r="S191" s="45"/>
      <c r="T191" s="45"/>
      <c r="U191" s="45"/>
      <c r="V191" s="45"/>
      <c r="W191" s="45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41" t="s">
        <v>21</v>
      </c>
      <c r="B192" s="41" t="s">
        <v>39</v>
      </c>
      <c r="C192" s="41" t="s">
        <v>40</v>
      </c>
      <c r="D192" s="41" t="s">
        <v>44</v>
      </c>
      <c r="E192" s="41" t="s">
        <v>25</v>
      </c>
      <c r="F192" s="41" t="s">
        <v>25</v>
      </c>
      <c r="G192" s="41" t="s">
        <v>25</v>
      </c>
      <c r="H192" s="41" t="s">
        <v>38</v>
      </c>
      <c r="I192" s="61">
        <v>44743</v>
      </c>
      <c r="J192" s="62">
        <f>EFEITO!$J$192*EFEITO!$Y$192</f>
        <v>0</v>
      </c>
      <c r="K192" s="62">
        <f ca="1">EFEITO!$L$192*EFEITO!$Z$192</f>
        <v>2519.2354323127342</v>
      </c>
      <c r="L192" s="62">
        <f>EFEITO!$N$192*EFEITO!$AA$192</f>
        <v>2376.789340005058</v>
      </c>
      <c r="M192" s="62">
        <f>$J$192-EFEITO!$K$192*EFEITO!$Y$192</f>
        <v>0</v>
      </c>
      <c r="N192" s="62">
        <f ca="1">$K$192-EFEITO!$M$192*EFEITO!$Z$192</f>
        <v>0</v>
      </c>
      <c r="O192" s="62">
        <f>$L$192-EFEITO!$O$192*EFEITO!$AA$192</f>
        <v>0</v>
      </c>
      <c r="P192" s="45"/>
      <c r="Q192" s="45"/>
      <c r="R192" s="45"/>
      <c r="S192" s="45"/>
      <c r="T192" s="45"/>
      <c r="U192" s="45"/>
      <c r="V192" s="45"/>
      <c r="W192" s="45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41" t="s">
        <v>57</v>
      </c>
      <c r="B193" s="41" t="s">
        <v>39</v>
      </c>
      <c r="C193" s="41" t="s">
        <v>40</v>
      </c>
      <c r="D193" s="41" t="s">
        <v>44</v>
      </c>
      <c r="E193" s="41" t="s">
        <v>25</v>
      </c>
      <c r="F193" s="41" t="s">
        <v>25</v>
      </c>
      <c r="G193" s="41" t="s">
        <v>25</v>
      </c>
      <c r="H193" s="41" t="s">
        <v>38</v>
      </c>
      <c r="I193" s="61">
        <v>44774</v>
      </c>
      <c r="J193" s="62">
        <f>EFEITO!$J$193*EFEITO!$Y$193</f>
        <v>0</v>
      </c>
      <c r="K193" s="62">
        <f ca="1">EFEITO!$L$193*EFEITO!$Z$193</f>
        <v>2519.2354323127342</v>
      </c>
      <c r="L193" s="62">
        <f>EFEITO!$N$193*EFEITO!$AA$193</f>
        <v>2376.789340005058</v>
      </c>
      <c r="M193" s="62">
        <f>$J$193-EFEITO!$K$193*EFEITO!$Y$193</f>
        <v>0</v>
      </c>
      <c r="N193" s="62">
        <f ca="1">$K$193-EFEITO!$M$193*EFEITO!$Z$193</f>
        <v>0</v>
      </c>
      <c r="O193" s="62">
        <f>$L$193-EFEITO!$O$193*EFEITO!$AA$193</f>
        <v>0</v>
      </c>
      <c r="P193" s="45"/>
      <c r="Q193" s="45"/>
      <c r="R193" s="45"/>
      <c r="S193" s="45"/>
      <c r="T193" s="45"/>
      <c r="U193" s="45"/>
      <c r="V193" s="45"/>
      <c r="W193" s="45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41" t="s">
        <v>21</v>
      </c>
      <c r="B194" s="41" t="s">
        <v>39</v>
      </c>
      <c r="C194" s="41" t="s">
        <v>40</v>
      </c>
      <c r="D194" s="41" t="s">
        <v>44</v>
      </c>
      <c r="E194" s="41" t="s">
        <v>25</v>
      </c>
      <c r="F194" s="41" t="s">
        <v>25</v>
      </c>
      <c r="G194" s="41" t="s">
        <v>25</v>
      </c>
      <c r="H194" s="41" t="s">
        <v>25</v>
      </c>
      <c r="I194" s="61">
        <v>44440</v>
      </c>
      <c r="J194" s="62">
        <f ca="1">EFEITO!$J$194*EFEITO!$Y$194</f>
        <v>5879.1403293581916</v>
      </c>
      <c r="K194" s="62">
        <f>EFEITO!$L$194*EFEITO!$Z$194</f>
        <v>0</v>
      </c>
      <c r="L194" s="62">
        <f>EFEITO!$N$194*EFEITO!$AA$194</f>
        <v>0</v>
      </c>
      <c r="M194" s="62">
        <f ca="1">$J$194-EFEITO!$K$194*EFEITO!$Y$194</f>
        <v>0</v>
      </c>
      <c r="N194" s="62">
        <f>$K$194-EFEITO!$M$194*EFEITO!$Z$194</f>
        <v>0</v>
      </c>
      <c r="O194" s="62">
        <f>$L$194-EFEITO!$O$194*EFEITO!$AA$194</f>
        <v>0</v>
      </c>
      <c r="P194" s="45"/>
      <c r="Q194" s="45"/>
      <c r="R194" s="45"/>
      <c r="S194" s="45"/>
      <c r="T194" s="45"/>
      <c r="U194" s="45"/>
      <c r="V194" s="45"/>
      <c r="W194" s="45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41" t="s">
        <v>21</v>
      </c>
      <c r="B195" s="41" t="s">
        <v>39</v>
      </c>
      <c r="C195" s="41" t="s">
        <v>40</v>
      </c>
      <c r="D195" s="41" t="s">
        <v>44</v>
      </c>
      <c r="E195" s="41" t="s">
        <v>25</v>
      </c>
      <c r="F195" s="41" t="s">
        <v>25</v>
      </c>
      <c r="G195" s="41" t="s">
        <v>25</v>
      </c>
      <c r="H195" s="41" t="s">
        <v>25</v>
      </c>
      <c r="I195" s="61">
        <v>44470</v>
      </c>
      <c r="J195" s="62">
        <f ca="1">EFEITO!$J$195*EFEITO!$Y$195</f>
        <v>5879.1403293581916</v>
      </c>
      <c r="K195" s="62">
        <f>EFEITO!$L$195*EFEITO!$Z$195</f>
        <v>0</v>
      </c>
      <c r="L195" s="62">
        <f>EFEITO!$N$195*EFEITO!$AA$195</f>
        <v>0</v>
      </c>
      <c r="M195" s="62">
        <f ca="1">$J$195-EFEITO!$K$195*EFEITO!$Y$195</f>
        <v>0</v>
      </c>
      <c r="N195" s="62">
        <f>$K$195-EFEITO!$M$195*EFEITO!$Z$195</f>
        <v>0</v>
      </c>
      <c r="O195" s="62">
        <f>$L$195-EFEITO!$O$195*EFEITO!$AA$195</f>
        <v>0</v>
      </c>
      <c r="P195" s="45"/>
      <c r="Q195" s="45"/>
      <c r="R195" s="45"/>
      <c r="S195" s="45"/>
      <c r="T195" s="45"/>
      <c r="U195" s="45"/>
      <c r="V195" s="45"/>
      <c r="W195" s="45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41" t="s">
        <v>21</v>
      </c>
      <c r="B196" s="41" t="s">
        <v>39</v>
      </c>
      <c r="C196" s="41" t="s">
        <v>40</v>
      </c>
      <c r="D196" s="41" t="s">
        <v>44</v>
      </c>
      <c r="E196" s="41" t="s">
        <v>25</v>
      </c>
      <c r="F196" s="41" t="s">
        <v>25</v>
      </c>
      <c r="G196" s="41" t="s">
        <v>25</v>
      </c>
      <c r="H196" s="41" t="s">
        <v>25</v>
      </c>
      <c r="I196" s="61">
        <v>44501</v>
      </c>
      <c r="J196" s="62">
        <f ca="1">EFEITO!$J$196*EFEITO!$Y$196</f>
        <v>5879.1403293581916</v>
      </c>
      <c r="K196" s="62">
        <f>EFEITO!$L$196*EFEITO!$Z$196</f>
        <v>0</v>
      </c>
      <c r="L196" s="62">
        <f>EFEITO!$N$196*EFEITO!$AA$196</f>
        <v>0</v>
      </c>
      <c r="M196" s="62">
        <f ca="1">$J$196-EFEITO!$K$196*EFEITO!$Y$196</f>
        <v>0</v>
      </c>
      <c r="N196" s="62">
        <f>$K$196-EFEITO!$M$196*EFEITO!$Z$196</f>
        <v>0</v>
      </c>
      <c r="O196" s="62">
        <f>$L$196-EFEITO!$O$196*EFEITO!$AA$196</f>
        <v>0</v>
      </c>
      <c r="P196" s="45"/>
      <c r="Q196" s="45"/>
      <c r="R196" s="45"/>
      <c r="S196" s="45"/>
      <c r="T196" s="45"/>
      <c r="U196" s="45"/>
      <c r="V196" s="45"/>
      <c r="W196" s="45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41" t="s">
        <v>21</v>
      </c>
      <c r="B197" s="41" t="s">
        <v>39</v>
      </c>
      <c r="C197" s="41" t="s">
        <v>40</v>
      </c>
      <c r="D197" s="41" t="s">
        <v>44</v>
      </c>
      <c r="E197" s="41" t="s">
        <v>25</v>
      </c>
      <c r="F197" s="41" t="s">
        <v>25</v>
      </c>
      <c r="G197" s="41" t="s">
        <v>25</v>
      </c>
      <c r="H197" s="41" t="s">
        <v>25</v>
      </c>
      <c r="I197" s="61">
        <v>44531</v>
      </c>
      <c r="J197" s="62">
        <f ca="1">EFEITO!$J$197*EFEITO!$Y$197</f>
        <v>6448.6820487647665</v>
      </c>
      <c r="K197" s="62">
        <f>EFEITO!$L$197*EFEITO!$Z$197</f>
        <v>0</v>
      </c>
      <c r="L197" s="62">
        <f>EFEITO!$N$197*EFEITO!$AA$197</f>
        <v>0</v>
      </c>
      <c r="M197" s="62">
        <f ca="1">$J$197-EFEITO!$K$197*EFEITO!$Y$197</f>
        <v>0</v>
      </c>
      <c r="N197" s="62">
        <f>$K$197-EFEITO!$M$197*EFEITO!$Z$197</f>
        <v>0</v>
      </c>
      <c r="O197" s="62">
        <f>$L$197-EFEITO!$O$197*EFEITO!$AA$197</f>
        <v>0</v>
      </c>
      <c r="P197" s="45"/>
      <c r="Q197" s="45"/>
      <c r="R197" s="45"/>
      <c r="S197" s="45"/>
      <c r="T197" s="45"/>
      <c r="U197" s="45"/>
      <c r="V197" s="45"/>
      <c r="W197" s="45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41" t="s">
        <v>21</v>
      </c>
      <c r="B198" s="41" t="s">
        <v>39</v>
      </c>
      <c r="C198" s="41" t="s">
        <v>40</v>
      </c>
      <c r="D198" s="41" t="s">
        <v>44</v>
      </c>
      <c r="E198" s="41" t="s">
        <v>25</v>
      </c>
      <c r="F198" s="41" t="s">
        <v>25</v>
      </c>
      <c r="G198" s="41" t="s">
        <v>25</v>
      </c>
      <c r="H198" s="41" t="s">
        <v>25</v>
      </c>
      <c r="I198" s="61">
        <v>44562</v>
      </c>
      <c r="J198" s="62">
        <f ca="1">EFEITO!$J$198*EFEITO!$Y$198</f>
        <v>6375.192794647789</v>
      </c>
      <c r="K198" s="62">
        <f>EFEITO!$L$198*EFEITO!$Z$198</f>
        <v>0</v>
      </c>
      <c r="L198" s="62">
        <f>EFEITO!$N$198*EFEITO!$AA$198</f>
        <v>0</v>
      </c>
      <c r="M198" s="62">
        <f ca="1">$J$198-EFEITO!$K$198*EFEITO!$Y$198</f>
        <v>0</v>
      </c>
      <c r="N198" s="62">
        <f>$K$198-EFEITO!$M$198*EFEITO!$Z$198</f>
        <v>0</v>
      </c>
      <c r="O198" s="62">
        <f>$L$198-EFEITO!$O$198*EFEITO!$AA$198</f>
        <v>0</v>
      </c>
      <c r="P198" s="45"/>
      <c r="Q198" s="45"/>
      <c r="R198" s="45"/>
      <c r="S198" s="45"/>
      <c r="T198" s="45"/>
      <c r="U198" s="45"/>
      <c r="V198" s="45"/>
      <c r="W198" s="45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41" t="s">
        <v>21</v>
      </c>
      <c r="B199" s="41" t="s">
        <v>39</v>
      </c>
      <c r="C199" s="41" t="s">
        <v>40</v>
      </c>
      <c r="D199" s="41" t="s">
        <v>44</v>
      </c>
      <c r="E199" s="41" t="s">
        <v>25</v>
      </c>
      <c r="F199" s="41" t="s">
        <v>25</v>
      </c>
      <c r="G199" s="41" t="s">
        <v>25</v>
      </c>
      <c r="H199" s="41" t="s">
        <v>25</v>
      </c>
      <c r="I199" s="61">
        <v>44593</v>
      </c>
      <c r="J199" s="62">
        <f ca="1">EFEITO!$J$199*EFEITO!$Y$199</f>
        <v>5879.1403293581916</v>
      </c>
      <c r="K199" s="62">
        <f>EFEITO!$L$199*EFEITO!$Z$199</f>
        <v>0</v>
      </c>
      <c r="L199" s="62">
        <f>EFEITO!$N$199*EFEITO!$AA$199</f>
        <v>0</v>
      </c>
      <c r="M199" s="62">
        <f ca="1">$J$199-EFEITO!$K$199*EFEITO!$Y$199</f>
        <v>0</v>
      </c>
      <c r="N199" s="62">
        <f>$K$199-EFEITO!$M$199*EFEITO!$Z$199</f>
        <v>0</v>
      </c>
      <c r="O199" s="62">
        <f>$L$199-EFEITO!$O$199*EFEITO!$AA$199</f>
        <v>0</v>
      </c>
      <c r="P199" s="45"/>
      <c r="Q199" s="45"/>
      <c r="R199" s="45"/>
      <c r="S199" s="45"/>
      <c r="T199" s="45"/>
      <c r="U199" s="45"/>
      <c r="V199" s="45"/>
      <c r="W199" s="45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41" t="s">
        <v>21</v>
      </c>
      <c r="B200" s="41" t="s">
        <v>39</v>
      </c>
      <c r="C200" s="41" t="s">
        <v>40</v>
      </c>
      <c r="D200" s="41" t="s">
        <v>44</v>
      </c>
      <c r="E200" s="41" t="s">
        <v>25</v>
      </c>
      <c r="F200" s="41" t="s">
        <v>25</v>
      </c>
      <c r="G200" s="41" t="s">
        <v>25</v>
      </c>
      <c r="H200" s="41" t="s">
        <v>25</v>
      </c>
      <c r="I200" s="61">
        <v>44621</v>
      </c>
      <c r="J200" s="62">
        <f ca="1">EFEITO!$J$200*EFEITO!$Y$200</f>
        <v>5879.1403293581916</v>
      </c>
      <c r="K200" s="62">
        <f>EFEITO!$L$200*EFEITO!$Z$200</f>
        <v>0</v>
      </c>
      <c r="L200" s="62">
        <f>EFEITO!$N$200*EFEITO!$AA$200</f>
        <v>0</v>
      </c>
      <c r="M200" s="62">
        <f ca="1">$J$200-EFEITO!$K$200*EFEITO!$Y$200</f>
        <v>0</v>
      </c>
      <c r="N200" s="62">
        <f>$K$200-EFEITO!$M$200*EFEITO!$Z$200</f>
        <v>0</v>
      </c>
      <c r="O200" s="62">
        <f>$L$200-EFEITO!$O$200*EFEITO!$AA$200</f>
        <v>0</v>
      </c>
      <c r="P200" s="45"/>
      <c r="Q200" s="45"/>
      <c r="R200" s="45"/>
      <c r="S200" s="45"/>
      <c r="T200" s="45"/>
      <c r="U200" s="45"/>
      <c r="V200" s="45"/>
      <c r="W200" s="45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41" t="s">
        <v>21</v>
      </c>
      <c r="B201" s="41" t="s">
        <v>39</v>
      </c>
      <c r="C201" s="41" t="s">
        <v>40</v>
      </c>
      <c r="D201" s="41" t="s">
        <v>44</v>
      </c>
      <c r="E201" s="41" t="s">
        <v>25</v>
      </c>
      <c r="F201" s="41" t="s">
        <v>25</v>
      </c>
      <c r="G201" s="41" t="s">
        <v>25</v>
      </c>
      <c r="H201" s="41" t="s">
        <v>25</v>
      </c>
      <c r="I201" s="61">
        <v>44652</v>
      </c>
      <c r="J201" s="62">
        <f ca="1">EFEITO!$J$201*EFEITO!$Y$201</f>
        <v>5879.1403293581916</v>
      </c>
      <c r="K201" s="62">
        <f>EFEITO!$L$201*EFEITO!$Z$201</f>
        <v>0</v>
      </c>
      <c r="L201" s="62">
        <f>EFEITO!$N$201*EFEITO!$AA$201</f>
        <v>0</v>
      </c>
      <c r="M201" s="62">
        <f ca="1">$J$201-EFEITO!$K$201*EFEITO!$Y$201</f>
        <v>0</v>
      </c>
      <c r="N201" s="62">
        <f>$K$201-EFEITO!$M$201*EFEITO!$Z$201</f>
        <v>0</v>
      </c>
      <c r="O201" s="62">
        <f>$L$201-EFEITO!$O$201*EFEITO!$AA$201</f>
        <v>0</v>
      </c>
      <c r="P201" s="45"/>
      <c r="Q201" s="45"/>
      <c r="R201" s="45"/>
      <c r="S201" s="45"/>
      <c r="T201" s="45"/>
      <c r="U201" s="45"/>
      <c r="V201" s="45"/>
      <c r="W201" s="45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41" t="s">
        <v>21</v>
      </c>
      <c r="B202" s="41" t="s">
        <v>39</v>
      </c>
      <c r="C202" s="41" t="s">
        <v>40</v>
      </c>
      <c r="D202" s="41" t="s">
        <v>44</v>
      </c>
      <c r="E202" s="41" t="s">
        <v>25</v>
      </c>
      <c r="F202" s="41" t="s">
        <v>25</v>
      </c>
      <c r="G202" s="41" t="s">
        <v>25</v>
      </c>
      <c r="H202" s="41" t="s">
        <v>25</v>
      </c>
      <c r="I202" s="61">
        <v>44682</v>
      </c>
      <c r="J202" s="62">
        <f ca="1">EFEITO!$J$202*EFEITO!$Y$202</f>
        <v>5879.1403293581916</v>
      </c>
      <c r="K202" s="62">
        <f>EFEITO!$L$202*EFEITO!$Z$202</f>
        <v>0</v>
      </c>
      <c r="L202" s="62">
        <f>EFEITO!$N$202*EFEITO!$AA$202</f>
        <v>0</v>
      </c>
      <c r="M202" s="62">
        <f ca="1">$J$202-EFEITO!$K$202*EFEITO!$Y$202</f>
        <v>0</v>
      </c>
      <c r="N202" s="62">
        <f>$K$202-EFEITO!$M$202*EFEITO!$Z$202</f>
        <v>0</v>
      </c>
      <c r="O202" s="62">
        <f>$L$202-EFEITO!$O$202*EFEITO!$AA$202</f>
        <v>0</v>
      </c>
      <c r="P202" s="45"/>
      <c r="Q202" s="45"/>
      <c r="R202" s="45"/>
      <c r="S202" s="45"/>
      <c r="T202" s="45"/>
      <c r="U202" s="45"/>
      <c r="V202" s="45"/>
      <c r="W202" s="45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41" t="s">
        <v>21</v>
      </c>
      <c r="B203" s="41" t="s">
        <v>39</v>
      </c>
      <c r="C203" s="41" t="s">
        <v>40</v>
      </c>
      <c r="D203" s="41" t="s">
        <v>44</v>
      </c>
      <c r="E203" s="41" t="s">
        <v>25</v>
      </c>
      <c r="F203" s="41" t="s">
        <v>25</v>
      </c>
      <c r="G203" s="41" t="s">
        <v>25</v>
      </c>
      <c r="H203" s="41" t="s">
        <v>25</v>
      </c>
      <c r="I203" s="61">
        <v>44713</v>
      </c>
      <c r="J203" s="62">
        <f ca="1">EFEITO!$J$203*EFEITO!$Y$203</f>
        <v>5879.1403293581916</v>
      </c>
      <c r="K203" s="62">
        <f>EFEITO!$L$203*EFEITO!$Z$203</f>
        <v>0</v>
      </c>
      <c r="L203" s="62">
        <f>EFEITO!$N$203*EFEITO!$AA$203</f>
        <v>0</v>
      </c>
      <c r="M203" s="62">
        <f ca="1">$J$203-EFEITO!$K$203*EFEITO!$Y$203</f>
        <v>0</v>
      </c>
      <c r="N203" s="62">
        <f>$K$203-EFEITO!$M$203*EFEITO!$Z$203</f>
        <v>0</v>
      </c>
      <c r="O203" s="62">
        <f>$L$203-EFEITO!$O$203*EFEITO!$AA$203</f>
        <v>0</v>
      </c>
      <c r="P203" s="45"/>
      <c r="Q203" s="45"/>
      <c r="R203" s="45"/>
      <c r="S203" s="45"/>
      <c r="T203" s="45"/>
      <c r="U203" s="45"/>
      <c r="V203" s="45"/>
      <c r="W203" s="45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41" t="s">
        <v>21</v>
      </c>
      <c r="B204" s="41" t="s">
        <v>39</v>
      </c>
      <c r="C204" s="41" t="s">
        <v>40</v>
      </c>
      <c r="D204" s="41" t="s">
        <v>44</v>
      </c>
      <c r="E204" s="41" t="s">
        <v>25</v>
      </c>
      <c r="F204" s="41" t="s">
        <v>25</v>
      </c>
      <c r="G204" s="41" t="s">
        <v>25</v>
      </c>
      <c r="H204" s="41" t="s">
        <v>25</v>
      </c>
      <c r="I204" s="61">
        <v>44743</v>
      </c>
      <c r="J204" s="62">
        <f ca="1">EFEITO!$J$204*EFEITO!$Y$204</f>
        <v>5879.1403293581916</v>
      </c>
      <c r="K204" s="62">
        <f>EFEITO!$L$204*EFEITO!$Z$204</f>
        <v>0</v>
      </c>
      <c r="L204" s="62">
        <f>EFEITO!$N$204*EFEITO!$AA$204</f>
        <v>0</v>
      </c>
      <c r="M204" s="62">
        <f ca="1">$J$204-EFEITO!$K$204*EFEITO!$Y$204</f>
        <v>0</v>
      </c>
      <c r="N204" s="62">
        <f>$K$204-EFEITO!$M$204*EFEITO!$Z$204</f>
        <v>0</v>
      </c>
      <c r="O204" s="62">
        <f>$L$204-EFEITO!$O$204*EFEITO!$AA$204</f>
        <v>0</v>
      </c>
      <c r="P204" s="45"/>
      <c r="Q204" s="45"/>
      <c r="R204" s="45"/>
      <c r="S204" s="45"/>
      <c r="T204" s="45"/>
      <c r="U204" s="45"/>
      <c r="V204" s="45"/>
      <c r="W204" s="45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41" t="s">
        <v>57</v>
      </c>
      <c r="B205" s="41" t="s">
        <v>39</v>
      </c>
      <c r="C205" s="41" t="s">
        <v>40</v>
      </c>
      <c r="D205" s="41" t="s">
        <v>44</v>
      </c>
      <c r="E205" s="41" t="s">
        <v>25</v>
      </c>
      <c r="F205" s="41" t="s">
        <v>25</v>
      </c>
      <c r="G205" s="41" t="s">
        <v>25</v>
      </c>
      <c r="H205" s="41" t="s">
        <v>25</v>
      </c>
      <c r="I205" s="61">
        <v>44774</v>
      </c>
      <c r="J205" s="62">
        <f ca="1">EFEITO!$J$205*EFEITO!$Y$205</f>
        <v>5879.1403293581916</v>
      </c>
      <c r="K205" s="62">
        <f>EFEITO!$L$205*EFEITO!$Z$205</f>
        <v>0</v>
      </c>
      <c r="L205" s="62">
        <f>EFEITO!$N$205*EFEITO!$AA$205</f>
        <v>0</v>
      </c>
      <c r="M205" s="62">
        <f ca="1">$J$205-EFEITO!$K$205*EFEITO!$Y$205</f>
        <v>0</v>
      </c>
      <c r="N205" s="62">
        <f>$K$205-EFEITO!$M$205*EFEITO!$Z$205</f>
        <v>0</v>
      </c>
      <c r="O205" s="62">
        <f>$L$205-EFEITO!$O$205*EFEITO!$AA$205</f>
        <v>0</v>
      </c>
      <c r="P205" s="45"/>
      <c r="Q205" s="45"/>
      <c r="R205" s="45"/>
      <c r="S205" s="45"/>
      <c r="T205" s="45"/>
      <c r="U205" s="45"/>
      <c r="V205" s="45"/>
      <c r="W205" s="45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41" t="s">
        <v>21</v>
      </c>
      <c r="B206" s="41" t="s">
        <v>39</v>
      </c>
      <c r="C206" s="41" t="s">
        <v>40</v>
      </c>
      <c r="D206" s="41" t="s">
        <v>44</v>
      </c>
      <c r="E206" s="41" t="s">
        <v>25</v>
      </c>
      <c r="F206" s="41" t="s">
        <v>25</v>
      </c>
      <c r="G206" s="41" t="s">
        <v>25</v>
      </c>
      <c r="H206" s="41" t="s">
        <v>37</v>
      </c>
      <c r="I206" s="61">
        <v>44440</v>
      </c>
      <c r="J206" s="62">
        <f>EFEITO!$J$206*EFEITO!$Y$206</f>
        <v>0</v>
      </c>
      <c r="K206" s="62">
        <f ca="1">EFEITO!$L$206*EFEITO!$Z$206</f>
        <v>2432.6580215470226</v>
      </c>
      <c r="L206" s="62">
        <f>EFEITO!$N$206*EFEITO!$AA$206</f>
        <v>222.52991454706941</v>
      </c>
      <c r="M206" s="62">
        <f>$J$206-EFEITO!$K$206*EFEITO!$Y$206</f>
        <v>0</v>
      </c>
      <c r="N206" s="62">
        <f ca="1">$K$206-EFEITO!$M$206*EFEITO!$Z$206</f>
        <v>0</v>
      </c>
      <c r="O206" s="62">
        <f>$L$206-EFEITO!$O$206*EFEITO!$AA$206</f>
        <v>0</v>
      </c>
      <c r="P206" s="45"/>
      <c r="Q206" s="45"/>
      <c r="R206" s="45"/>
      <c r="S206" s="45"/>
      <c r="T206" s="45"/>
      <c r="U206" s="45"/>
      <c r="V206" s="45"/>
      <c r="W206" s="45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41" t="s">
        <v>21</v>
      </c>
      <c r="B207" s="41" t="s">
        <v>39</v>
      </c>
      <c r="C207" s="41" t="s">
        <v>40</v>
      </c>
      <c r="D207" s="41" t="s">
        <v>44</v>
      </c>
      <c r="E207" s="41" t="s">
        <v>25</v>
      </c>
      <c r="F207" s="41" t="s">
        <v>25</v>
      </c>
      <c r="G207" s="41" t="s">
        <v>25</v>
      </c>
      <c r="H207" s="41" t="s">
        <v>37</v>
      </c>
      <c r="I207" s="61">
        <v>44470</v>
      </c>
      <c r="J207" s="62">
        <f>EFEITO!$J$207*EFEITO!$Y$207</f>
        <v>0</v>
      </c>
      <c r="K207" s="62">
        <f ca="1">EFEITO!$L$207*EFEITO!$Z$207</f>
        <v>2412.5845154383314</v>
      </c>
      <c r="L207" s="62">
        <f>EFEITO!$N$207*EFEITO!$AA$207</f>
        <v>220.69366976483468</v>
      </c>
      <c r="M207" s="62">
        <f>$J$207-EFEITO!$K$207*EFEITO!$Y$207</f>
        <v>0</v>
      </c>
      <c r="N207" s="62">
        <f ca="1">$K$207-EFEITO!$M$207*EFEITO!$Z$207</f>
        <v>0</v>
      </c>
      <c r="O207" s="62">
        <f>$L$207-EFEITO!$O$207*EFEITO!$AA$207</f>
        <v>0</v>
      </c>
      <c r="P207" s="45"/>
      <c r="Q207" s="45"/>
      <c r="R207" s="45"/>
      <c r="S207" s="45"/>
      <c r="T207" s="45"/>
      <c r="U207" s="45"/>
      <c r="V207" s="45"/>
      <c r="W207" s="45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41" t="s">
        <v>21</v>
      </c>
      <c r="B208" s="41" t="s">
        <v>39</v>
      </c>
      <c r="C208" s="41" t="s">
        <v>40</v>
      </c>
      <c r="D208" s="41" t="s">
        <v>44</v>
      </c>
      <c r="E208" s="41" t="s">
        <v>25</v>
      </c>
      <c r="F208" s="41" t="s">
        <v>25</v>
      </c>
      <c r="G208" s="41" t="s">
        <v>25</v>
      </c>
      <c r="H208" s="41" t="s">
        <v>37</v>
      </c>
      <c r="I208" s="61">
        <v>44501</v>
      </c>
      <c r="J208" s="62">
        <f>EFEITO!$J$208*EFEITO!$Y$208</f>
        <v>0</v>
      </c>
      <c r="K208" s="62">
        <f ca="1">EFEITO!$L$208*EFEITO!$Z$208</f>
        <v>2511.6974518499942</v>
      </c>
      <c r="L208" s="62">
        <f>EFEITO!$N$208*EFEITO!$AA$208</f>
        <v>229.76012837711855</v>
      </c>
      <c r="M208" s="62">
        <f>$J$208-EFEITO!$K$208*EFEITO!$Y$208</f>
        <v>0</v>
      </c>
      <c r="N208" s="62">
        <f ca="1">$K$208-EFEITO!$M$208*EFEITO!$Z$208</f>
        <v>0</v>
      </c>
      <c r="O208" s="62">
        <f>$L$208-EFEITO!$O$208*EFEITO!$AA$208</f>
        <v>0</v>
      </c>
      <c r="P208" s="45"/>
      <c r="Q208" s="45"/>
      <c r="R208" s="45"/>
      <c r="S208" s="45"/>
      <c r="T208" s="45"/>
      <c r="U208" s="45"/>
      <c r="V208" s="45"/>
      <c r="W208" s="45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41" t="s">
        <v>21</v>
      </c>
      <c r="B209" s="41" t="s">
        <v>39</v>
      </c>
      <c r="C209" s="41" t="s">
        <v>40</v>
      </c>
      <c r="D209" s="41" t="s">
        <v>44</v>
      </c>
      <c r="E209" s="41" t="s">
        <v>25</v>
      </c>
      <c r="F209" s="41" t="s">
        <v>25</v>
      </c>
      <c r="G209" s="41" t="s">
        <v>25</v>
      </c>
      <c r="H209" s="41" t="s">
        <v>37</v>
      </c>
      <c r="I209" s="61">
        <v>44531</v>
      </c>
      <c r="J209" s="62">
        <f>EFEITO!$J$209*EFEITO!$Y$209</f>
        <v>0</v>
      </c>
      <c r="K209" s="62">
        <f ca="1">EFEITO!$L$209*EFEITO!$Z$209</f>
        <v>2716.1962953322868</v>
      </c>
      <c r="L209" s="62">
        <f>EFEITO!$N$209*EFEITO!$AA$209</f>
        <v>248.46687209613475</v>
      </c>
      <c r="M209" s="62">
        <f>$J$209-EFEITO!$K$209*EFEITO!$Y$209</f>
        <v>0</v>
      </c>
      <c r="N209" s="62">
        <f ca="1">$K$209-EFEITO!$M$209*EFEITO!$Z$209</f>
        <v>0</v>
      </c>
      <c r="O209" s="62">
        <f>$L$209-EFEITO!$O$209*EFEITO!$AA$209</f>
        <v>0</v>
      </c>
      <c r="P209" s="45"/>
      <c r="Q209" s="45"/>
      <c r="R209" s="45"/>
      <c r="S209" s="45"/>
      <c r="T209" s="45"/>
      <c r="U209" s="45"/>
      <c r="V209" s="45"/>
      <c r="W209" s="45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41" t="s">
        <v>21</v>
      </c>
      <c r="B210" s="41" t="s">
        <v>39</v>
      </c>
      <c r="C210" s="41" t="s">
        <v>40</v>
      </c>
      <c r="D210" s="41" t="s">
        <v>44</v>
      </c>
      <c r="E210" s="41" t="s">
        <v>25</v>
      </c>
      <c r="F210" s="41" t="s">
        <v>25</v>
      </c>
      <c r="G210" s="41" t="s">
        <v>25</v>
      </c>
      <c r="H210" s="41" t="s">
        <v>37</v>
      </c>
      <c r="I210" s="61">
        <v>44562</v>
      </c>
      <c r="J210" s="62">
        <f>EFEITO!$J$210*EFEITO!$Y$210</f>
        <v>0</v>
      </c>
      <c r="K210" s="62">
        <f ca="1">EFEITO!$L$210*EFEITO!$Z$210</f>
        <v>2815.30923174395</v>
      </c>
      <c r="L210" s="62">
        <f>EFEITO!$N$210*EFEITO!$AA$210</f>
        <v>257.53333070841865</v>
      </c>
      <c r="M210" s="62">
        <f>$J$210-EFEITO!$K$210*EFEITO!$Y$210</f>
        <v>0</v>
      </c>
      <c r="N210" s="62">
        <f ca="1">$K$210-EFEITO!$M$210*EFEITO!$Z$210</f>
        <v>0</v>
      </c>
      <c r="O210" s="62">
        <f>$L$210-EFEITO!$O$210*EFEITO!$AA$210</f>
        <v>0</v>
      </c>
      <c r="P210" s="45"/>
      <c r="Q210" s="45"/>
      <c r="R210" s="45"/>
      <c r="S210" s="45"/>
      <c r="T210" s="45"/>
      <c r="U210" s="45"/>
      <c r="V210" s="45"/>
      <c r="W210" s="45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41" t="s">
        <v>21</v>
      </c>
      <c r="B211" s="41" t="s">
        <v>39</v>
      </c>
      <c r="C211" s="41" t="s">
        <v>40</v>
      </c>
      <c r="D211" s="41" t="s">
        <v>44</v>
      </c>
      <c r="E211" s="41" t="s">
        <v>25</v>
      </c>
      <c r="F211" s="41" t="s">
        <v>25</v>
      </c>
      <c r="G211" s="41" t="s">
        <v>25</v>
      </c>
      <c r="H211" s="41" t="s">
        <v>37</v>
      </c>
      <c r="I211" s="61">
        <v>44593</v>
      </c>
      <c r="J211" s="62">
        <f>EFEITO!$J$211*EFEITO!$Y$211</f>
        <v>0</v>
      </c>
      <c r="K211" s="62">
        <f ca="1">EFEITO!$L$211*EFEITO!$Z$211</f>
        <v>2618.3379530524171</v>
      </c>
      <c r="L211" s="62">
        <f>EFEITO!$N$211*EFEITO!$AA$211</f>
        <v>239.51517878274052</v>
      </c>
      <c r="M211" s="62">
        <f>$J$211-EFEITO!$K$211*EFEITO!$Y$211</f>
        <v>0</v>
      </c>
      <c r="N211" s="62">
        <f ca="1">$K$211-EFEITO!$M$211*EFEITO!$Z$211</f>
        <v>0</v>
      </c>
      <c r="O211" s="62">
        <f>$L$211-EFEITO!$O$211*EFEITO!$AA$211</f>
        <v>0</v>
      </c>
      <c r="P211" s="45"/>
      <c r="Q211" s="45"/>
      <c r="R211" s="45"/>
      <c r="S211" s="45"/>
      <c r="T211" s="45"/>
      <c r="U211" s="45"/>
      <c r="V211" s="45"/>
      <c r="W211" s="45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41" t="s">
        <v>21</v>
      </c>
      <c r="B212" s="41" t="s">
        <v>39</v>
      </c>
      <c r="C212" s="41" t="s">
        <v>40</v>
      </c>
      <c r="D212" s="41" t="s">
        <v>44</v>
      </c>
      <c r="E212" s="41" t="s">
        <v>25</v>
      </c>
      <c r="F212" s="41" t="s">
        <v>25</v>
      </c>
      <c r="G212" s="41" t="s">
        <v>25</v>
      </c>
      <c r="H212" s="41" t="s">
        <v>37</v>
      </c>
      <c r="I212" s="61">
        <v>44621</v>
      </c>
      <c r="J212" s="62">
        <f>EFEITO!$J$212*EFEITO!$Y$212</f>
        <v>0</v>
      </c>
      <c r="K212" s="62">
        <f ca="1">EFEITO!$L$212*EFEITO!$Z$212</f>
        <v>2677.3038772466971</v>
      </c>
      <c r="L212" s="62">
        <f>EFEITO!$N$212*EFEITO!$AA$212</f>
        <v>244.90914783055496</v>
      </c>
      <c r="M212" s="62">
        <f>$J$212-EFEITO!$K$212*EFEITO!$Y$212</f>
        <v>0</v>
      </c>
      <c r="N212" s="62">
        <f ca="1">$K$212-EFEITO!$M$212*EFEITO!$Z$212</f>
        <v>0</v>
      </c>
      <c r="O212" s="62">
        <f>$L$212-EFEITO!$O$212*EFEITO!$AA$212</f>
        <v>0</v>
      </c>
      <c r="P212" s="45"/>
      <c r="Q212" s="45"/>
      <c r="R212" s="45"/>
      <c r="S212" s="45"/>
      <c r="T212" s="45"/>
      <c r="U212" s="45"/>
      <c r="V212" s="45"/>
      <c r="W212" s="45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41" t="s">
        <v>21</v>
      </c>
      <c r="B213" s="41" t="s">
        <v>39</v>
      </c>
      <c r="C213" s="41" t="s">
        <v>40</v>
      </c>
      <c r="D213" s="41" t="s">
        <v>44</v>
      </c>
      <c r="E213" s="41" t="s">
        <v>25</v>
      </c>
      <c r="F213" s="41" t="s">
        <v>25</v>
      </c>
      <c r="G213" s="41" t="s">
        <v>25</v>
      </c>
      <c r="H213" s="41" t="s">
        <v>37</v>
      </c>
      <c r="I213" s="61">
        <v>44652</v>
      </c>
      <c r="J213" s="62">
        <f>EFEITO!$J$213*EFEITO!$Y$213</f>
        <v>0</v>
      </c>
      <c r="K213" s="62">
        <f ca="1">EFEITO!$L$213*EFEITO!$Z$213</f>
        <v>2182.993789320175</v>
      </c>
      <c r="L213" s="62">
        <f>EFEITO!$N$213*EFEITO!$AA$213</f>
        <v>199.69162006802514</v>
      </c>
      <c r="M213" s="62">
        <f>$J$213-EFEITO!$K$213*EFEITO!$Y$213</f>
        <v>0</v>
      </c>
      <c r="N213" s="62">
        <f ca="1">$K$213-EFEITO!$M$213*EFEITO!$Z$213</f>
        <v>0</v>
      </c>
      <c r="O213" s="62">
        <f>$L$213-EFEITO!$O$213*EFEITO!$AA$213</f>
        <v>0</v>
      </c>
      <c r="P213" s="45"/>
      <c r="Q213" s="45"/>
      <c r="R213" s="45"/>
      <c r="S213" s="45"/>
      <c r="T213" s="45"/>
      <c r="U213" s="45"/>
      <c r="V213" s="45"/>
      <c r="W213" s="45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41" t="s">
        <v>21</v>
      </c>
      <c r="B214" s="41" t="s">
        <v>39</v>
      </c>
      <c r="C214" s="41" t="s">
        <v>40</v>
      </c>
      <c r="D214" s="41" t="s">
        <v>44</v>
      </c>
      <c r="E214" s="41" t="s">
        <v>25</v>
      </c>
      <c r="F214" s="41" t="s">
        <v>25</v>
      </c>
      <c r="G214" s="41" t="s">
        <v>25</v>
      </c>
      <c r="H214" s="41" t="s">
        <v>37</v>
      </c>
      <c r="I214" s="61">
        <v>44682</v>
      </c>
      <c r="J214" s="62">
        <f>EFEITO!$J$214*EFEITO!$Y$214</f>
        <v>0</v>
      </c>
      <c r="K214" s="62">
        <f ca="1">EFEITO!$L$214*EFEITO!$Z$214</f>
        <v>2456.4953100510934</v>
      </c>
      <c r="L214" s="62">
        <f>EFEITO!$N$214*EFEITO!$AA$214</f>
        <v>224.71045522597311</v>
      </c>
      <c r="M214" s="62">
        <f>$J$214-EFEITO!$K$214*EFEITO!$Y$214</f>
        <v>0</v>
      </c>
      <c r="N214" s="62">
        <f ca="1">$K$214-EFEITO!$M$214*EFEITO!$Z$214</f>
        <v>0</v>
      </c>
      <c r="O214" s="62">
        <f>$L$214-EFEITO!$O$214*EFEITO!$AA$214</f>
        <v>0</v>
      </c>
      <c r="P214" s="45"/>
      <c r="Q214" s="45"/>
      <c r="R214" s="45"/>
      <c r="S214" s="45"/>
      <c r="T214" s="45"/>
      <c r="U214" s="45"/>
      <c r="V214" s="45"/>
      <c r="W214" s="45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41" t="s">
        <v>21</v>
      </c>
      <c r="B215" s="41" t="s">
        <v>39</v>
      </c>
      <c r="C215" s="41" t="s">
        <v>40</v>
      </c>
      <c r="D215" s="41" t="s">
        <v>44</v>
      </c>
      <c r="E215" s="41" t="s">
        <v>25</v>
      </c>
      <c r="F215" s="41" t="s">
        <v>25</v>
      </c>
      <c r="G215" s="41" t="s">
        <v>25</v>
      </c>
      <c r="H215" s="41" t="s">
        <v>37</v>
      </c>
      <c r="I215" s="61">
        <v>44713</v>
      </c>
      <c r="J215" s="62">
        <f>EFEITO!$J$215*EFEITO!$Y$215</f>
        <v>0</v>
      </c>
      <c r="K215" s="62">
        <f ca="1">EFEITO!$L$215*EFEITO!$Z$215</f>
        <v>2599.519041075519</v>
      </c>
      <c r="L215" s="62">
        <f>EFEITO!$N$215*EFEITO!$AA$215</f>
        <v>237.79369929939546</v>
      </c>
      <c r="M215" s="62">
        <f>$J$215-EFEITO!$K$215*EFEITO!$Y$215</f>
        <v>0</v>
      </c>
      <c r="N215" s="62">
        <f ca="1">$K$215-EFEITO!$M$215*EFEITO!$Z$215</f>
        <v>0</v>
      </c>
      <c r="O215" s="62">
        <f>$L$215-EFEITO!$O$215*EFEITO!$AA$215</f>
        <v>0</v>
      </c>
      <c r="P215" s="45"/>
      <c r="Q215" s="45"/>
      <c r="R215" s="45"/>
      <c r="S215" s="45"/>
      <c r="T215" s="45"/>
      <c r="U215" s="45"/>
      <c r="V215" s="45"/>
      <c r="W215" s="45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41" t="s">
        <v>21</v>
      </c>
      <c r="B216" s="41" t="s">
        <v>39</v>
      </c>
      <c r="C216" s="41" t="s">
        <v>40</v>
      </c>
      <c r="D216" s="41" t="s">
        <v>44</v>
      </c>
      <c r="E216" s="41" t="s">
        <v>25</v>
      </c>
      <c r="F216" s="41" t="s">
        <v>25</v>
      </c>
      <c r="G216" s="41" t="s">
        <v>25</v>
      </c>
      <c r="H216" s="41" t="s">
        <v>37</v>
      </c>
      <c r="I216" s="61">
        <v>44743</v>
      </c>
      <c r="J216" s="62">
        <f>EFEITO!$J$216*EFEITO!$Y$216</f>
        <v>0</v>
      </c>
      <c r="K216" s="62">
        <f ca="1">EFEITO!$L$216*EFEITO!$Z$216</f>
        <v>2273.3245668092859</v>
      </c>
      <c r="L216" s="62">
        <f>EFEITO!$N$216*EFEITO!$AA$216</f>
        <v>207.95472158808136</v>
      </c>
      <c r="M216" s="62">
        <f>$J$216-EFEITO!$K$216*EFEITO!$Y$216</f>
        <v>0</v>
      </c>
      <c r="N216" s="62">
        <f ca="1">$K$216-EFEITO!$M$216*EFEITO!$Z$216</f>
        <v>0</v>
      </c>
      <c r="O216" s="62">
        <f>$L$216-EFEITO!$O$216*EFEITO!$AA$216</f>
        <v>0</v>
      </c>
      <c r="P216" s="45"/>
      <c r="Q216" s="45"/>
      <c r="R216" s="45"/>
      <c r="S216" s="45"/>
      <c r="T216" s="45"/>
      <c r="U216" s="45"/>
      <c r="V216" s="45"/>
      <c r="W216" s="45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41" t="s">
        <v>57</v>
      </c>
      <c r="B217" s="41" t="s">
        <v>39</v>
      </c>
      <c r="C217" s="41" t="s">
        <v>40</v>
      </c>
      <c r="D217" s="41" t="s">
        <v>44</v>
      </c>
      <c r="E217" s="41" t="s">
        <v>25</v>
      </c>
      <c r="F217" s="41" t="s">
        <v>25</v>
      </c>
      <c r="G217" s="41" t="s">
        <v>25</v>
      </c>
      <c r="H217" s="41" t="s">
        <v>37</v>
      </c>
      <c r="I217" s="61">
        <v>44774</v>
      </c>
      <c r="J217" s="62">
        <f>EFEITO!$J$217*EFEITO!$Y$217</f>
        <v>0</v>
      </c>
      <c r="K217" s="62">
        <f ca="1">EFEITO!$L$217*EFEITO!$Z$217</f>
        <v>2273.3245668092859</v>
      </c>
      <c r="L217" s="62">
        <f>EFEITO!$N$217*EFEITO!$AA$217</f>
        <v>207.95472158808136</v>
      </c>
      <c r="M217" s="62">
        <f>$J$217-EFEITO!$K$217*EFEITO!$Y$217</f>
        <v>0</v>
      </c>
      <c r="N217" s="62">
        <f ca="1">$K$217-EFEITO!$M$217*EFEITO!$Z$217</f>
        <v>0</v>
      </c>
      <c r="O217" s="62">
        <f>$L$217-EFEITO!$O$217*EFEITO!$AA$217</f>
        <v>0</v>
      </c>
      <c r="P217" s="45"/>
      <c r="Q217" s="45"/>
      <c r="R217" s="45"/>
      <c r="S217" s="45"/>
      <c r="T217" s="45"/>
      <c r="U217" s="45"/>
      <c r="V217" s="45"/>
      <c r="W217" s="45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41" t="s">
        <v>21</v>
      </c>
      <c r="B218" s="41" t="s">
        <v>22</v>
      </c>
      <c r="C218" s="41" t="s">
        <v>55</v>
      </c>
      <c r="D218" s="41" t="s">
        <v>24</v>
      </c>
      <c r="E218" s="41" t="s">
        <v>24</v>
      </c>
      <c r="F218" s="41" t="s">
        <v>25</v>
      </c>
      <c r="G218" s="41" t="s">
        <v>25</v>
      </c>
      <c r="H218" s="41" t="s">
        <v>38</v>
      </c>
      <c r="I218" s="61">
        <v>44682</v>
      </c>
      <c r="J218" s="62">
        <f>EFEITO!$J$218*EFEITO!$Y$218</f>
        <v>0</v>
      </c>
      <c r="K218" s="62">
        <f ca="1">EFEITO!$L$218*EFEITO!$Z$218</f>
        <v>28.713367621783132</v>
      </c>
      <c r="L218" s="62">
        <f>EFEITO!$N$218*EFEITO!$AA$218</f>
        <v>12.968478774532668</v>
      </c>
      <c r="M218" s="62">
        <f>$J$218-EFEITO!$K$218*EFEITO!$Y$218</f>
        <v>0</v>
      </c>
      <c r="N218" s="62">
        <f ca="1">$K$218-EFEITO!$M$218*EFEITO!$Z$218</f>
        <v>0</v>
      </c>
      <c r="O218" s="62">
        <f>$L$218-EFEITO!$O$218*EFEITO!$AA$218</f>
        <v>0</v>
      </c>
      <c r="P218" s="45"/>
      <c r="Q218" s="45"/>
      <c r="R218" s="45"/>
      <c r="S218" s="45"/>
      <c r="T218" s="45"/>
      <c r="U218" s="45"/>
      <c r="V218" s="45"/>
      <c r="W218" s="45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41" t="s">
        <v>21</v>
      </c>
      <c r="B219" s="41" t="s">
        <v>22</v>
      </c>
      <c r="C219" s="41" t="s">
        <v>55</v>
      </c>
      <c r="D219" s="41" t="s">
        <v>24</v>
      </c>
      <c r="E219" s="41" t="s">
        <v>24</v>
      </c>
      <c r="F219" s="41" t="s">
        <v>25</v>
      </c>
      <c r="G219" s="41" t="s">
        <v>25</v>
      </c>
      <c r="H219" s="41" t="s">
        <v>38</v>
      </c>
      <c r="I219" s="61">
        <v>44713</v>
      </c>
      <c r="J219" s="62">
        <f>EFEITO!$J$219*EFEITO!$Y$219</f>
        <v>0</v>
      </c>
      <c r="K219" s="62">
        <f ca="1">EFEITO!$L$219*EFEITO!$Z$219</f>
        <v>89.443410644846566</v>
      </c>
      <c r="L219" s="62">
        <f>EFEITO!$N$219*EFEITO!$AA$219</f>
        <v>40.397385209163708</v>
      </c>
      <c r="M219" s="62">
        <f>$J$219-EFEITO!$K$219*EFEITO!$Y$219</f>
        <v>0</v>
      </c>
      <c r="N219" s="62">
        <f ca="1">$K$219-EFEITO!$M$219*EFEITO!$Z$219</f>
        <v>0</v>
      </c>
      <c r="O219" s="62">
        <f>$L$219-EFEITO!$O$219*EFEITO!$AA$219</f>
        <v>0</v>
      </c>
      <c r="P219" s="45"/>
      <c r="Q219" s="45"/>
      <c r="R219" s="45"/>
      <c r="S219" s="45"/>
      <c r="T219" s="45"/>
      <c r="U219" s="45"/>
      <c r="V219" s="45"/>
      <c r="W219" s="45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41" t="s">
        <v>21</v>
      </c>
      <c r="B220" s="41" t="s">
        <v>22</v>
      </c>
      <c r="C220" s="41" t="s">
        <v>55</v>
      </c>
      <c r="D220" s="41" t="s">
        <v>24</v>
      </c>
      <c r="E220" s="41" t="s">
        <v>24</v>
      </c>
      <c r="F220" s="41" t="s">
        <v>25</v>
      </c>
      <c r="G220" s="41" t="s">
        <v>25</v>
      </c>
      <c r="H220" s="41" t="s">
        <v>38</v>
      </c>
      <c r="I220" s="61">
        <v>44743</v>
      </c>
      <c r="J220" s="62">
        <f>EFEITO!$J$220*EFEITO!$Y$220</f>
        <v>0</v>
      </c>
      <c r="K220" s="62">
        <f ca="1">EFEITO!$L$220*EFEITO!$Z$220</f>
        <v>61.746445416754874</v>
      </c>
      <c r="L220" s="62">
        <f>EFEITO!$N$220*EFEITO!$AA$220</f>
        <v>27.887967630189717</v>
      </c>
      <c r="M220" s="62">
        <f>$J$220-EFEITO!$K$220*EFEITO!$Y$220</f>
        <v>0</v>
      </c>
      <c r="N220" s="62">
        <f ca="1">$K$220-EFEITO!$M$220*EFEITO!$Z$220</f>
        <v>0</v>
      </c>
      <c r="O220" s="62">
        <f>$L$220-EFEITO!$O$220*EFEITO!$AA$220</f>
        <v>0</v>
      </c>
      <c r="P220" s="45"/>
      <c r="Q220" s="45"/>
      <c r="R220" s="45"/>
      <c r="S220" s="45"/>
      <c r="T220" s="45"/>
      <c r="U220" s="45"/>
      <c r="V220" s="45"/>
      <c r="W220" s="45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41" t="s">
        <v>57</v>
      </c>
      <c r="B221" s="41" t="s">
        <v>22</v>
      </c>
      <c r="C221" s="41" t="s">
        <v>55</v>
      </c>
      <c r="D221" s="41" t="s">
        <v>24</v>
      </c>
      <c r="E221" s="41" t="s">
        <v>24</v>
      </c>
      <c r="F221" s="41" t="s">
        <v>25</v>
      </c>
      <c r="G221" s="41" t="s">
        <v>25</v>
      </c>
      <c r="H221" s="41" t="s">
        <v>38</v>
      </c>
      <c r="I221" s="61">
        <v>44774</v>
      </c>
      <c r="J221" s="62">
        <f>EFEITO!$J$221*EFEITO!$Y$221</f>
        <v>0</v>
      </c>
      <c r="K221" s="62">
        <f ca="1">EFEITO!$L$221*EFEITO!$Z$221</f>
        <v>61.746445416754874</v>
      </c>
      <c r="L221" s="62">
        <f>EFEITO!$N$221*EFEITO!$AA$221</f>
        <v>27.887967630189717</v>
      </c>
      <c r="M221" s="62">
        <f>$J$221-EFEITO!$K$221*EFEITO!$Y$221</f>
        <v>0</v>
      </c>
      <c r="N221" s="62">
        <f ca="1">$K$221-EFEITO!$M$221*EFEITO!$Z$221</f>
        <v>0</v>
      </c>
      <c r="O221" s="62">
        <f>$L$221-EFEITO!$O$221*EFEITO!$AA$221</f>
        <v>0</v>
      </c>
      <c r="P221" s="45"/>
      <c r="Q221" s="45"/>
      <c r="R221" s="45"/>
      <c r="S221" s="45"/>
      <c r="T221" s="45"/>
      <c r="U221" s="45"/>
      <c r="V221" s="45"/>
      <c r="W221" s="45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41" t="s">
        <v>21</v>
      </c>
      <c r="B222" s="41" t="s">
        <v>22</v>
      </c>
      <c r="C222" s="41" t="s">
        <v>55</v>
      </c>
      <c r="D222" s="41" t="s">
        <v>24</v>
      </c>
      <c r="E222" s="41" t="s">
        <v>24</v>
      </c>
      <c r="F222" s="41" t="s">
        <v>25</v>
      </c>
      <c r="G222" s="41" t="s">
        <v>25</v>
      </c>
      <c r="H222" s="41" t="s">
        <v>56</v>
      </c>
      <c r="I222" s="61">
        <v>44682</v>
      </c>
      <c r="J222" s="62">
        <f>EFEITO!$J$222*EFEITO!$Y$222</f>
        <v>0</v>
      </c>
      <c r="K222" s="62">
        <f ca="1">EFEITO!$L$222*EFEITO!$Z$222</f>
        <v>2.788404450001531</v>
      </c>
      <c r="L222" s="62">
        <f>EFEITO!$N$222*EFEITO!$AA$222</f>
        <v>0.68859179333801779</v>
      </c>
      <c r="M222" s="62">
        <f>$J$222-EFEITO!$K$222*EFEITO!$Y$222</f>
        <v>0</v>
      </c>
      <c r="N222" s="62">
        <f ca="1">$K$222-EFEITO!$M$222*EFEITO!$Z$222</f>
        <v>0</v>
      </c>
      <c r="O222" s="62">
        <f>$L$222-EFEITO!$O$222*EFEITO!$AA$222</f>
        <v>0</v>
      </c>
      <c r="P222" s="45"/>
      <c r="Q222" s="45"/>
      <c r="R222" s="45"/>
      <c r="S222" s="45"/>
      <c r="T222" s="45"/>
      <c r="U222" s="45"/>
      <c r="V222" s="45"/>
      <c r="W222" s="45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41" t="s">
        <v>21</v>
      </c>
      <c r="B223" s="41" t="s">
        <v>22</v>
      </c>
      <c r="C223" s="41" t="s">
        <v>55</v>
      </c>
      <c r="D223" s="41" t="s">
        <v>24</v>
      </c>
      <c r="E223" s="41" t="s">
        <v>24</v>
      </c>
      <c r="F223" s="41" t="s">
        <v>25</v>
      </c>
      <c r="G223" s="41" t="s">
        <v>25</v>
      </c>
      <c r="H223" s="41" t="s">
        <v>56</v>
      </c>
      <c r="I223" s="61">
        <v>44713</v>
      </c>
      <c r="J223" s="62">
        <f>EFEITO!$J$223*EFEITO!$Y$223</f>
        <v>0</v>
      </c>
      <c r="K223" s="62">
        <f ca="1">EFEITO!$L$223*EFEITO!$Z$223</f>
        <v>14.871490400008167</v>
      </c>
      <c r="L223" s="62">
        <f>EFEITO!$N$223*EFEITO!$AA$223</f>
        <v>3.6724895644694282</v>
      </c>
      <c r="M223" s="62">
        <f>$J$223-EFEITO!$K$223*EFEITO!$Y$223</f>
        <v>0</v>
      </c>
      <c r="N223" s="62">
        <f ca="1">$K$223-EFEITO!$M$223*EFEITO!$Z$223</f>
        <v>0</v>
      </c>
      <c r="O223" s="62">
        <f>$L$223-EFEITO!$O$223*EFEITO!$AA$223</f>
        <v>0</v>
      </c>
      <c r="P223" s="45"/>
      <c r="Q223" s="45"/>
      <c r="R223" s="45"/>
      <c r="S223" s="45"/>
      <c r="T223" s="45"/>
      <c r="U223" s="45"/>
      <c r="V223" s="45"/>
      <c r="W223" s="45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41" t="s">
        <v>21</v>
      </c>
      <c r="B224" s="41" t="s">
        <v>22</v>
      </c>
      <c r="C224" s="41" t="s">
        <v>55</v>
      </c>
      <c r="D224" s="41" t="s">
        <v>24</v>
      </c>
      <c r="E224" s="41" t="s">
        <v>24</v>
      </c>
      <c r="F224" s="41" t="s">
        <v>25</v>
      </c>
      <c r="G224" s="41" t="s">
        <v>25</v>
      </c>
      <c r="H224" s="41" t="s">
        <v>56</v>
      </c>
      <c r="I224" s="61">
        <v>44743</v>
      </c>
      <c r="J224" s="62">
        <f>EFEITO!$J$224*EFEITO!$Y$224</f>
        <v>0</v>
      </c>
      <c r="K224" s="62">
        <f ca="1">EFEITO!$L$224*EFEITO!$Z$224</f>
        <v>11.153617800006124</v>
      </c>
      <c r="L224" s="62">
        <f>EFEITO!$N$224*EFEITO!$AA$224</f>
        <v>2.7543671733520712</v>
      </c>
      <c r="M224" s="62">
        <f>$J$224-EFEITO!$K$224*EFEITO!$Y$224</f>
        <v>0</v>
      </c>
      <c r="N224" s="62">
        <f ca="1">$K$224-EFEITO!$M$224*EFEITO!$Z$224</f>
        <v>0</v>
      </c>
      <c r="O224" s="62">
        <f>$L$224-EFEITO!$O$224*EFEITO!$AA$224</f>
        <v>0</v>
      </c>
      <c r="P224" s="45"/>
      <c r="Q224" s="45"/>
      <c r="R224" s="45"/>
      <c r="S224" s="45"/>
      <c r="T224" s="45"/>
      <c r="U224" s="45"/>
      <c r="V224" s="45"/>
      <c r="W224" s="45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41" t="s">
        <v>57</v>
      </c>
      <c r="B225" s="41" t="s">
        <v>22</v>
      </c>
      <c r="C225" s="41" t="s">
        <v>55</v>
      </c>
      <c r="D225" s="41" t="s">
        <v>24</v>
      </c>
      <c r="E225" s="41" t="s">
        <v>24</v>
      </c>
      <c r="F225" s="41" t="s">
        <v>25</v>
      </c>
      <c r="G225" s="41" t="s">
        <v>25</v>
      </c>
      <c r="H225" s="41" t="s">
        <v>56</v>
      </c>
      <c r="I225" s="61">
        <v>44774</v>
      </c>
      <c r="J225" s="62">
        <f>EFEITO!$J$225*EFEITO!$Y$225</f>
        <v>0</v>
      </c>
      <c r="K225" s="62">
        <f ca="1">EFEITO!$L$225*EFEITO!$Z$225</f>
        <v>11.153617800006124</v>
      </c>
      <c r="L225" s="62">
        <f>EFEITO!$N$225*EFEITO!$AA$225</f>
        <v>2.7543671733520712</v>
      </c>
      <c r="M225" s="62">
        <f>$J$225-EFEITO!$K$225*EFEITO!$Y$225</f>
        <v>0</v>
      </c>
      <c r="N225" s="62">
        <f ca="1">$K$225-EFEITO!$M$225*EFEITO!$Z$225</f>
        <v>0</v>
      </c>
      <c r="O225" s="62">
        <f>$L$225-EFEITO!$O$225*EFEITO!$AA$225</f>
        <v>0</v>
      </c>
      <c r="P225" s="45"/>
      <c r="Q225" s="45"/>
      <c r="R225" s="45"/>
      <c r="S225" s="45"/>
      <c r="T225" s="45"/>
      <c r="U225" s="45"/>
      <c r="V225" s="45"/>
      <c r="W225" s="45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41" t="s">
        <v>21</v>
      </c>
      <c r="B226" s="41" t="s">
        <v>22</v>
      </c>
      <c r="C226" s="41" t="s">
        <v>55</v>
      </c>
      <c r="D226" s="41" t="s">
        <v>24</v>
      </c>
      <c r="E226" s="41" t="s">
        <v>24</v>
      </c>
      <c r="F226" s="41" t="s">
        <v>25</v>
      </c>
      <c r="G226" s="41" t="s">
        <v>25</v>
      </c>
      <c r="H226" s="41" t="s">
        <v>37</v>
      </c>
      <c r="I226" s="61">
        <v>44682</v>
      </c>
      <c r="J226" s="62">
        <f>EFEITO!$J$226*EFEITO!$Y$226</f>
        <v>0</v>
      </c>
      <c r="K226" s="62">
        <f ca="1">EFEITO!$L$226*EFEITO!$Z$226</f>
        <v>13.507350758634578</v>
      </c>
      <c r="L226" s="62">
        <f>EFEITO!$N$226*EFEITO!$AA$226</f>
        <v>2.2953059777933924</v>
      </c>
      <c r="M226" s="62">
        <f>$J$226-EFEITO!$K$226*EFEITO!$Y$226</f>
        <v>0</v>
      </c>
      <c r="N226" s="62">
        <f ca="1">$K$226-EFEITO!$M$226*EFEITO!$Z$226</f>
        <v>0</v>
      </c>
      <c r="O226" s="62">
        <f>$L$226-EFEITO!$O$226*EFEITO!$AA$226</f>
        <v>0</v>
      </c>
      <c r="P226" s="45"/>
      <c r="Q226" s="45"/>
      <c r="R226" s="45"/>
      <c r="S226" s="45"/>
      <c r="T226" s="45"/>
      <c r="U226" s="45"/>
      <c r="V226" s="45"/>
      <c r="W226" s="45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41" t="s">
        <v>21</v>
      </c>
      <c r="B227" s="41" t="s">
        <v>22</v>
      </c>
      <c r="C227" s="41" t="s">
        <v>55</v>
      </c>
      <c r="D227" s="41" t="s">
        <v>24</v>
      </c>
      <c r="E227" s="41" t="s">
        <v>24</v>
      </c>
      <c r="F227" s="41" t="s">
        <v>25</v>
      </c>
      <c r="G227" s="41" t="s">
        <v>25</v>
      </c>
      <c r="H227" s="41" t="s">
        <v>37</v>
      </c>
      <c r="I227" s="61">
        <v>44713</v>
      </c>
      <c r="J227" s="62">
        <f>EFEITO!$J$227*EFEITO!$Y$227</f>
        <v>0</v>
      </c>
      <c r="K227" s="62">
        <f ca="1">EFEITO!$L$227*EFEITO!$Z$227</f>
        <v>31.066906744859526</v>
      </c>
      <c r="L227" s="62">
        <f>EFEITO!$N$227*EFEITO!$AA$227</f>
        <v>5.2792037489248029</v>
      </c>
      <c r="M227" s="62">
        <f>$J$227-EFEITO!$K$227*EFEITO!$Y$227</f>
        <v>0</v>
      </c>
      <c r="N227" s="62">
        <f ca="1">$K$227-EFEITO!$M$227*EFEITO!$Z$227</f>
        <v>0</v>
      </c>
      <c r="O227" s="62">
        <f>$L$227-EFEITO!$O$227*EFEITO!$AA$227</f>
        <v>0</v>
      </c>
      <c r="P227" s="45"/>
      <c r="Q227" s="45"/>
      <c r="R227" s="45"/>
      <c r="S227" s="45"/>
      <c r="T227" s="45"/>
      <c r="U227" s="45"/>
      <c r="V227" s="45"/>
      <c r="W227" s="45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41" t="s">
        <v>21</v>
      </c>
      <c r="B228" s="41" t="s">
        <v>22</v>
      </c>
      <c r="C228" s="41" t="s">
        <v>55</v>
      </c>
      <c r="D228" s="41" t="s">
        <v>24</v>
      </c>
      <c r="E228" s="41" t="s">
        <v>24</v>
      </c>
      <c r="F228" s="41" t="s">
        <v>25</v>
      </c>
      <c r="G228" s="41" t="s">
        <v>25</v>
      </c>
      <c r="H228" s="41" t="s">
        <v>37</v>
      </c>
      <c r="I228" s="61">
        <v>44743</v>
      </c>
      <c r="J228" s="62">
        <f>EFEITO!$J$228*EFEITO!$Y$228</f>
        <v>0</v>
      </c>
      <c r="K228" s="62">
        <f ca="1">EFEITO!$L$228*EFEITO!$Z$228</f>
        <v>29.716171668996068</v>
      </c>
      <c r="L228" s="62">
        <f>EFEITO!$N$228*EFEITO!$AA$228</f>
        <v>5.0496731511454636</v>
      </c>
      <c r="M228" s="62">
        <f>$J$228-EFEITO!$K$228*EFEITO!$Y$228</f>
        <v>0</v>
      </c>
      <c r="N228" s="62">
        <f ca="1">$K$228-EFEITO!$M$228*EFEITO!$Z$228</f>
        <v>0</v>
      </c>
      <c r="O228" s="62">
        <f>$L$228-EFEITO!$O$228*EFEITO!$AA$228</f>
        <v>0</v>
      </c>
      <c r="P228" s="45"/>
      <c r="Q228" s="45"/>
      <c r="R228" s="45"/>
      <c r="S228" s="45"/>
      <c r="T228" s="45"/>
      <c r="U228" s="45"/>
      <c r="V228" s="45"/>
      <c r="W228" s="45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41" t="s">
        <v>57</v>
      </c>
      <c r="B229" s="41" t="s">
        <v>22</v>
      </c>
      <c r="C229" s="41" t="s">
        <v>55</v>
      </c>
      <c r="D229" s="41" t="s">
        <v>24</v>
      </c>
      <c r="E229" s="41" t="s">
        <v>24</v>
      </c>
      <c r="F229" s="41" t="s">
        <v>25</v>
      </c>
      <c r="G229" s="41" t="s">
        <v>25</v>
      </c>
      <c r="H229" s="41" t="s">
        <v>37</v>
      </c>
      <c r="I229" s="61">
        <v>44774</v>
      </c>
      <c r="J229" s="62">
        <f>EFEITO!$J$229*EFEITO!$Y$229</f>
        <v>0</v>
      </c>
      <c r="K229" s="62">
        <f ca="1">EFEITO!$L$229*EFEITO!$Z$229</f>
        <v>29.716171668996068</v>
      </c>
      <c r="L229" s="62">
        <f>EFEITO!$N$229*EFEITO!$AA$229</f>
        <v>5.0496731511454636</v>
      </c>
      <c r="M229" s="62">
        <f>$J$229-EFEITO!$K$229*EFEITO!$Y$229</f>
        <v>0</v>
      </c>
      <c r="N229" s="62">
        <f ca="1">$K$229-EFEITO!$M$229*EFEITO!$Z$229</f>
        <v>0</v>
      </c>
      <c r="O229" s="62">
        <f>$L$229-EFEITO!$O$229*EFEITO!$AA$229</f>
        <v>0</v>
      </c>
      <c r="P229" s="45"/>
      <c r="Q229" s="45"/>
      <c r="R229" s="45"/>
      <c r="S229" s="45"/>
      <c r="T229" s="45"/>
      <c r="U229" s="45"/>
      <c r="V229" s="45"/>
      <c r="W229" s="45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41" t="s">
        <v>21</v>
      </c>
      <c r="B230" s="41" t="s">
        <v>22</v>
      </c>
      <c r="C230" s="41" t="s">
        <v>23</v>
      </c>
      <c r="D230" s="41" t="s">
        <v>24</v>
      </c>
      <c r="E230" s="41" t="s">
        <v>24</v>
      </c>
      <c r="F230" s="41" t="s">
        <v>25</v>
      </c>
      <c r="G230" s="41" t="s">
        <v>25</v>
      </c>
      <c r="H230" s="41" t="s">
        <v>25</v>
      </c>
      <c r="I230" s="61">
        <v>44440</v>
      </c>
      <c r="J230" s="62">
        <f>EFEITO!$J$230*EFEITO!$Y$230</f>
        <v>0</v>
      </c>
      <c r="K230" s="62">
        <f ca="1">EFEITO!$L$230*EFEITO!$Z$230</f>
        <v>1579878.0261674295</v>
      </c>
      <c r="L230" s="62">
        <f>EFEITO!$N$230*EFEITO!$AA$230</f>
        <v>527363.074601072</v>
      </c>
      <c r="M230" s="62">
        <f>$J$230-EFEITO!$K$230*EFEITO!$Y$230</f>
        <v>0</v>
      </c>
      <c r="N230" s="62">
        <f ca="1">$K$230-EFEITO!$M$230*EFEITO!$Z$230</f>
        <v>0</v>
      </c>
      <c r="O230" s="62">
        <f>$L$230-EFEITO!$O$230*EFEITO!$AA$230</f>
        <v>0</v>
      </c>
      <c r="P230" s="45"/>
      <c r="Q230" s="45"/>
      <c r="R230" s="45"/>
      <c r="S230" s="45"/>
      <c r="T230" s="45"/>
      <c r="U230" s="45"/>
      <c r="V230" s="45"/>
      <c r="W230" s="45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41" t="s">
        <v>27</v>
      </c>
      <c r="B231" s="41" t="s">
        <v>22</v>
      </c>
      <c r="C231" s="41" t="s">
        <v>23</v>
      </c>
      <c r="D231" s="41" t="s">
        <v>24</v>
      </c>
      <c r="E231" s="41" t="s">
        <v>24</v>
      </c>
      <c r="F231" s="41" t="s">
        <v>25</v>
      </c>
      <c r="G231" s="41" t="s">
        <v>25</v>
      </c>
      <c r="H231" s="41" t="s">
        <v>25</v>
      </c>
      <c r="I231" s="61">
        <v>44440</v>
      </c>
      <c r="J231" s="62">
        <f>EFEITO!$J$231*EFEITO!$Y$231</f>
        <v>0</v>
      </c>
      <c r="K231" s="62">
        <f ca="1">EFEITO!$L$231*EFEITO!$Z$231</f>
        <v>-871.22643344980395</v>
      </c>
      <c r="L231" s="62">
        <f>EFEITO!$N$231*EFEITO!$AA$231</f>
        <v>-290.81526738642282</v>
      </c>
      <c r="M231" s="62">
        <f>$J$231-EFEITO!$K$231*EFEITO!$Y$231</f>
        <v>0</v>
      </c>
      <c r="N231" s="62">
        <f ca="1">$K$231-EFEITO!$M$231*EFEITO!$Z$231</f>
        <v>0</v>
      </c>
      <c r="O231" s="62">
        <f>$L$231-EFEITO!$O$231*EFEITO!$AA$231</f>
        <v>0</v>
      </c>
      <c r="P231" s="45"/>
      <c r="Q231" s="45"/>
      <c r="R231" s="45"/>
      <c r="S231" s="45"/>
      <c r="T231" s="45"/>
      <c r="U231" s="45"/>
      <c r="V231" s="45"/>
      <c r="W231" s="45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41" t="s">
        <v>28</v>
      </c>
      <c r="B232" s="41" t="s">
        <v>22</v>
      </c>
      <c r="C232" s="41" t="s">
        <v>23</v>
      </c>
      <c r="D232" s="41" t="s">
        <v>24</v>
      </c>
      <c r="E232" s="41" t="s">
        <v>24</v>
      </c>
      <c r="F232" s="41" t="s">
        <v>25</v>
      </c>
      <c r="G232" s="41" t="s">
        <v>25</v>
      </c>
      <c r="H232" s="41" t="s">
        <v>25</v>
      </c>
      <c r="I232" s="61">
        <v>44440</v>
      </c>
      <c r="J232" s="62">
        <f>EFEITO!$J$232*EFEITO!$Y$232</f>
        <v>0</v>
      </c>
      <c r="K232" s="62">
        <f ca="1">EFEITO!$L$232*EFEITO!$Z$232</f>
        <v>6967.7485794371451</v>
      </c>
      <c r="L232" s="62">
        <f>EFEITO!$N$232*EFEITO!$AA$232</f>
        <v>2325.8335472980443</v>
      </c>
      <c r="M232" s="62">
        <f>$J$232-EFEITO!$K$232*EFEITO!$Y$232</f>
        <v>0</v>
      </c>
      <c r="N232" s="62">
        <f ca="1">$K$232-EFEITO!$M$232*EFEITO!$Z$232</f>
        <v>0</v>
      </c>
      <c r="O232" s="62">
        <f>$L$232-EFEITO!$O$232*EFEITO!$AA$232</f>
        <v>0</v>
      </c>
      <c r="P232" s="45"/>
      <c r="Q232" s="45"/>
      <c r="R232" s="45"/>
      <c r="S232" s="45"/>
      <c r="T232" s="45"/>
      <c r="U232" s="45"/>
      <c r="V232" s="45"/>
      <c r="W232" s="45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41" t="s">
        <v>21</v>
      </c>
      <c r="B233" s="41" t="s">
        <v>22</v>
      </c>
      <c r="C233" s="41" t="s">
        <v>23</v>
      </c>
      <c r="D233" s="41" t="s">
        <v>24</v>
      </c>
      <c r="E233" s="41" t="s">
        <v>24</v>
      </c>
      <c r="F233" s="41" t="s">
        <v>25</v>
      </c>
      <c r="G233" s="41" t="s">
        <v>25</v>
      </c>
      <c r="H233" s="41" t="s">
        <v>25</v>
      </c>
      <c r="I233" s="61">
        <v>44470</v>
      </c>
      <c r="J233" s="62">
        <f>EFEITO!$J$233*EFEITO!$Y$233</f>
        <v>0</v>
      </c>
      <c r="K233" s="62">
        <f ca="1">EFEITO!$L$233*EFEITO!$Z$233</f>
        <v>1552030.7550635356</v>
      </c>
      <c r="L233" s="62">
        <f>EFEITO!$N$233*EFEITO!$AA$233</f>
        <v>518067.65921750327</v>
      </c>
      <c r="M233" s="62">
        <f>$J$233-EFEITO!$K$233*EFEITO!$Y$233</f>
        <v>0</v>
      </c>
      <c r="N233" s="62">
        <f ca="1">$K$233-EFEITO!$M$233*EFEITO!$Z$233</f>
        <v>0</v>
      </c>
      <c r="O233" s="62">
        <f>$L$233-EFEITO!$O$233*EFEITO!$AA$233</f>
        <v>0</v>
      </c>
      <c r="P233" s="45"/>
      <c r="Q233" s="45"/>
      <c r="R233" s="45"/>
      <c r="S233" s="45"/>
      <c r="T233" s="45"/>
      <c r="U233" s="45"/>
      <c r="V233" s="45"/>
      <c r="W233" s="45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41" t="s">
        <v>27</v>
      </c>
      <c r="B234" s="41" t="s">
        <v>22</v>
      </c>
      <c r="C234" s="41" t="s">
        <v>23</v>
      </c>
      <c r="D234" s="41" t="s">
        <v>24</v>
      </c>
      <c r="E234" s="41" t="s">
        <v>24</v>
      </c>
      <c r="F234" s="41" t="s">
        <v>25</v>
      </c>
      <c r="G234" s="41" t="s">
        <v>25</v>
      </c>
      <c r="H234" s="41" t="s">
        <v>25</v>
      </c>
      <c r="I234" s="61">
        <v>44470</v>
      </c>
      <c r="J234" s="62">
        <f>EFEITO!$J$234*EFEITO!$Y$234</f>
        <v>0</v>
      </c>
      <c r="K234" s="62">
        <f ca="1">EFEITO!$L$234*EFEITO!$Z$234</f>
        <v>-2651.4989166396558</v>
      </c>
      <c r="L234" s="62">
        <f>EFEITO!$N$234*EFEITO!$AA$234</f>
        <v>-885.06998503713214</v>
      </c>
      <c r="M234" s="62">
        <f>$J$234-EFEITO!$K$234*EFEITO!$Y$234</f>
        <v>0</v>
      </c>
      <c r="N234" s="62">
        <f ca="1">$K$234-EFEITO!$M$234*EFEITO!$Z$234</f>
        <v>0</v>
      </c>
      <c r="O234" s="62">
        <f>$L$234-EFEITO!$O$234*EFEITO!$AA$234</f>
        <v>0</v>
      </c>
      <c r="P234" s="45"/>
      <c r="Q234" s="45"/>
      <c r="R234" s="45"/>
      <c r="S234" s="45"/>
      <c r="T234" s="45"/>
      <c r="U234" s="45"/>
      <c r="V234" s="45"/>
      <c r="W234" s="45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41" t="s">
        <v>28</v>
      </c>
      <c r="B235" s="41" t="s">
        <v>22</v>
      </c>
      <c r="C235" s="41" t="s">
        <v>23</v>
      </c>
      <c r="D235" s="41" t="s">
        <v>24</v>
      </c>
      <c r="E235" s="41" t="s">
        <v>24</v>
      </c>
      <c r="F235" s="41" t="s">
        <v>25</v>
      </c>
      <c r="G235" s="41" t="s">
        <v>25</v>
      </c>
      <c r="H235" s="41" t="s">
        <v>25</v>
      </c>
      <c r="I235" s="61">
        <v>44470</v>
      </c>
      <c r="J235" s="62">
        <f>EFEITO!$J$235*EFEITO!$Y$235</f>
        <v>0</v>
      </c>
      <c r="K235" s="62">
        <f ca="1">EFEITO!$L$235*EFEITO!$Z$235</f>
        <v>6482.6260468413793</v>
      </c>
      <c r="L235" s="62">
        <f>EFEITO!$N$235*EFEITO!$AA$235</f>
        <v>2163.8997105647209</v>
      </c>
      <c r="M235" s="62">
        <f>$J$235-EFEITO!$K$235*EFEITO!$Y$235</f>
        <v>0</v>
      </c>
      <c r="N235" s="62">
        <f ca="1">$K$235-EFEITO!$M$235*EFEITO!$Z$235</f>
        <v>0</v>
      </c>
      <c r="O235" s="62">
        <f>$L$235-EFEITO!$O$235*EFEITO!$AA$235</f>
        <v>0</v>
      </c>
      <c r="P235" s="45"/>
      <c r="Q235" s="45"/>
      <c r="R235" s="45"/>
      <c r="S235" s="45"/>
      <c r="T235" s="45"/>
      <c r="U235" s="45"/>
      <c r="V235" s="45"/>
      <c r="W235" s="45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41" t="s">
        <v>21</v>
      </c>
      <c r="B236" s="41" t="s">
        <v>22</v>
      </c>
      <c r="C236" s="41" t="s">
        <v>23</v>
      </c>
      <c r="D236" s="41" t="s">
        <v>24</v>
      </c>
      <c r="E236" s="41" t="s">
        <v>24</v>
      </c>
      <c r="F236" s="41" t="s">
        <v>25</v>
      </c>
      <c r="G236" s="41" t="s">
        <v>25</v>
      </c>
      <c r="H236" s="41" t="s">
        <v>25</v>
      </c>
      <c r="I236" s="61">
        <v>44501</v>
      </c>
      <c r="J236" s="62">
        <f>EFEITO!$J$236*EFEITO!$Y$236</f>
        <v>0</v>
      </c>
      <c r="K236" s="62">
        <f ca="1">EFEITO!$L$236*EFEITO!$Z$236</f>
        <v>1507133.0256772256</v>
      </c>
      <c r="L236" s="62">
        <f>EFEITO!$N$236*EFEITO!$AA$236</f>
        <v>503080.80313139793</v>
      </c>
      <c r="M236" s="62">
        <f>$J$236-EFEITO!$K$236*EFEITO!$Y$236</f>
        <v>0</v>
      </c>
      <c r="N236" s="62">
        <f ca="1">$K$236-EFEITO!$M$236*EFEITO!$Z$236</f>
        <v>0</v>
      </c>
      <c r="O236" s="62">
        <f>$L$236-EFEITO!$O$236*EFEITO!$AA$236</f>
        <v>0</v>
      </c>
      <c r="P236" s="45"/>
      <c r="Q236" s="45"/>
      <c r="R236" s="45"/>
      <c r="S236" s="45"/>
      <c r="T236" s="45"/>
      <c r="U236" s="45"/>
      <c r="V236" s="45"/>
      <c r="W236" s="45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41" t="s">
        <v>27</v>
      </c>
      <c r="B237" s="41" t="s">
        <v>22</v>
      </c>
      <c r="C237" s="41" t="s">
        <v>23</v>
      </c>
      <c r="D237" s="41" t="s">
        <v>24</v>
      </c>
      <c r="E237" s="41" t="s">
        <v>24</v>
      </c>
      <c r="F237" s="41" t="s">
        <v>25</v>
      </c>
      <c r="G237" s="41" t="s">
        <v>25</v>
      </c>
      <c r="H237" s="41" t="s">
        <v>25</v>
      </c>
      <c r="I237" s="61">
        <v>44501</v>
      </c>
      <c r="J237" s="62">
        <f>EFEITO!$J$237*EFEITO!$Y$237</f>
        <v>0</v>
      </c>
      <c r="K237" s="62">
        <f ca="1">EFEITO!$L$237*EFEITO!$Z$237</f>
        <v>-781.14698374031354</v>
      </c>
      <c r="L237" s="62">
        <f>EFEITO!$N$237*EFEITO!$AA$237</f>
        <v>-260.74675907732939</v>
      </c>
      <c r="M237" s="62">
        <f>$J$237-EFEITO!$K$237*EFEITO!$Y$237</f>
        <v>0</v>
      </c>
      <c r="N237" s="62">
        <f ca="1">$K$237-EFEITO!$M$237*EFEITO!$Z$237</f>
        <v>0</v>
      </c>
      <c r="O237" s="62">
        <f>$L$237-EFEITO!$O$237*EFEITO!$AA$237</f>
        <v>0</v>
      </c>
      <c r="P237" s="45"/>
      <c r="Q237" s="45"/>
      <c r="R237" s="45"/>
      <c r="S237" s="45"/>
      <c r="T237" s="45"/>
      <c r="U237" s="45"/>
      <c r="V237" s="45"/>
      <c r="W237" s="45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41" t="s">
        <v>28</v>
      </c>
      <c r="B238" s="41" t="s">
        <v>22</v>
      </c>
      <c r="C238" s="41" t="s">
        <v>23</v>
      </c>
      <c r="D238" s="41" t="s">
        <v>24</v>
      </c>
      <c r="E238" s="41" t="s">
        <v>24</v>
      </c>
      <c r="F238" s="41" t="s">
        <v>25</v>
      </c>
      <c r="G238" s="41" t="s">
        <v>25</v>
      </c>
      <c r="H238" s="41" t="s">
        <v>25</v>
      </c>
      <c r="I238" s="61">
        <v>44501</v>
      </c>
      <c r="J238" s="62">
        <f>EFEITO!$J$238*EFEITO!$Y$238</f>
        <v>0</v>
      </c>
      <c r="K238" s="62">
        <f ca="1">EFEITO!$L$238*EFEITO!$Z$238</f>
        <v>4219.9815486041407</v>
      </c>
      <c r="L238" s="62">
        <f>EFEITO!$N$238*EFEITO!$AA$238</f>
        <v>1408.6292785718049</v>
      </c>
      <c r="M238" s="62">
        <f>$J$238-EFEITO!$K$238*EFEITO!$Y$238</f>
        <v>0</v>
      </c>
      <c r="N238" s="62">
        <f ca="1">$K$238-EFEITO!$M$238*EFEITO!$Z$238</f>
        <v>0</v>
      </c>
      <c r="O238" s="62">
        <f>$L$238-EFEITO!$O$238*EFEITO!$AA$238</f>
        <v>0</v>
      </c>
      <c r="P238" s="45"/>
      <c r="Q238" s="45"/>
      <c r="R238" s="45"/>
      <c r="S238" s="45"/>
      <c r="T238" s="45"/>
      <c r="U238" s="45"/>
      <c r="V238" s="45"/>
      <c r="W238" s="45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41" t="s">
        <v>21</v>
      </c>
      <c r="B239" s="41" t="s">
        <v>22</v>
      </c>
      <c r="C239" s="41" t="s">
        <v>23</v>
      </c>
      <c r="D239" s="41" t="s">
        <v>24</v>
      </c>
      <c r="E239" s="41" t="s">
        <v>24</v>
      </c>
      <c r="F239" s="41" t="s">
        <v>25</v>
      </c>
      <c r="G239" s="41" t="s">
        <v>25</v>
      </c>
      <c r="H239" s="41" t="s">
        <v>25</v>
      </c>
      <c r="I239" s="61">
        <v>44531</v>
      </c>
      <c r="J239" s="62">
        <f>EFEITO!$J$239*EFEITO!$Y$239</f>
        <v>0</v>
      </c>
      <c r="K239" s="62">
        <f ca="1">EFEITO!$L$239*EFEITO!$Z$239</f>
        <v>1576615.5685403554</v>
      </c>
      <c r="L239" s="62">
        <f>EFEITO!$N$239*EFEITO!$AA$239</f>
        <v>526274.06667990796</v>
      </c>
      <c r="M239" s="62">
        <f>$J$239-EFEITO!$K$239*EFEITO!$Y$239</f>
        <v>0</v>
      </c>
      <c r="N239" s="62">
        <f ca="1">$K$239-EFEITO!$M$239*EFEITO!$Z$239</f>
        <v>0</v>
      </c>
      <c r="O239" s="62">
        <f>$L$239-EFEITO!$O$239*EFEITO!$AA$239</f>
        <v>0</v>
      </c>
      <c r="P239" s="45"/>
      <c r="Q239" s="45"/>
      <c r="R239" s="45"/>
      <c r="S239" s="45"/>
      <c r="T239" s="45"/>
      <c r="U239" s="45"/>
      <c r="V239" s="45"/>
      <c r="W239" s="45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41" t="s">
        <v>27</v>
      </c>
      <c r="B240" s="41" t="s">
        <v>22</v>
      </c>
      <c r="C240" s="41" t="s">
        <v>23</v>
      </c>
      <c r="D240" s="41" t="s">
        <v>24</v>
      </c>
      <c r="E240" s="41" t="s">
        <v>24</v>
      </c>
      <c r="F240" s="41" t="s">
        <v>25</v>
      </c>
      <c r="G240" s="41" t="s">
        <v>25</v>
      </c>
      <c r="H240" s="41" t="s">
        <v>25</v>
      </c>
      <c r="I240" s="61">
        <v>44531</v>
      </c>
      <c r="J240" s="62">
        <f>EFEITO!$J$240*EFEITO!$Y$240</f>
        <v>0</v>
      </c>
      <c r="K240" s="62">
        <f ca="1">EFEITO!$L$240*EFEITO!$Z$240</f>
        <v>-281.58423401554438</v>
      </c>
      <c r="L240" s="62">
        <f>EFEITO!$N$240*EFEITO!$AA$240</f>
        <v>-93.992779790639418</v>
      </c>
      <c r="M240" s="62">
        <f>$J$240-EFEITO!$K$240*EFEITO!$Y$240</f>
        <v>0</v>
      </c>
      <c r="N240" s="62">
        <f ca="1">$K$240-EFEITO!$M$240*EFEITO!$Z$240</f>
        <v>0</v>
      </c>
      <c r="O240" s="62">
        <f>$L$240-EFEITO!$O$240*EFEITO!$AA$240</f>
        <v>0</v>
      </c>
      <c r="P240" s="45"/>
      <c r="Q240" s="45"/>
      <c r="R240" s="45"/>
      <c r="S240" s="45"/>
      <c r="T240" s="45"/>
      <c r="U240" s="45"/>
      <c r="V240" s="45"/>
      <c r="W240" s="45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41" t="s">
        <v>28</v>
      </c>
      <c r="B241" s="41" t="s">
        <v>22</v>
      </c>
      <c r="C241" s="41" t="s">
        <v>23</v>
      </c>
      <c r="D241" s="41" t="s">
        <v>24</v>
      </c>
      <c r="E241" s="41" t="s">
        <v>24</v>
      </c>
      <c r="F241" s="41" t="s">
        <v>25</v>
      </c>
      <c r="G241" s="41" t="s">
        <v>25</v>
      </c>
      <c r="H241" s="41" t="s">
        <v>25</v>
      </c>
      <c r="I241" s="61">
        <v>44531</v>
      </c>
      <c r="J241" s="62">
        <f>EFEITO!$J$241*EFEITO!$Y$241</f>
        <v>0</v>
      </c>
      <c r="K241" s="62">
        <f ca="1">EFEITO!$L$241*EFEITO!$Z$241</f>
        <v>3638.9347165085733</v>
      </c>
      <c r="L241" s="62">
        <f>EFEITO!$N$241*EFEITO!$AA$241</f>
        <v>1214.6759234482633</v>
      </c>
      <c r="M241" s="62">
        <f>$J$241-EFEITO!$K$241*EFEITO!$Y$241</f>
        <v>0</v>
      </c>
      <c r="N241" s="62">
        <f ca="1">$K$241-EFEITO!$M$241*EFEITO!$Z$241</f>
        <v>0</v>
      </c>
      <c r="O241" s="62">
        <f>$L$241-EFEITO!$O$241*EFEITO!$AA$241</f>
        <v>0</v>
      </c>
      <c r="P241" s="45"/>
      <c r="Q241" s="45"/>
      <c r="R241" s="45"/>
      <c r="S241" s="45"/>
      <c r="T241" s="45"/>
      <c r="U241" s="45"/>
      <c r="V241" s="45"/>
      <c r="W241" s="45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41" t="s">
        <v>21</v>
      </c>
      <c r="B242" s="41" t="s">
        <v>22</v>
      </c>
      <c r="C242" s="41" t="s">
        <v>23</v>
      </c>
      <c r="D242" s="41" t="s">
        <v>24</v>
      </c>
      <c r="E242" s="41" t="s">
        <v>24</v>
      </c>
      <c r="F242" s="41" t="s">
        <v>25</v>
      </c>
      <c r="G242" s="41" t="s">
        <v>25</v>
      </c>
      <c r="H242" s="41" t="s">
        <v>25</v>
      </c>
      <c r="I242" s="61">
        <v>44562</v>
      </c>
      <c r="J242" s="62">
        <f>EFEITO!$J$242*EFEITO!$Y$242</f>
        <v>0</v>
      </c>
      <c r="K242" s="62">
        <f ca="1">EFEITO!$L$242*EFEITO!$Z$242</f>
        <v>1998636.7589852375</v>
      </c>
      <c r="L242" s="62">
        <f>EFEITO!$N$242*EFEITO!$AA$242</f>
        <v>667144.68381211406</v>
      </c>
      <c r="M242" s="62">
        <f>$J$242-EFEITO!$K$242*EFEITO!$Y$242</f>
        <v>0</v>
      </c>
      <c r="N242" s="62">
        <f ca="1">$K$242-EFEITO!$M$242*EFEITO!$Z$242</f>
        <v>0</v>
      </c>
      <c r="O242" s="62">
        <f>$L$242-EFEITO!$O$242*EFEITO!$AA$242</f>
        <v>0</v>
      </c>
      <c r="P242" s="45"/>
      <c r="Q242" s="45"/>
      <c r="R242" s="45"/>
      <c r="S242" s="45"/>
      <c r="T242" s="45"/>
      <c r="U242" s="45"/>
      <c r="V242" s="45"/>
      <c r="W242" s="45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41" t="s">
        <v>27</v>
      </c>
      <c r="B243" s="41" t="s">
        <v>22</v>
      </c>
      <c r="C243" s="41" t="s">
        <v>23</v>
      </c>
      <c r="D243" s="41" t="s">
        <v>24</v>
      </c>
      <c r="E243" s="41" t="s">
        <v>24</v>
      </c>
      <c r="F243" s="41" t="s">
        <v>25</v>
      </c>
      <c r="G243" s="41" t="s">
        <v>25</v>
      </c>
      <c r="H243" s="41" t="s">
        <v>25</v>
      </c>
      <c r="I243" s="61">
        <v>44562</v>
      </c>
      <c r="J243" s="62">
        <f>EFEITO!$J$243*EFEITO!$Y$243</f>
        <v>0</v>
      </c>
      <c r="K243" s="62">
        <f ca="1">EFEITO!$L$243*EFEITO!$Z$243</f>
        <v>-6913.7696725501619</v>
      </c>
      <c r="L243" s="62">
        <f>EFEITO!$N$243*EFEITO!$AA$243</f>
        <v>-2307.8153953723668</v>
      </c>
      <c r="M243" s="62">
        <f>$J$243-EFEITO!$K$243*EFEITO!$Y$243</f>
        <v>0</v>
      </c>
      <c r="N243" s="62">
        <f ca="1">$K$243-EFEITO!$M$243*EFEITO!$Z$243</f>
        <v>0</v>
      </c>
      <c r="O243" s="62">
        <f>$L$243-EFEITO!$O$243*EFEITO!$AA$243</f>
        <v>0</v>
      </c>
      <c r="P243" s="45"/>
      <c r="Q243" s="45"/>
      <c r="R243" s="45"/>
      <c r="S243" s="45"/>
      <c r="T243" s="45"/>
      <c r="U243" s="45"/>
      <c r="V243" s="45"/>
      <c r="W243" s="45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41" t="s">
        <v>28</v>
      </c>
      <c r="B244" s="41" t="s">
        <v>22</v>
      </c>
      <c r="C244" s="41" t="s">
        <v>23</v>
      </c>
      <c r="D244" s="41" t="s">
        <v>24</v>
      </c>
      <c r="E244" s="41" t="s">
        <v>24</v>
      </c>
      <c r="F244" s="41" t="s">
        <v>25</v>
      </c>
      <c r="G244" s="41" t="s">
        <v>25</v>
      </c>
      <c r="H244" s="41" t="s">
        <v>25</v>
      </c>
      <c r="I244" s="61">
        <v>44562</v>
      </c>
      <c r="J244" s="62">
        <f>EFEITO!$J$244*EFEITO!$Y$244</f>
        <v>0</v>
      </c>
      <c r="K244" s="62">
        <f ca="1">EFEITO!$L$244*EFEITO!$Z$244</f>
        <v>4170.1284180397288</v>
      </c>
      <c r="L244" s="62">
        <f>EFEITO!$N$244*EFEITO!$AA$244</f>
        <v>1391.9883102328029</v>
      </c>
      <c r="M244" s="62">
        <f>$J$244-EFEITO!$K$244*EFEITO!$Y$244</f>
        <v>0</v>
      </c>
      <c r="N244" s="62">
        <f ca="1">$K$244-EFEITO!$M$244*EFEITO!$Z$244</f>
        <v>0</v>
      </c>
      <c r="O244" s="62">
        <f>$L$244-EFEITO!$O$244*EFEITO!$AA$244</f>
        <v>0</v>
      </c>
      <c r="P244" s="45"/>
      <c r="Q244" s="45"/>
      <c r="R244" s="45"/>
      <c r="S244" s="45"/>
      <c r="T244" s="45"/>
      <c r="U244" s="45"/>
      <c r="V244" s="45"/>
      <c r="W244" s="45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41" t="s">
        <v>21</v>
      </c>
      <c r="B245" s="41" t="s">
        <v>22</v>
      </c>
      <c r="C245" s="41" t="s">
        <v>23</v>
      </c>
      <c r="D245" s="41" t="s">
        <v>24</v>
      </c>
      <c r="E245" s="41" t="s">
        <v>24</v>
      </c>
      <c r="F245" s="41" t="s">
        <v>25</v>
      </c>
      <c r="G245" s="41" t="s">
        <v>25</v>
      </c>
      <c r="H245" s="41" t="s">
        <v>25</v>
      </c>
      <c r="I245" s="61">
        <v>44593</v>
      </c>
      <c r="J245" s="62">
        <f>EFEITO!$J$245*EFEITO!$Y$245</f>
        <v>0</v>
      </c>
      <c r="K245" s="62">
        <f ca="1">EFEITO!$L$245*EFEITO!$Z$245</f>
        <v>2095170.2981220048</v>
      </c>
      <c r="L245" s="62">
        <f>EFEITO!$N$245*EFEITO!$AA$245</f>
        <v>699367.56631196442</v>
      </c>
      <c r="M245" s="62">
        <f>$J$245-EFEITO!$K$245*EFEITO!$Y$245</f>
        <v>0</v>
      </c>
      <c r="N245" s="62">
        <f ca="1">$K$245-EFEITO!$M$245*EFEITO!$Z$245</f>
        <v>0</v>
      </c>
      <c r="O245" s="62">
        <f>$L$245-EFEITO!$O$245*EFEITO!$AA$245</f>
        <v>0</v>
      </c>
      <c r="P245" s="45"/>
      <c r="Q245" s="45"/>
      <c r="R245" s="45"/>
      <c r="S245" s="45"/>
      <c r="T245" s="45"/>
      <c r="U245" s="45"/>
      <c r="V245" s="45"/>
      <c r="W245" s="45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41" t="s">
        <v>27</v>
      </c>
      <c r="B246" s="41" t="s">
        <v>22</v>
      </c>
      <c r="C246" s="41" t="s">
        <v>23</v>
      </c>
      <c r="D246" s="41" t="s">
        <v>24</v>
      </c>
      <c r="E246" s="41" t="s">
        <v>24</v>
      </c>
      <c r="F246" s="41" t="s">
        <v>25</v>
      </c>
      <c r="G246" s="41" t="s">
        <v>25</v>
      </c>
      <c r="H246" s="41" t="s">
        <v>25</v>
      </c>
      <c r="I246" s="61">
        <v>44593</v>
      </c>
      <c r="J246" s="62">
        <f>EFEITO!$J$246*EFEITO!$Y$246</f>
        <v>0</v>
      </c>
      <c r="K246" s="62">
        <f ca="1">EFEITO!$L$246*EFEITO!$Z$246</f>
        <v>-4846.0681055544546</v>
      </c>
      <c r="L246" s="62">
        <f>EFEITO!$N$246*EFEITO!$AA$246</f>
        <v>-1617.6168878498934</v>
      </c>
      <c r="M246" s="62">
        <f>$J$246-EFEITO!$K$246*EFEITO!$Y$246</f>
        <v>0</v>
      </c>
      <c r="N246" s="62">
        <f ca="1">$K$246-EFEITO!$M$246*EFEITO!$Z$246</f>
        <v>0</v>
      </c>
      <c r="O246" s="62">
        <f>$L$246-EFEITO!$O$246*EFEITO!$AA$246</f>
        <v>0</v>
      </c>
      <c r="P246" s="45"/>
      <c r="Q246" s="45"/>
      <c r="R246" s="45"/>
      <c r="S246" s="45"/>
      <c r="T246" s="45"/>
      <c r="U246" s="45"/>
      <c r="V246" s="45"/>
      <c r="W246" s="45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41" t="s">
        <v>28</v>
      </c>
      <c r="B247" s="41" t="s">
        <v>22</v>
      </c>
      <c r="C247" s="41" t="s">
        <v>23</v>
      </c>
      <c r="D247" s="41" t="s">
        <v>24</v>
      </c>
      <c r="E247" s="41" t="s">
        <v>24</v>
      </c>
      <c r="F247" s="41" t="s">
        <v>25</v>
      </c>
      <c r="G247" s="41" t="s">
        <v>25</v>
      </c>
      <c r="H247" s="41" t="s">
        <v>25</v>
      </c>
      <c r="I247" s="61">
        <v>44593</v>
      </c>
      <c r="J247" s="62">
        <f>EFEITO!$J$247*EFEITO!$Y$247</f>
        <v>0</v>
      </c>
      <c r="K247" s="62">
        <f ca="1">EFEITO!$L$247*EFEITO!$Z$247</f>
        <v>4818.9067447641883</v>
      </c>
      <c r="L247" s="62">
        <f>EFEITO!$N$247*EFEITO!$AA$247</f>
        <v>1608.5504292376095</v>
      </c>
      <c r="M247" s="62">
        <f>$J$247-EFEITO!$K$247*EFEITO!$Y$247</f>
        <v>0</v>
      </c>
      <c r="N247" s="62">
        <f ca="1">$K$247-EFEITO!$M$247*EFEITO!$Z$247</f>
        <v>0</v>
      </c>
      <c r="O247" s="62">
        <f>$L$247-EFEITO!$O$247*EFEITO!$AA$247</f>
        <v>0</v>
      </c>
      <c r="P247" s="45"/>
      <c r="Q247" s="45"/>
      <c r="R247" s="45"/>
      <c r="S247" s="45"/>
      <c r="T247" s="45"/>
      <c r="U247" s="45"/>
      <c r="V247" s="45"/>
      <c r="W247" s="45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41" t="s">
        <v>21</v>
      </c>
      <c r="B248" s="41" t="s">
        <v>22</v>
      </c>
      <c r="C248" s="41" t="s">
        <v>23</v>
      </c>
      <c r="D248" s="41" t="s">
        <v>24</v>
      </c>
      <c r="E248" s="41" t="s">
        <v>24</v>
      </c>
      <c r="F248" s="41" t="s">
        <v>25</v>
      </c>
      <c r="G248" s="41" t="s">
        <v>25</v>
      </c>
      <c r="H248" s="41" t="s">
        <v>25</v>
      </c>
      <c r="I248" s="61">
        <v>44621</v>
      </c>
      <c r="J248" s="62">
        <f>EFEITO!$J$248*EFEITO!$Y$248</f>
        <v>0</v>
      </c>
      <c r="K248" s="62">
        <f ca="1">EFEITO!$L$248*EFEITO!$Z$248</f>
        <v>1934294.5896053386</v>
      </c>
      <c r="L248" s="62">
        <f>EFEITO!$N$248*EFEITO!$AA$248</f>
        <v>645667.27624730347</v>
      </c>
      <c r="M248" s="62">
        <f>$J$248-EFEITO!$K$248*EFEITO!$Y$248</f>
        <v>0</v>
      </c>
      <c r="N248" s="62">
        <f ca="1">$K$248-EFEITO!$M$248*EFEITO!$Z$248</f>
        <v>0</v>
      </c>
      <c r="O248" s="62">
        <f>$L$248-EFEITO!$O$248*EFEITO!$AA$248</f>
        <v>0</v>
      </c>
      <c r="P248" s="45"/>
      <c r="Q248" s="45"/>
      <c r="R248" s="45"/>
      <c r="S248" s="45"/>
      <c r="T248" s="45"/>
      <c r="U248" s="45"/>
      <c r="V248" s="45"/>
      <c r="W248" s="45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41" t="s">
        <v>27</v>
      </c>
      <c r="B249" s="41" t="s">
        <v>22</v>
      </c>
      <c r="C249" s="41" t="s">
        <v>23</v>
      </c>
      <c r="D249" s="41" t="s">
        <v>24</v>
      </c>
      <c r="E249" s="41" t="s">
        <v>24</v>
      </c>
      <c r="F249" s="41" t="s">
        <v>25</v>
      </c>
      <c r="G249" s="41" t="s">
        <v>25</v>
      </c>
      <c r="H249" s="41" t="s">
        <v>25</v>
      </c>
      <c r="I249" s="61">
        <v>44621</v>
      </c>
      <c r="J249" s="62">
        <f>EFEITO!$J$249*EFEITO!$Y$249</f>
        <v>0</v>
      </c>
      <c r="K249" s="62">
        <f ca="1">EFEITO!$L$249*EFEITO!$Z$249</f>
        <v>-785.2727600628856</v>
      </c>
      <c r="L249" s="62">
        <f>EFEITO!$N$249*EFEITO!$AA$249</f>
        <v>-262.12394266400537</v>
      </c>
      <c r="M249" s="62">
        <f>$J$249-EFEITO!$K$249*EFEITO!$Y$249</f>
        <v>0</v>
      </c>
      <c r="N249" s="62">
        <f ca="1">$K$249-EFEITO!$M$249*EFEITO!$Z$249</f>
        <v>0</v>
      </c>
      <c r="O249" s="62">
        <f>$L$249-EFEITO!$O$249*EFEITO!$AA$249</f>
        <v>0</v>
      </c>
      <c r="P249" s="45"/>
      <c r="Q249" s="45"/>
      <c r="R249" s="45"/>
      <c r="S249" s="45"/>
      <c r="T249" s="45"/>
      <c r="U249" s="45"/>
      <c r="V249" s="45"/>
      <c r="W249" s="45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41" t="s">
        <v>28</v>
      </c>
      <c r="B250" s="41" t="s">
        <v>22</v>
      </c>
      <c r="C250" s="41" t="s">
        <v>23</v>
      </c>
      <c r="D250" s="41" t="s">
        <v>24</v>
      </c>
      <c r="E250" s="41" t="s">
        <v>24</v>
      </c>
      <c r="F250" s="41" t="s">
        <v>25</v>
      </c>
      <c r="G250" s="41" t="s">
        <v>25</v>
      </c>
      <c r="H250" s="41" t="s">
        <v>25</v>
      </c>
      <c r="I250" s="61">
        <v>44621</v>
      </c>
      <c r="J250" s="62">
        <f>EFEITO!$J$250*EFEITO!$Y$250</f>
        <v>0</v>
      </c>
      <c r="K250" s="62">
        <f ca="1">EFEITO!$L$250*EFEITO!$Z$250</f>
        <v>6274.2743425514882</v>
      </c>
      <c r="L250" s="62">
        <f>EFEITO!$N$250*EFEITO!$AA$250</f>
        <v>2094.3519394375808</v>
      </c>
      <c r="M250" s="62">
        <f>$J$250-EFEITO!$K$250*EFEITO!$Y$250</f>
        <v>0</v>
      </c>
      <c r="N250" s="62">
        <f ca="1">$K$250-EFEITO!$M$250*EFEITO!$Z$250</f>
        <v>0</v>
      </c>
      <c r="O250" s="62">
        <f>$L$250-EFEITO!$O$250*EFEITO!$AA$250</f>
        <v>0</v>
      </c>
      <c r="P250" s="45"/>
      <c r="Q250" s="45"/>
      <c r="R250" s="45"/>
      <c r="S250" s="45"/>
      <c r="T250" s="45"/>
      <c r="U250" s="45"/>
      <c r="V250" s="45"/>
      <c r="W250" s="45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41" t="s">
        <v>28</v>
      </c>
      <c r="B251" s="41" t="s">
        <v>22</v>
      </c>
      <c r="C251" s="41" t="s">
        <v>23</v>
      </c>
      <c r="D251" s="41" t="s">
        <v>24</v>
      </c>
      <c r="E251" s="41" t="s">
        <v>24</v>
      </c>
      <c r="F251" s="41" t="s">
        <v>25</v>
      </c>
      <c r="G251" s="41" t="s">
        <v>25</v>
      </c>
      <c r="H251" s="41" t="s">
        <v>25</v>
      </c>
      <c r="I251" s="61">
        <v>44621</v>
      </c>
      <c r="J251" s="62">
        <f>EFEITO!$J$251*EFEITO!$Y$251</f>
        <v>0</v>
      </c>
      <c r="K251" s="62">
        <f ca="1">EFEITO!$L$251*EFEITO!$Z$251</f>
        <v>-31.630951806385937</v>
      </c>
      <c r="L251" s="62">
        <f>EFEITO!$N$251*EFEITO!$AA$251</f>
        <v>-10.558407497849606</v>
      </c>
      <c r="M251" s="62">
        <f>$J$251-EFEITO!$K$251*EFEITO!$Y$251</f>
        <v>0</v>
      </c>
      <c r="N251" s="62">
        <f ca="1">$K$251-EFEITO!$M$251*EFEITO!$Z$251</f>
        <v>0</v>
      </c>
      <c r="O251" s="62">
        <f>$L$251-EFEITO!$O$251*EFEITO!$AA$251</f>
        <v>0</v>
      </c>
      <c r="P251" s="45"/>
      <c r="Q251" s="45"/>
      <c r="R251" s="45"/>
      <c r="S251" s="45"/>
      <c r="T251" s="45"/>
      <c r="U251" s="45"/>
      <c r="V251" s="45"/>
      <c r="W251" s="45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41" t="s">
        <v>21</v>
      </c>
      <c r="B252" s="41" t="s">
        <v>22</v>
      </c>
      <c r="C252" s="41" t="s">
        <v>23</v>
      </c>
      <c r="D252" s="41" t="s">
        <v>24</v>
      </c>
      <c r="E252" s="41" t="s">
        <v>24</v>
      </c>
      <c r="F252" s="41" t="s">
        <v>25</v>
      </c>
      <c r="G252" s="41" t="s">
        <v>25</v>
      </c>
      <c r="H252" s="41" t="s">
        <v>25</v>
      </c>
      <c r="I252" s="61">
        <v>44652</v>
      </c>
      <c r="J252" s="62">
        <f>EFEITO!$J$252*EFEITO!$Y$252</f>
        <v>0</v>
      </c>
      <c r="K252" s="62">
        <f ca="1">EFEITO!$L$252*EFEITO!$Z$252</f>
        <v>1630206.9962677122</v>
      </c>
      <c r="L252" s="62">
        <f>EFEITO!$N$252*EFEITO!$AA$252</f>
        <v>544162.87811373745</v>
      </c>
      <c r="M252" s="62">
        <f>$J$252-EFEITO!$K$252*EFEITO!$Y$252</f>
        <v>0</v>
      </c>
      <c r="N252" s="62">
        <f ca="1">$K$252-EFEITO!$M$252*EFEITO!$Z$252</f>
        <v>0</v>
      </c>
      <c r="O252" s="62">
        <f>$L$252-EFEITO!$O$252*EFEITO!$AA$252</f>
        <v>0</v>
      </c>
      <c r="P252" s="45"/>
      <c r="Q252" s="45"/>
      <c r="R252" s="45"/>
      <c r="S252" s="45"/>
      <c r="T252" s="45"/>
      <c r="U252" s="45"/>
      <c r="V252" s="45"/>
      <c r="W252" s="45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41" t="s">
        <v>27</v>
      </c>
      <c r="B253" s="41" t="s">
        <v>22</v>
      </c>
      <c r="C253" s="41" t="s">
        <v>23</v>
      </c>
      <c r="D253" s="41" t="s">
        <v>24</v>
      </c>
      <c r="E253" s="41" t="s">
        <v>24</v>
      </c>
      <c r="F253" s="41" t="s">
        <v>25</v>
      </c>
      <c r="G253" s="41" t="s">
        <v>25</v>
      </c>
      <c r="H253" s="41" t="s">
        <v>25</v>
      </c>
      <c r="I253" s="61">
        <v>44652</v>
      </c>
      <c r="J253" s="62">
        <f>EFEITO!$J$253*EFEITO!$Y$253</f>
        <v>0</v>
      </c>
      <c r="K253" s="62">
        <f ca="1">EFEITO!$L$253*EFEITO!$Z$253</f>
        <v>-159.53001780612038</v>
      </c>
      <c r="L253" s="62">
        <f>EFEITO!$N$253*EFEITO!$AA$253</f>
        <v>-53.251098684806706</v>
      </c>
      <c r="M253" s="62">
        <f>$J$253-EFEITO!$K$253*EFEITO!$Y$253</f>
        <v>0</v>
      </c>
      <c r="N253" s="62">
        <f ca="1">$K$253-EFEITO!$M$253*EFEITO!$Z$253</f>
        <v>0</v>
      </c>
      <c r="O253" s="62">
        <f>$L$253-EFEITO!$O$253*EFEITO!$AA$253</f>
        <v>0</v>
      </c>
      <c r="P253" s="45"/>
      <c r="Q253" s="45"/>
      <c r="R253" s="45"/>
      <c r="S253" s="45"/>
      <c r="T253" s="45"/>
      <c r="U253" s="45"/>
      <c r="V253" s="45"/>
      <c r="W253" s="45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41" t="s">
        <v>28</v>
      </c>
      <c r="B254" s="41" t="s">
        <v>22</v>
      </c>
      <c r="C254" s="41" t="s">
        <v>23</v>
      </c>
      <c r="D254" s="41" t="s">
        <v>24</v>
      </c>
      <c r="E254" s="41" t="s">
        <v>24</v>
      </c>
      <c r="F254" s="41" t="s">
        <v>25</v>
      </c>
      <c r="G254" s="41" t="s">
        <v>25</v>
      </c>
      <c r="H254" s="41" t="s">
        <v>25</v>
      </c>
      <c r="I254" s="61">
        <v>44652</v>
      </c>
      <c r="J254" s="62">
        <f>EFEITO!$J$254*EFEITO!$Y$254</f>
        <v>0</v>
      </c>
      <c r="K254" s="62">
        <f ca="1">EFEITO!$L$254*EFEITO!$Z$254</f>
        <v>6537.6363978090067</v>
      </c>
      <c r="L254" s="62">
        <f>EFEITO!$N$254*EFEITO!$AA$254</f>
        <v>2182.2621583870678</v>
      </c>
      <c r="M254" s="62">
        <f>$J$254-EFEITO!$K$254*EFEITO!$Y$254</f>
        <v>0</v>
      </c>
      <c r="N254" s="62">
        <f ca="1">$K$254-EFEITO!$M$254*EFEITO!$Z$254</f>
        <v>0</v>
      </c>
      <c r="O254" s="62">
        <f>$L$254-EFEITO!$O$254*EFEITO!$AA$254</f>
        <v>0</v>
      </c>
      <c r="P254" s="45"/>
      <c r="Q254" s="45"/>
      <c r="R254" s="45"/>
      <c r="S254" s="45"/>
      <c r="T254" s="45"/>
      <c r="U254" s="45"/>
      <c r="V254" s="45"/>
      <c r="W254" s="45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41" t="s">
        <v>21</v>
      </c>
      <c r="B255" s="41" t="s">
        <v>22</v>
      </c>
      <c r="C255" s="41" t="s">
        <v>23</v>
      </c>
      <c r="D255" s="41" t="s">
        <v>24</v>
      </c>
      <c r="E255" s="41" t="s">
        <v>24</v>
      </c>
      <c r="F255" s="41" t="s">
        <v>25</v>
      </c>
      <c r="G255" s="41" t="s">
        <v>25</v>
      </c>
      <c r="H255" s="41" t="s">
        <v>25</v>
      </c>
      <c r="I255" s="61">
        <v>44682</v>
      </c>
      <c r="J255" s="62">
        <f>EFEITO!$J$255*EFEITO!$Y$255</f>
        <v>0</v>
      </c>
      <c r="K255" s="62">
        <f ca="1">EFEITO!$L$255*EFEITO!$Z$255</f>
        <v>1459923.1424768076</v>
      </c>
      <c r="L255" s="62">
        <f>EFEITO!$N$255*EFEITO!$AA$255</f>
        <v>487322.15041025961</v>
      </c>
      <c r="M255" s="62">
        <f>$J$255-EFEITO!$K$255*EFEITO!$Y$255</f>
        <v>0</v>
      </c>
      <c r="N255" s="62">
        <f ca="1">$K$255-EFEITO!$M$255*EFEITO!$Z$255</f>
        <v>0</v>
      </c>
      <c r="O255" s="62">
        <f>$L$255-EFEITO!$O$255*EFEITO!$AA$255</f>
        <v>0</v>
      </c>
      <c r="P255" s="45"/>
      <c r="Q255" s="45"/>
      <c r="R255" s="45"/>
      <c r="S255" s="45"/>
      <c r="T255" s="45"/>
      <c r="U255" s="45"/>
      <c r="V255" s="45"/>
      <c r="W255" s="45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41" t="s">
        <v>27</v>
      </c>
      <c r="B256" s="41" t="s">
        <v>22</v>
      </c>
      <c r="C256" s="41" t="s">
        <v>23</v>
      </c>
      <c r="D256" s="41" t="s">
        <v>24</v>
      </c>
      <c r="E256" s="41" t="s">
        <v>24</v>
      </c>
      <c r="F256" s="41" t="s">
        <v>25</v>
      </c>
      <c r="G256" s="41" t="s">
        <v>25</v>
      </c>
      <c r="H256" s="41" t="s">
        <v>25</v>
      </c>
      <c r="I256" s="61">
        <v>44682</v>
      </c>
      <c r="J256" s="62">
        <f>EFEITO!$J$256*EFEITO!$Y$256</f>
        <v>0</v>
      </c>
      <c r="K256" s="62">
        <f ca="1">EFEITO!$L$256*EFEITO!$Z$256</f>
        <v>-40.570133838625438</v>
      </c>
      <c r="L256" s="62">
        <f>EFEITO!$N$256*EFEITO!$AA$256</f>
        <v>-13.542305268981014</v>
      </c>
      <c r="M256" s="62">
        <f>$J$256-EFEITO!$K$256*EFEITO!$Y$256</f>
        <v>0</v>
      </c>
      <c r="N256" s="62">
        <f ca="1">$K$256-EFEITO!$M$256*EFEITO!$Z$256</f>
        <v>0</v>
      </c>
      <c r="O256" s="62">
        <f>$L$256-EFEITO!$O$256*EFEITO!$AA$256</f>
        <v>0</v>
      </c>
      <c r="P256" s="45"/>
      <c r="Q256" s="45"/>
      <c r="R256" s="45"/>
      <c r="S256" s="45"/>
      <c r="T256" s="45"/>
      <c r="U256" s="45"/>
      <c r="V256" s="45"/>
      <c r="W256" s="45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41" t="s">
        <v>28</v>
      </c>
      <c r="B257" s="41" t="s">
        <v>22</v>
      </c>
      <c r="C257" s="41" t="s">
        <v>23</v>
      </c>
      <c r="D257" s="41" t="s">
        <v>24</v>
      </c>
      <c r="E257" s="41" t="s">
        <v>24</v>
      </c>
      <c r="F257" s="41" t="s">
        <v>25</v>
      </c>
      <c r="G257" s="41" t="s">
        <v>25</v>
      </c>
      <c r="H257" s="41" t="s">
        <v>25</v>
      </c>
      <c r="I257" s="61">
        <v>44682</v>
      </c>
      <c r="J257" s="62">
        <f>EFEITO!$J$257*EFEITO!$Y$257</f>
        <v>0</v>
      </c>
      <c r="K257" s="62">
        <f ca="1">EFEITO!$L$257*EFEITO!$Z$257</f>
        <v>8410.7388482567312</v>
      </c>
      <c r="L257" s="62">
        <f>EFEITO!$N$257*EFEITO!$AA$257</f>
        <v>2807.5035067379881</v>
      </c>
      <c r="M257" s="62">
        <f>$J$257-EFEITO!$K$257*EFEITO!$Y$257</f>
        <v>0</v>
      </c>
      <c r="N257" s="62">
        <f ca="1">$K$257-EFEITO!$M$257*EFEITO!$Z$257</f>
        <v>0</v>
      </c>
      <c r="O257" s="62">
        <f>$L$257-EFEITO!$O$257*EFEITO!$AA$257</f>
        <v>0</v>
      </c>
      <c r="P257" s="45"/>
      <c r="Q257" s="45"/>
      <c r="R257" s="45"/>
      <c r="S257" s="45"/>
      <c r="T257" s="45"/>
      <c r="U257" s="45"/>
      <c r="V257" s="45"/>
      <c r="W257" s="45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41" t="s">
        <v>21</v>
      </c>
      <c r="B258" s="41" t="s">
        <v>22</v>
      </c>
      <c r="C258" s="41" t="s">
        <v>23</v>
      </c>
      <c r="D258" s="41" t="s">
        <v>24</v>
      </c>
      <c r="E258" s="41" t="s">
        <v>24</v>
      </c>
      <c r="F258" s="41" t="s">
        <v>25</v>
      </c>
      <c r="G258" s="41" t="s">
        <v>25</v>
      </c>
      <c r="H258" s="41" t="s">
        <v>25</v>
      </c>
      <c r="I258" s="61">
        <v>44713</v>
      </c>
      <c r="J258" s="62">
        <f>EFEITO!$J$258*EFEITO!$Y$258</f>
        <v>0</v>
      </c>
      <c r="K258" s="62">
        <f ca="1">EFEITO!$L$258*EFEITO!$Z$258</f>
        <v>1553651.1537142259</v>
      </c>
      <c r="L258" s="62">
        <f>EFEITO!$N$258*EFEITO!$AA$258</f>
        <v>518608.54807117028</v>
      </c>
      <c r="M258" s="62">
        <f>$J$258-EFEITO!$K$258*EFEITO!$Y$258</f>
        <v>0</v>
      </c>
      <c r="N258" s="62">
        <f ca="1">$K$258-EFEITO!$M$258*EFEITO!$Z$258</f>
        <v>0</v>
      </c>
      <c r="O258" s="62">
        <f>$L$258-EFEITO!$O$258*EFEITO!$AA$258</f>
        <v>0</v>
      </c>
      <c r="P258" s="45"/>
      <c r="Q258" s="45"/>
      <c r="R258" s="45"/>
      <c r="S258" s="45"/>
      <c r="T258" s="45"/>
      <c r="U258" s="45"/>
      <c r="V258" s="45"/>
      <c r="W258" s="45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41" t="s">
        <v>28</v>
      </c>
      <c r="B259" s="41" t="s">
        <v>22</v>
      </c>
      <c r="C259" s="41" t="s">
        <v>23</v>
      </c>
      <c r="D259" s="41" t="s">
        <v>24</v>
      </c>
      <c r="E259" s="41" t="s">
        <v>24</v>
      </c>
      <c r="F259" s="41" t="s">
        <v>25</v>
      </c>
      <c r="G259" s="41" t="s">
        <v>25</v>
      </c>
      <c r="H259" s="41" t="s">
        <v>25</v>
      </c>
      <c r="I259" s="61">
        <v>44713</v>
      </c>
      <c r="J259" s="62">
        <f>EFEITO!$J$259*EFEITO!$Y$259</f>
        <v>0</v>
      </c>
      <c r="K259" s="62">
        <f ca="1">EFEITO!$L$259*EFEITO!$Z$259</f>
        <v>13589.963391858881</v>
      </c>
      <c r="L259" s="62">
        <f>EFEITO!$N$259*EFEITO!$AA$259</f>
        <v>4536.3279692119713</v>
      </c>
      <c r="M259" s="62">
        <f>$J$259-EFEITO!$K$259*EFEITO!$Y$259</f>
        <v>0</v>
      </c>
      <c r="N259" s="62">
        <f ca="1">$K$259-EFEITO!$M$259*EFEITO!$Z$259</f>
        <v>0</v>
      </c>
      <c r="O259" s="62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41" t="s">
        <v>21</v>
      </c>
      <c r="B260" s="41" t="s">
        <v>22</v>
      </c>
      <c r="C260" s="41" t="s">
        <v>23</v>
      </c>
      <c r="D260" s="41" t="s">
        <v>24</v>
      </c>
      <c r="E260" s="41" t="s">
        <v>24</v>
      </c>
      <c r="F260" s="41" t="s">
        <v>25</v>
      </c>
      <c r="G260" s="41" t="s">
        <v>25</v>
      </c>
      <c r="H260" s="41" t="s">
        <v>25</v>
      </c>
      <c r="I260" s="61">
        <v>44743</v>
      </c>
      <c r="J260" s="62">
        <f>EFEITO!$J$260*EFEITO!$Y$260</f>
        <v>0</v>
      </c>
      <c r="K260" s="62">
        <f ca="1">EFEITO!$L$260*EFEITO!$Z$260</f>
        <v>1582697.9942839073</v>
      </c>
      <c r="L260" s="62">
        <f>EFEITO!$N$260*EFEITO!$AA$260</f>
        <v>528304.37958256504</v>
      </c>
      <c r="M260" s="62">
        <f>$J$260-EFEITO!$K$260*EFEITO!$Y$260</f>
        <v>0</v>
      </c>
      <c r="N260" s="62">
        <f ca="1">$K$260-EFEITO!$M$260*EFEITO!$Z$260</f>
        <v>0</v>
      </c>
      <c r="O260" s="62">
        <f>$L$260-EFEITO!$O$260*EFEITO!$AA$260</f>
        <v>0</v>
      </c>
      <c r="P260" s="45"/>
      <c r="Q260" s="45"/>
      <c r="R260" s="45"/>
      <c r="S260" s="45"/>
      <c r="T260" s="45"/>
      <c r="U260" s="45"/>
      <c r="V260" s="45"/>
      <c r="W260" s="45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41" t="s">
        <v>27</v>
      </c>
      <c r="B261" s="41" t="s">
        <v>22</v>
      </c>
      <c r="C261" s="41" t="s">
        <v>23</v>
      </c>
      <c r="D261" s="41" t="s">
        <v>24</v>
      </c>
      <c r="E261" s="41" t="s">
        <v>24</v>
      </c>
      <c r="F261" s="41" t="s">
        <v>25</v>
      </c>
      <c r="G261" s="41" t="s">
        <v>25</v>
      </c>
      <c r="H261" s="41" t="s">
        <v>25</v>
      </c>
      <c r="I261" s="61">
        <v>44743</v>
      </c>
      <c r="J261" s="62">
        <f>EFEITO!$J$261*EFEITO!$Y$261</f>
        <v>0</v>
      </c>
      <c r="K261" s="62">
        <f ca="1">EFEITO!$L$261*EFEITO!$Z$261</f>
        <v>-126.17999253199608</v>
      </c>
      <c r="L261" s="62">
        <f>EFEITO!$N$261*EFEITO!$AA$261</f>
        <v>-42.118864692508751</v>
      </c>
      <c r="M261" s="62">
        <f>$J$261-EFEITO!$K$261*EFEITO!$Y$261</f>
        <v>0</v>
      </c>
      <c r="N261" s="62">
        <f ca="1">$K$261-EFEITO!$M$261*EFEITO!$Z$261</f>
        <v>0</v>
      </c>
      <c r="O261" s="62">
        <f>$L$261-EFEITO!$O$261*EFEITO!$AA$261</f>
        <v>0</v>
      </c>
      <c r="P261" s="45"/>
      <c r="Q261" s="45"/>
      <c r="R261" s="45"/>
      <c r="S261" s="45"/>
      <c r="T261" s="45"/>
      <c r="U261" s="45"/>
      <c r="V261" s="45"/>
      <c r="W261" s="45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41" t="s">
        <v>28</v>
      </c>
      <c r="B262" s="41" t="s">
        <v>22</v>
      </c>
      <c r="C262" s="41" t="s">
        <v>23</v>
      </c>
      <c r="D262" s="41" t="s">
        <v>24</v>
      </c>
      <c r="E262" s="41" t="s">
        <v>24</v>
      </c>
      <c r="F262" s="41" t="s">
        <v>25</v>
      </c>
      <c r="G262" s="41" t="s">
        <v>25</v>
      </c>
      <c r="H262" s="41" t="s">
        <v>25</v>
      </c>
      <c r="I262" s="61">
        <v>44743</v>
      </c>
      <c r="J262" s="62">
        <f>EFEITO!$J$262*EFEITO!$Y$262</f>
        <v>0</v>
      </c>
      <c r="K262" s="62">
        <f ca="1">EFEITO!$L$262*EFEITO!$Z$262</f>
        <v>13666.634068520012</v>
      </c>
      <c r="L262" s="62">
        <f>EFEITO!$N$262*EFEITO!$AA$262</f>
        <v>4561.9206308643679</v>
      </c>
      <c r="M262" s="62">
        <f>$J$262-EFEITO!$K$262*EFEITO!$Y$262</f>
        <v>0</v>
      </c>
      <c r="N262" s="62">
        <f ca="1">$K$262-EFEITO!$M$262*EFEITO!$Z$262</f>
        <v>0</v>
      </c>
      <c r="O262" s="62">
        <f>$L$262-EFEITO!$O$262*EFEITO!$AA$262</f>
        <v>0</v>
      </c>
      <c r="P262" s="45"/>
      <c r="Q262" s="45"/>
      <c r="R262" s="45"/>
      <c r="S262" s="45"/>
      <c r="T262" s="45"/>
      <c r="U262" s="45"/>
      <c r="V262" s="45"/>
      <c r="W262" s="45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41" t="s">
        <v>57</v>
      </c>
      <c r="B263" s="41" t="s">
        <v>22</v>
      </c>
      <c r="C263" s="41" t="s">
        <v>23</v>
      </c>
      <c r="D263" s="41" t="s">
        <v>24</v>
      </c>
      <c r="E263" s="41" t="s">
        <v>24</v>
      </c>
      <c r="F263" s="41" t="s">
        <v>25</v>
      </c>
      <c r="G263" s="41" t="s">
        <v>25</v>
      </c>
      <c r="H263" s="41" t="s">
        <v>25</v>
      </c>
      <c r="I263" s="61">
        <v>44774</v>
      </c>
      <c r="J263" s="62">
        <f>EFEITO!$J$263*EFEITO!$Y$263</f>
        <v>0</v>
      </c>
      <c r="K263" s="62">
        <f ca="1">EFEITO!$L$263*EFEITO!$Z$263</f>
        <v>1582697.9942839073</v>
      </c>
      <c r="L263" s="62">
        <f>EFEITO!$N$263*EFEITO!$AA$263</f>
        <v>528304.37958256504</v>
      </c>
      <c r="M263" s="62">
        <f>$J$263-EFEITO!$K$263*EFEITO!$Y$263</f>
        <v>0</v>
      </c>
      <c r="N263" s="62">
        <f ca="1">$K$263-EFEITO!$M$263*EFEITO!$Z$263</f>
        <v>0</v>
      </c>
      <c r="O263" s="62">
        <f>$L$263-EFEITO!$O$263*EFEITO!$AA$263</f>
        <v>0</v>
      </c>
      <c r="P263" s="45"/>
      <c r="Q263" s="45"/>
      <c r="R263" s="45"/>
      <c r="S263" s="45"/>
      <c r="T263" s="45"/>
      <c r="U263" s="45"/>
      <c r="V263" s="45"/>
      <c r="W263" s="45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41" t="s">
        <v>57</v>
      </c>
      <c r="B264" s="41" t="s">
        <v>22</v>
      </c>
      <c r="C264" s="41" t="s">
        <v>23</v>
      </c>
      <c r="D264" s="41" t="s">
        <v>24</v>
      </c>
      <c r="E264" s="41" t="s">
        <v>24</v>
      </c>
      <c r="F264" s="41" t="s">
        <v>25</v>
      </c>
      <c r="G264" s="41" t="s">
        <v>25</v>
      </c>
      <c r="H264" s="41" t="s">
        <v>25</v>
      </c>
      <c r="I264" s="61">
        <v>44774</v>
      </c>
      <c r="J264" s="62">
        <f>EFEITO!$J$264*EFEITO!$Y$264</f>
        <v>0</v>
      </c>
      <c r="K264" s="62">
        <f ca="1">EFEITO!$L$264*EFEITO!$Z$264</f>
        <v>-126.17999253199608</v>
      </c>
      <c r="L264" s="62">
        <f>EFEITO!$N$264*EFEITO!$AA$264</f>
        <v>-42.118864692508751</v>
      </c>
      <c r="M264" s="62">
        <f>$J$264-EFEITO!$K$264*EFEITO!$Y$264</f>
        <v>0</v>
      </c>
      <c r="N264" s="62">
        <f ca="1">$K$264-EFEITO!$M$264*EFEITO!$Z$264</f>
        <v>0</v>
      </c>
      <c r="O264" s="62">
        <f>$L$264-EFEITO!$O$264*EFEITO!$AA$264</f>
        <v>0</v>
      </c>
      <c r="P264" s="45"/>
      <c r="Q264" s="45"/>
      <c r="R264" s="45"/>
      <c r="S264" s="45"/>
      <c r="T264" s="45"/>
      <c r="U264" s="45"/>
      <c r="V264" s="45"/>
      <c r="W264" s="45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41" t="s">
        <v>57</v>
      </c>
      <c r="B265" s="41" t="s">
        <v>22</v>
      </c>
      <c r="C265" s="41" t="s">
        <v>23</v>
      </c>
      <c r="D265" s="41" t="s">
        <v>24</v>
      </c>
      <c r="E265" s="41" t="s">
        <v>24</v>
      </c>
      <c r="F265" s="41" t="s">
        <v>25</v>
      </c>
      <c r="G265" s="41" t="s">
        <v>25</v>
      </c>
      <c r="H265" s="41" t="s">
        <v>25</v>
      </c>
      <c r="I265" s="61">
        <v>44774</v>
      </c>
      <c r="J265" s="62">
        <f>EFEITO!$J$265*EFEITO!$Y$265</f>
        <v>0</v>
      </c>
      <c r="K265" s="62">
        <f ca="1">EFEITO!$L$265*EFEITO!$Z$265</f>
        <v>13666.634068520012</v>
      </c>
      <c r="L265" s="62">
        <f>EFEITO!$N$265*EFEITO!$AA$265</f>
        <v>4561.9206308643679</v>
      </c>
      <c r="M265" s="62">
        <f>$J$265-EFEITO!$K$265*EFEITO!$Y$265</f>
        <v>0</v>
      </c>
      <c r="N265" s="62">
        <f ca="1">$K$265-EFEITO!$M$265*EFEITO!$Z$265</f>
        <v>0</v>
      </c>
      <c r="O265" s="62">
        <f>$L$265-EFEITO!$O$265*EFEITO!$AA$265</f>
        <v>0</v>
      </c>
      <c r="P265" s="45"/>
      <c r="Q265" s="45"/>
      <c r="R265" s="45"/>
      <c r="S265" s="45"/>
      <c r="T265" s="45"/>
      <c r="U265" s="45"/>
      <c r="V265" s="45"/>
      <c r="W265" s="45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41" t="s">
        <v>21</v>
      </c>
      <c r="B266" s="41" t="s">
        <v>22</v>
      </c>
      <c r="C266" s="41" t="s">
        <v>23</v>
      </c>
      <c r="D266" s="41" t="s">
        <v>24</v>
      </c>
      <c r="E266" s="41" t="s">
        <v>29</v>
      </c>
      <c r="F266" s="41" t="s">
        <v>25</v>
      </c>
      <c r="G266" s="41" t="s">
        <v>25</v>
      </c>
      <c r="H266" s="41" t="s">
        <v>25</v>
      </c>
      <c r="I266" s="61">
        <v>44440</v>
      </c>
      <c r="J266" s="62">
        <f>EFEITO!$J$266*EFEITO!$Y$230</f>
        <v>0</v>
      </c>
      <c r="K266" s="62">
        <f ca="1">EFEITO!$L$266*EFEITO!$Z$303</f>
        <v>2623.4428086779681</v>
      </c>
      <c r="L266" s="62">
        <f>EFEITO!$N$266*EFEITO!$AA$303</f>
        <v>1449.4857249765275</v>
      </c>
      <c r="M266" s="62">
        <f>$J$266-EFEITO!$K$266*EFEITO!$Y$266</f>
        <v>0</v>
      </c>
      <c r="N266" s="62">
        <f ca="1">$K$266-EFEITO!$M$266*EFEITO!$Z$266</f>
        <v>1705.2378256406794</v>
      </c>
      <c r="O266" s="62">
        <f>$L$266-EFEITO!$O$266*EFEITO!$AA$266</f>
        <v>942.16572123474293</v>
      </c>
      <c r="P266" s="45"/>
      <c r="Q266" s="45"/>
      <c r="R266" s="45"/>
      <c r="S266" s="45"/>
      <c r="T266" s="45"/>
      <c r="U266" s="45"/>
      <c r="V266" s="45"/>
      <c r="W266" s="45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41" t="s">
        <v>21</v>
      </c>
      <c r="B267" s="41" t="s">
        <v>22</v>
      </c>
      <c r="C267" s="41" t="s">
        <v>23</v>
      </c>
      <c r="D267" s="41" t="s">
        <v>24</v>
      </c>
      <c r="E267" s="41" t="s">
        <v>29</v>
      </c>
      <c r="F267" s="41" t="s">
        <v>25</v>
      </c>
      <c r="G267" s="41" t="s">
        <v>25</v>
      </c>
      <c r="H267" s="41" t="s">
        <v>25</v>
      </c>
      <c r="I267" s="61">
        <v>44470</v>
      </c>
      <c r="J267" s="62">
        <f>EFEITO!$J$267*EFEITO!$Y$230</f>
        <v>0</v>
      </c>
      <c r="K267" s="62">
        <f ca="1">EFEITO!$L$267*EFEITO!$Z$303</f>
        <v>2679.5259091010121</v>
      </c>
      <c r="L267" s="62">
        <f>EFEITO!$N$267*EFEITO!$AA$303</f>
        <v>1480.4723556767383</v>
      </c>
      <c r="M267" s="62">
        <f>$J$267-EFEITO!$K$267*EFEITO!$Y$267</f>
        <v>0</v>
      </c>
      <c r="N267" s="62">
        <f ca="1">$K$267-EFEITO!$M$267*EFEITO!$Z$267</f>
        <v>1741.6918409156578</v>
      </c>
      <c r="O267" s="62">
        <f>$L$267-EFEITO!$O$267*EFEITO!$AA$267</f>
        <v>962.30703118988004</v>
      </c>
      <c r="P267" s="45"/>
      <c r="Q267" s="45"/>
      <c r="R267" s="45"/>
      <c r="S267" s="45"/>
      <c r="T267" s="45"/>
      <c r="U267" s="45"/>
      <c r="V267" s="45"/>
      <c r="W267" s="45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41" t="s">
        <v>21</v>
      </c>
      <c r="B268" s="41" t="s">
        <v>22</v>
      </c>
      <c r="C268" s="41" t="s">
        <v>23</v>
      </c>
      <c r="D268" s="41" t="s">
        <v>24</v>
      </c>
      <c r="E268" s="41" t="s">
        <v>29</v>
      </c>
      <c r="F268" s="41" t="s">
        <v>25</v>
      </c>
      <c r="G268" s="41" t="s">
        <v>25</v>
      </c>
      <c r="H268" s="41" t="s">
        <v>25</v>
      </c>
      <c r="I268" s="61">
        <v>44501</v>
      </c>
      <c r="J268" s="62">
        <f>EFEITO!$J$268*EFEITO!$Y$230</f>
        <v>0</v>
      </c>
      <c r="K268" s="62">
        <f ca="1">EFEITO!$L$268*EFEITO!$Z$303</f>
        <v>2730.4161298552563</v>
      </c>
      <c r="L268" s="62">
        <f>EFEITO!$N$268*EFEITO!$AA$303</f>
        <v>1508.5898539047071</v>
      </c>
      <c r="M268" s="62">
        <f>$J$268-EFEITO!$K$268*EFEITO!$Y$268</f>
        <v>0</v>
      </c>
      <c r="N268" s="62">
        <f ca="1">$K$268-EFEITO!$M$268*EFEITO!$Z$268</f>
        <v>1774.7704844059167</v>
      </c>
      <c r="O268" s="62">
        <f>$L$268-EFEITO!$O$268*EFEITO!$AA$268</f>
        <v>980.5834050380596</v>
      </c>
      <c r="P268" s="45"/>
      <c r="Q268" s="45"/>
      <c r="R268" s="45"/>
      <c r="S268" s="45"/>
      <c r="T268" s="45"/>
      <c r="U268" s="45"/>
      <c r="V268" s="45"/>
      <c r="W268" s="45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41" t="s">
        <v>21</v>
      </c>
      <c r="B269" s="41" t="s">
        <v>22</v>
      </c>
      <c r="C269" s="41" t="s">
        <v>23</v>
      </c>
      <c r="D269" s="41" t="s">
        <v>24</v>
      </c>
      <c r="E269" s="41" t="s">
        <v>29</v>
      </c>
      <c r="F269" s="41" t="s">
        <v>25</v>
      </c>
      <c r="G269" s="41" t="s">
        <v>25</v>
      </c>
      <c r="H269" s="41" t="s">
        <v>25</v>
      </c>
      <c r="I269" s="61">
        <v>44531</v>
      </c>
      <c r="J269" s="62">
        <f>EFEITO!$J$269*EFEITO!$Y$230</f>
        <v>0</v>
      </c>
      <c r="K269" s="62">
        <f ca="1">EFEITO!$L$269*EFEITO!$Z$303</f>
        <v>2791.692109947101</v>
      </c>
      <c r="L269" s="62">
        <f>EFEITO!$N$269*EFEITO!$AA$303</f>
        <v>1542.4456170771596</v>
      </c>
      <c r="M269" s="62">
        <f>$J$269-EFEITO!$K$269*EFEITO!$Y$269</f>
        <v>0</v>
      </c>
      <c r="N269" s="62">
        <f ca="1">$K$269-EFEITO!$M$269*EFEITO!$Z$269</f>
        <v>1814.5998714656157</v>
      </c>
      <c r="O269" s="62">
        <f>$L$269-EFEITO!$O$269*EFEITO!$AA$269</f>
        <v>1002.5896511001538</v>
      </c>
      <c r="P269" s="45"/>
      <c r="Q269" s="45"/>
      <c r="R269" s="45"/>
      <c r="S269" s="45"/>
      <c r="T269" s="45"/>
      <c r="U269" s="45"/>
      <c r="V269" s="45"/>
      <c r="W269" s="45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41" t="s">
        <v>21</v>
      </c>
      <c r="B270" s="41" t="s">
        <v>22</v>
      </c>
      <c r="C270" s="41" t="s">
        <v>23</v>
      </c>
      <c r="D270" s="41" t="s">
        <v>24</v>
      </c>
      <c r="E270" s="41" t="s">
        <v>29</v>
      </c>
      <c r="F270" s="41" t="s">
        <v>25</v>
      </c>
      <c r="G270" s="41" t="s">
        <v>25</v>
      </c>
      <c r="H270" s="41" t="s">
        <v>25</v>
      </c>
      <c r="I270" s="61">
        <v>44562</v>
      </c>
      <c r="J270" s="62">
        <f>EFEITO!$J$270*EFEITO!$Y$230</f>
        <v>0</v>
      </c>
      <c r="K270" s="62">
        <f ca="1">EFEITO!$L$270*EFEITO!$Z$303</f>
        <v>2810.3864767547825</v>
      </c>
      <c r="L270" s="62">
        <f>EFEITO!$N$270*EFEITO!$AA$303</f>
        <v>1552.7744939772299</v>
      </c>
      <c r="M270" s="62">
        <f>$J$270-EFEITO!$K$270*EFEITO!$Y$270</f>
        <v>0</v>
      </c>
      <c r="N270" s="62">
        <f ca="1">$K$270-EFEITO!$M$270*EFEITO!$Z$270</f>
        <v>1826.7512098906088</v>
      </c>
      <c r="O270" s="62">
        <f>$L$270-EFEITO!$O$270*EFEITO!$AA$270</f>
        <v>1009.3034210851995</v>
      </c>
      <c r="P270" s="45"/>
      <c r="Q270" s="45"/>
      <c r="R270" s="45"/>
      <c r="S270" s="45"/>
      <c r="T270" s="45"/>
      <c r="U270" s="45"/>
      <c r="V270" s="45"/>
      <c r="W270" s="45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41" t="s">
        <v>21</v>
      </c>
      <c r="B271" s="41" t="s">
        <v>22</v>
      </c>
      <c r="C271" s="41" t="s">
        <v>23</v>
      </c>
      <c r="D271" s="41" t="s">
        <v>24</v>
      </c>
      <c r="E271" s="41" t="s">
        <v>29</v>
      </c>
      <c r="F271" s="41" t="s">
        <v>25</v>
      </c>
      <c r="G271" s="41" t="s">
        <v>25</v>
      </c>
      <c r="H271" s="41" t="s">
        <v>25</v>
      </c>
      <c r="I271" s="61">
        <v>44593</v>
      </c>
      <c r="J271" s="62">
        <f>EFEITO!$J$271*EFEITO!$Y$230</f>
        <v>0</v>
      </c>
      <c r="K271" s="62">
        <f ca="1">EFEITO!$L$271*EFEITO!$Z$303</f>
        <v>3109.4963456776863</v>
      </c>
      <c r="L271" s="62">
        <f>EFEITO!$N$271*EFEITO!$AA$303</f>
        <v>1718.0365243783542</v>
      </c>
      <c r="M271" s="62">
        <f>$J$271-EFEITO!$K$271*EFEITO!$Y$271</f>
        <v>0</v>
      </c>
      <c r="N271" s="62">
        <f ca="1">$K$271-EFEITO!$M$271*EFEITO!$Z$271</f>
        <v>2021.1726246904964</v>
      </c>
      <c r="O271" s="62">
        <f>$L$271-EFEITO!$O$271*EFEITO!$AA$271</f>
        <v>1116.7237408459303</v>
      </c>
      <c r="P271" s="45"/>
      <c r="Q271" s="45"/>
      <c r="R271" s="45"/>
      <c r="S271" s="45"/>
      <c r="T271" s="45"/>
      <c r="U271" s="45"/>
      <c r="V271" s="45"/>
      <c r="W271" s="45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41" t="s">
        <v>21</v>
      </c>
      <c r="B272" s="41" t="s">
        <v>22</v>
      </c>
      <c r="C272" s="41" t="s">
        <v>23</v>
      </c>
      <c r="D272" s="41" t="s">
        <v>24</v>
      </c>
      <c r="E272" s="41" t="s">
        <v>29</v>
      </c>
      <c r="F272" s="41" t="s">
        <v>25</v>
      </c>
      <c r="G272" s="41" t="s">
        <v>25</v>
      </c>
      <c r="H272" s="41" t="s">
        <v>25</v>
      </c>
      <c r="I272" s="61">
        <v>44621</v>
      </c>
      <c r="J272" s="62">
        <f>EFEITO!$J$272*EFEITO!$Y$230</f>
        <v>0</v>
      </c>
      <c r="K272" s="62">
        <f ca="1">EFEITO!$L$272*EFEITO!$Z$303</f>
        <v>4037.9832304592001</v>
      </c>
      <c r="L272" s="62">
        <f>EFEITO!$N$272*EFEITO!$AA$303</f>
        <v>2231.0374104151774</v>
      </c>
      <c r="M272" s="62">
        <f>$J$272-EFEITO!$K$272*EFEITO!$Y$272</f>
        <v>0</v>
      </c>
      <c r="N272" s="62">
        <f ca="1">$K$272-EFEITO!$M$272*EFEITO!$Z$272</f>
        <v>2624.6890997984801</v>
      </c>
      <c r="O272" s="62">
        <f>$L$272-EFEITO!$O$272*EFEITO!$AA$272</f>
        <v>1450.1743167698653</v>
      </c>
      <c r="P272" s="45"/>
      <c r="Q272" s="45"/>
      <c r="R272" s="45"/>
      <c r="S272" s="45"/>
      <c r="T272" s="45"/>
      <c r="U272" s="45"/>
      <c r="V272" s="45"/>
      <c r="W272" s="45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41" t="s">
        <v>21</v>
      </c>
      <c r="B273" s="41" t="s">
        <v>22</v>
      </c>
      <c r="C273" s="41" t="s">
        <v>23</v>
      </c>
      <c r="D273" s="41" t="s">
        <v>24</v>
      </c>
      <c r="E273" s="41" t="s">
        <v>29</v>
      </c>
      <c r="F273" s="41" t="s">
        <v>25</v>
      </c>
      <c r="G273" s="41" t="s">
        <v>25</v>
      </c>
      <c r="H273" s="41" t="s">
        <v>25</v>
      </c>
      <c r="I273" s="61">
        <v>44652</v>
      </c>
      <c r="J273" s="62">
        <f>EFEITO!$J$273*EFEITO!$Y$230</f>
        <v>0</v>
      </c>
      <c r="K273" s="62">
        <f ca="1">EFEITO!$L$273*EFEITO!$Z$303</f>
        <v>4567.6569566768412</v>
      </c>
      <c r="L273" s="62">
        <f>EFEITO!$N$273*EFEITO!$AA$303</f>
        <v>2523.6889225838349</v>
      </c>
      <c r="M273" s="62">
        <f>$J$273-EFEITO!$K$273*EFEITO!$Y$273</f>
        <v>0</v>
      </c>
      <c r="N273" s="62">
        <f ca="1">$K$273-EFEITO!$M$273*EFEITO!$Z$273</f>
        <v>2968.9770218399472</v>
      </c>
      <c r="O273" s="62">
        <f>$L$273-EFEITO!$O$273*EFEITO!$AA$273</f>
        <v>1640.3977996794929</v>
      </c>
      <c r="P273" s="45"/>
      <c r="Q273" s="45"/>
      <c r="R273" s="45"/>
      <c r="S273" s="45"/>
      <c r="T273" s="45"/>
      <c r="U273" s="45"/>
      <c r="V273" s="45"/>
      <c r="W273" s="45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41" t="s">
        <v>21</v>
      </c>
      <c r="B274" s="41" t="s">
        <v>22</v>
      </c>
      <c r="C274" s="41" t="s">
        <v>23</v>
      </c>
      <c r="D274" s="41" t="s">
        <v>24</v>
      </c>
      <c r="E274" s="41" t="s">
        <v>29</v>
      </c>
      <c r="F274" s="41" t="s">
        <v>25</v>
      </c>
      <c r="G274" s="41" t="s">
        <v>25</v>
      </c>
      <c r="H274" s="41" t="s">
        <v>25</v>
      </c>
      <c r="I274" s="61">
        <v>44682</v>
      </c>
      <c r="J274" s="62">
        <f>EFEITO!$J$274*EFEITO!$Y$230</f>
        <v>0</v>
      </c>
      <c r="K274" s="62">
        <f ca="1">EFEITO!$L$274*EFEITO!$Z$303</f>
        <v>4729.6748023434147</v>
      </c>
      <c r="L274" s="62">
        <f>EFEITO!$N$274*EFEITO!$AA$303</f>
        <v>2613.2058557177775</v>
      </c>
      <c r="M274" s="62">
        <f>$J$274-EFEITO!$K$274*EFEITO!$Y$274</f>
        <v>0</v>
      </c>
      <c r="N274" s="62">
        <f ca="1">$K$274-EFEITO!$M$274*EFEITO!$Z$274</f>
        <v>3074.2886215232202</v>
      </c>
      <c r="O274" s="62">
        <f>$L$274-EFEITO!$O$274*EFEITO!$AA$274</f>
        <v>1698.5838062165556</v>
      </c>
      <c r="P274" s="45"/>
      <c r="Q274" s="45"/>
      <c r="R274" s="45"/>
      <c r="S274" s="45"/>
      <c r="T274" s="45"/>
      <c r="U274" s="45"/>
      <c r="V274" s="45"/>
      <c r="W274" s="45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41" t="s">
        <v>21</v>
      </c>
      <c r="B275" s="41" t="s">
        <v>22</v>
      </c>
      <c r="C275" s="41" t="s">
        <v>23</v>
      </c>
      <c r="D275" s="41" t="s">
        <v>24</v>
      </c>
      <c r="E275" s="41" t="s">
        <v>29</v>
      </c>
      <c r="F275" s="41" t="s">
        <v>25</v>
      </c>
      <c r="G275" s="41" t="s">
        <v>25</v>
      </c>
      <c r="H275" s="41" t="s">
        <v>25</v>
      </c>
      <c r="I275" s="61">
        <v>44713</v>
      </c>
      <c r="J275" s="62">
        <f>EFEITO!$J$275*EFEITO!$Y$230</f>
        <v>0</v>
      </c>
      <c r="K275" s="62">
        <f ca="1">EFEITO!$L$275*EFEITO!$Z$303</f>
        <v>4661.1287907152491</v>
      </c>
      <c r="L275" s="62">
        <f>EFEITO!$N$275*EFEITO!$AA$303</f>
        <v>2575.3333070841863</v>
      </c>
      <c r="M275" s="62">
        <f>$J$275-EFEITO!$K$275*EFEITO!$Y$275</f>
        <v>0</v>
      </c>
      <c r="N275" s="62">
        <f ca="1">$K$275-EFEITO!$M$275*EFEITO!$Z$275</f>
        <v>3029.7337139649121</v>
      </c>
      <c r="O275" s="62">
        <f>$L$275-EFEITO!$O$275*EFEITO!$AA$275</f>
        <v>1673.9666496047212</v>
      </c>
      <c r="P275" s="45"/>
      <c r="Q275" s="45"/>
      <c r="R275" s="45"/>
      <c r="S275" s="45"/>
      <c r="T275" s="45"/>
      <c r="U275" s="45"/>
      <c r="V275" s="45"/>
      <c r="W275" s="45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41" t="s">
        <v>21</v>
      </c>
      <c r="B276" s="41" t="s">
        <v>22</v>
      </c>
      <c r="C276" s="41" t="s">
        <v>23</v>
      </c>
      <c r="D276" s="41" t="s">
        <v>24</v>
      </c>
      <c r="E276" s="41" t="s">
        <v>29</v>
      </c>
      <c r="F276" s="41" t="s">
        <v>25</v>
      </c>
      <c r="G276" s="41" t="s">
        <v>25</v>
      </c>
      <c r="H276" s="41" t="s">
        <v>25</v>
      </c>
      <c r="I276" s="61">
        <v>44743</v>
      </c>
      <c r="J276" s="62">
        <f>EFEITO!$J$276*EFEITO!$Y$230</f>
        <v>0</v>
      </c>
      <c r="K276" s="62">
        <f ca="1">EFEITO!$L$276*EFEITO!$Z$303</f>
        <v>4380.7132886000272</v>
      </c>
      <c r="L276" s="62">
        <f>EFEITO!$N$276*EFEITO!$AA$303</f>
        <v>2420.4001535831321</v>
      </c>
      <c r="M276" s="62">
        <f>$J$276-EFEITO!$K$276*EFEITO!$Y$276</f>
        <v>0</v>
      </c>
      <c r="N276" s="62">
        <f ca="1">$K$276-EFEITO!$M$276*EFEITO!$Z$276</f>
        <v>2847.4636375900182</v>
      </c>
      <c r="O276" s="62">
        <f>$L$276-EFEITO!$O$276*EFEITO!$AA$276</f>
        <v>1573.2600998290359</v>
      </c>
      <c r="P276" s="45"/>
      <c r="Q276" s="45"/>
      <c r="R276" s="45"/>
      <c r="S276" s="45"/>
      <c r="T276" s="45"/>
      <c r="U276" s="45"/>
      <c r="V276" s="45"/>
      <c r="W276" s="45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41" t="s">
        <v>57</v>
      </c>
      <c r="B277" s="41" t="s">
        <v>22</v>
      </c>
      <c r="C277" s="41" t="s">
        <v>23</v>
      </c>
      <c r="D277" s="41" t="s">
        <v>24</v>
      </c>
      <c r="E277" s="41" t="s">
        <v>29</v>
      </c>
      <c r="F277" s="41" t="s">
        <v>25</v>
      </c>
      <c r="G277" s="41" t="s">
        <v>25</v>
      </c>
      <c r="H277" s="41" t="s">
        <v>25</v>
      </c>
      <c r="I277" s="61">
        <v>44774</v>
      </c>
      <c r="J277" s="62">
        <f>EFEITO!$J$277*EFEITO!$Y$230</f>
        <v>0</v>
      </c>
      <c r="K277" s="62">
        <f ca="1">EFEITO!$L$277*EFEITO!$Z$303</f>
        <v>4380.7132886000272</v>
      </c>
      <c r="L277" s="62">
        <f>EFEITO!$N$277*EFEITO!$AA$303</f>
        <v>2420.4001535831321</v>
      </c>
      <c r="M277" s="62">
        <f>$J$277-EFEITO!$K$277*EFEITO!$Y$277</f>
        <v>0</v>
      </c>
      <c r="N277" s="62">
        <f ca="1">$K$277-EFEITO!$M$277*EFEITO!$Z$277</f>
        <v>2847.4636375900182</v>
      </c>
      <c r="O277" s="62">
        <f>$L$277-EFEITO!$O$277*EFEITO!$AA$277</f>
        <v>1573.2600998290359</v>
      </c>
      <c r="P277" s="45"/>
      <c r="Q277" s="45"/>
      <c r="R277" s="45"/>
      <c r="S277" s="45"/>
      <c r="T277" s="45"/>
      <c r="U277" s="45"/>
      <c r="V277" s="45"/>
      <c r="W277" s="45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41" t="s">
        <v>21</v>
      </c>
      <c r="B278" s="41" t="s">
        <v>22</v>
      </c>
      <c r="C278" s="41" t="s">
        <v>23</v>
      </c>
      <c r="D278" s="41" t="s">
        <v>24</v>
      </c>
      <c r="E278" s="41" t="s">
        <v>30</v>
      </c>
      <c r="F278" s="41" t="s">
        <v>25</v>
      </c>
      <c r="G278" s="41" t="s">
        <v>25</v>
      </c>
      <c r="H278" s="41" t="s">
        <v>25</v>
      </c>
      <c r="I278" s="61">
        <v>44440</v>
      </c>
      <c r="J278" s="62">
        <f>EFEITO!$J$278*EFEITO!$Y$230</f>
        <v>0</v>
      </c>
      <c r="K278" s="62">
        <f ca="1">EFEITO!$L$278*EFEITO!$Z$303</f>
        <v>5665.0162882877448</v>
      </c>
      <c r="L278" s="62">
        <f>EFEITO!$N$278*EFEITO!$AA$303</f>
        <v>3129.9939966179595</v>
      </c>
      <c r="M278" s="62">
        <f>$J$278-EFEITO!$K$278*EFEITO!$Y$278</f>
        <v>0</v>
      </c>
      <c r="N278" s="62">
        <f ca="1">$K$278-EFEITO!$M$278*EFEITO!$Z$278</f>
        <v>2266.0065153150986</v>
      </c>
      <c r="O278" s="62">
        <f>$L$278-EFEITO!$O$278*EFEITO!$AA$278</f>
        <v>1251.9975986471836</v>
      </c>
      <c r="P278" s="45"/>
      <c r="Q278" s="45"/>
      <c r="R278" s="45"/>
      <c r="S278" s="45"/>
      <c r="T278" s="45"/>
      <c r="U278" s="45"/>
      <c r="V278" s="45"/>
      <c r="W278" s="45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41" t="s">
        <v>21</v>
      </c>
      <c r="B279" s="41" t="s">
        <v>22</v>
      </c>
      <c r="C279" s="41" t="s">
        <v>23</v>
      </c>
      <c r="D279" s="41" t="s">
        <v>24</v>
      </c>
      <c r="E279" s="41" t="s">
        <v>30</v>
      </c>
      <c r="F279" s="41" t="s">
        <v>25</v>
      </c>
      <c r="G279" s="41" t="s">
        <v>25</v>
      </c>
      <c r="H279" s="41" t="s">
        <v>25</v>
      </c>
      <c r="I279" s="61">
        <v>44470</v>
      </c>
      <c r="J279" s="62">
        <f>EFEITO!$J$279*EFEITO!$Y$230</f>
        <v>0</v>
      </c>
      <c r="K279" s="62">
        <f ca="1">EFEITO!$L$279*EFEITO!$Z$303</f>
        <v>5741.0400466389829</v>
      </c>
      <c r="L279" s="62">
        <f>EFEITO!$N$279*EFEITO!$AA$303</f>
        <v>3171.9980960115786</v>
      </c>
      <c r="M279" s="62">
        <f>$J$279-EFEITO!$K$279*EFEITO!$Y$279</f>
        <v>0</v>
      </c>
      <c r="N279" s="62">
        <f ca="1">$K$279-EFEITO!$M$279*EFEITO!$Z$279</f>
        <v>2296.4160186555937</v>
      </c>
      <c r="O279" s="62">
        <f>$L$279-EFEITO!$O$279*EFEITO!$AA$279</f>
        <v>1268.7992384046313</v>
      </c>
      <c r="P279" s="45"/>
      <c r="Q279" s="45"/>
      <c r="R279" s="45"/>
      <c r="S279" s="45"/>
      <c r="T279" s="45"/>
      <c r="U279" s="45"/>
      <c r="V279" s="45"/>
      <c r="W279" s="45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41" t="s">
        <v>21</v>
      </c>
      <c r="B280" s="41" t="s">
        <v>22</v>
      </c>
      <c r="C280" s="41" t="s">
        <v>23</v>
      </c>
      <c r="D280" s="41" t="s">
        <v>24</v>
      </c>
      <c r="E280" s="41" t="s">
        <v>30</v>
      </c>
      <c r="F280" s="41" t="s">
        <v>25</v>
      </c>
      <c r="G280" s="41" t="s">
        <v>25</v>
      </c>
      <c r="H280" s="41" t="s">
        <v>25</v>
      </c>
      <c r="I280" s="61">
        <v>44501</v>
      </c>
      <c r="J280" s="62">
        <f>EFEITO!$J$280*EFEITO!$Y$230</f>
        <v>0</v>
      </c>
      <c r="K280" s="62">
        <f ca="1">EFEITO!$L$280*EFEITO!$Z$303</f>
        <v>5895.3724303957315</v>
      </c>
      <c r="L280" s="62">
        <f>EFEITO!$N$280*EFEITO!$AA$303</f>
        <v>3257.2687130866034</v>
      </c>
      <c r="M280" s="62">
        <f>$J$280-EFEITO!$K$280*EFEITO!$Y$280</f>
        <v>0</v>
      </c>
      <c r="N280" s="62">
        <f ca="1">$K$280-EFEITO!$M$280*EFEITO!$Z$280</f>
        <v>2358.148972158293</v>
      </c>
      <c r="O280" s="62">
        <f>$L$280-EFEITO!$O$280*EFEITO!$AA$280</f>
        <v>1302.9074852346412</v>
      </c>
      <c r="P280" s="45"/>
      <c r="Q280" s="45"/>
      <c r="R280" s="45"/>
      <c r="S280" s="45"/>
      <c r="T280" s="45"/>
      <c r="U280" s="45"/>
      <c r="V280" s="45"/>
      <c r="W280" s="45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41" t="s">
        <v>21</v>
      </c>
      <c r="B281" s="41" t="s">
        <v>22</v>
      </c>
      <c r="C281" s="41" t="s">
        <v>23</v>
      </c>
      <c r="D281" s="41" t="s">
        <v>24</v>
      </c>
      <c r="E281" s="41" t="s">
        <v>30</v>
      </c>
      <c r="F281" s="41" t="s">
        <v>25</v>
      </c>
      <c r="G281" s="41" t="s">
        <v>25</v>
      </c>
      <c r="H281" s="41" t="s">
        <v>25</v>
      </c>
      <c r="I281" s="61">
        <v>44531</v>
      </c>
      <c r="J281" s="62">
        <f>EFEITO!$J$281*EFEITO!$Y$230</f>
        <v>0</v>
      </c>
      <c r="K281" s="62">
        <f ca="1">EFEITO!$L$281*EFEITO!$Z$303</f>
        <v>5987.390258126874</v>
      </c>
      <c r="L281" s="62">
        <f>EFEITO!$N$281*EFEITO!$AA$303</f>
        <v>3308.1097404947268</v>
      </c>
      <c r="M281" s="62">
        <f>$J$281-EFEITO!$K$281*EFEITO!$Y$281</f>
        <v>0</v>
      </c>
      <c r="N281" s="62">
        <f ca="1">$K$281-EFEITO!$M$281*EFEITO!$Z$281</f>
        <v>2394.9561032507499</v>
      </c>
      <c r="O281" s="62">
        <f>$L$281-EFEITO!$O$281*EFEITO!$AA$281</f>
        <v>1323.2438961978905</v>
      </c>
      <c r="P281" s="45"/>
      <c r="Q281" s="45"/>
      <c r="R281" s="45"/>
      <c r="S281" s="45"/>
      <c r="T281" s="45"/>
      <c r="U281" s="45"/>
      <c r="V281" s="45"/>
      <c r="W281" s="45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41" t="s">
        <v>21</v>
      </c>
      <c r="B282" s="41" t="s">
        <v>22</v>
      </c>
      <c r="C282" s="41" t="s">
        <v>23</v>
      </c>
      <c r="D282" s="41" t="s">
        <v>24</v>
      </c>
      <c r="E282" s="41" t="s">
        <v>30</v>
      </c>
      <c r="F282" s="41" t="s">
        <v>25</v>
      </c>
      <c r="G282" s="41" t="s">
        <v>25</v>
      </c>
      <c r="H282" s="41" t="s">
        <v>25</v>
      </c>
      <c r="I282" s="61">
        <v>44562</v>
      </c>
      <c r="J282" s="62">
        <f>EFEITO!$J$282*EFEITO!$Y$230</f>
        <v>0</v>
      </c>
      <c r="K282" s="62">
        <f ca="1">EFEITO!$L$282*EFEITO!$Z$303</f>
        <v>6179.1113754989856</v>
      </c>
      <c r="L282" s="62">
        <f>EFEITO!$N$282*EFEITO!$AA$303</f>
        <v>3414.0381113698922</v>
      </c>
      <c r="M282" s="62">
        <f>$J$282-EFEITO!$K$282*EFEITO!$Y$282</f>
        <v>0</v>
      </c>
      <c r="N282" s="62">
        <f ca="1">$K$282-EFEITO!$M$282*EFEITO!$Z$282</f>
        <v>2471.6445501995945</v>
      </c>
      <c r="O282" s="62">
        <f>$L$282-EFEITO!$O$282*EFEITO!$AA$282</f>
        <v>1365.615244547957</v>
      </c>
      <c r="P282" s="45"/>
      <c r="Q282" s="45"/>
      <c r="R282" s="45"/>
      <c r="S282" s="45"/>
      <c r="T282" s="45"/>
      <c r="U282" s="45"/>
      <c r="V282" s="45"/>
      <c r="W282" s="45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41" t="s">
        <v>21</v>
      </c>
      <c r="B283" s="41" t="s">
        <v>22</v>
      </c>
      <c r="C283" s="41" t="s">
        <v>23</v>
      </c>
      <c r="D283" s="41" t="s">
        <v>24</v>
      </c>
      <c r="E283" s="41" t="s">
        <v>30</v>
      </c>
      <c r="F283" s="41" t="s">
        <v>25</v>
      </c>
      <c r="G283" s="41" t="s">
        <v>25</v>
      </c>
      <c r="H283" s="41" t="s">
        <v>25</v>
      </c>
      <c r="I283" s="61">
        <v>44593</v>
      </c>
      <c r="J283" s="62">
        <f>EFEITO!$J$283*EFEITO!$Y$230</f>
        <v>0</v>
      </c>
      <c r="K283" s="62">
        <f ca="1">EFEITO!$L$283*EFEITO!$Z$303</f>
        <v>6871.0106625699527</v>
      </c>
      <c r="L283" s="62">
        <f>EFEITO!$N$283*EFEITO!$AA$303</f>
        <v>3796.3213219713816</v>
      </c>
      <c r="M283" s="62">
        <f>$J$283-EFEITO!$K$283*EFEITO!$Y$283</f>
        <v>0</v>
      </c>
      <c r="N283" s="62">
        <f ca="1">$K$283-EFEITO!$M$283*EFEITO!$Z$283</f>
        <v>2748.4042650279816</v>
      </c>
      <c r="O283" s="62">
        <f>$L$283-EFEITO!$O$283*EFEITO!$AA$283</f>
        <v>1518.5285287885526</v>
      </c>
      <c r="P283" s="45"/>
      <c r="Q283" s="45"/>
      <c r="R283" s="45"/>
      <c r="S283" s="45"/>
      <c r="T283" s="45"/>
      <c r="U283" s="45"/>
      <c r="V283" s="45"/>
      <c r="W283" s="45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41" t="s">
        <v>21</v>
      </c>
      <c r="B284" s="41" t="s">
        <v>22</v>
      </c>
      <c r="C284" s="41" t="s">
        <v>23</v>
      </c>
      <c r="D284" s="41" t="s">
        <v>24</v>
      </c>
      <c r="E284" s="41" t="s">
        <v>30</v>
      </c>
      <c r="F284" s="41" t="s">
        <v>25</v>
      </c>
      <c r="G284" s="41" t="s">
        <v>25</v>
      </c>
      <c r="H284" s="41" t="s">
        <v>25</v>
      </c>
      <c r="I284" s="61">
        <v>44621</v>
      </c>
      <c r="J284" s="62">
        <f>EFEITO!$J$284*EFEITO!$Y$230</f>
        <v>0</v>
      </c>
      <c r="K284" s="62">
        <f ca="1">EFEITO!$L$284*EFEITO!$Z$303</f>
        <v>8886.2634044380156</v>
      </c>
      <c r="L284" s="62">
        <f>EFEITO!$N$284*EFEITO!$AA$303</f>
        <v>4909.7742517989564</v>
      </c>
      <c r="M284" s="62">
        <f>$J$284-EFEITO!$K$284*EFEITO!$Y$284</f>
        <v>0</v>
      </c>
      <c r="N284" s="62">
        <f ca="1">$K$284-EFEITO!$M$284*EFEITO!$Z$284</f>
        <v>3554.5053617752064</v>
      </c>
      <c r="O284" s="62">
        <f>$L$284-EFEITO!$O$284*EFEITO!$AA$284</f>
        <v>1963.9097007195828</v>
      </c>
      <c r="P284" s="45"/>
      <c r="Q284" s="45"/>
      <c r="R284" s="45"/>
      <c r="S284" s="45"/>
      <c r="T284" s="45"/>
      <c r="U284" s="45"/>
      <c r="V284" s="45"/>
      <c r="W284" s="45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41" t="s">
        <v>21</v>
      </c>
      <c r="B285" s="41" t="s">
        <v>22</v>
      </c>
      <c r="C285" s="41" t="s">
        <v>23</v>
      </c>
      <c r="D285" s="41" t="s">
        <v>24</v>
      </c>
      <c r="E285" s="41" t="s">
        <v>30</v>
      </c>
      <c r="F285" s="41" t="s">
        <v>25</v>
      </c>
      <c r="G285" s="41" t="s">
        <v>25</v>
      </c>
      <c r="H285" s="41" t="s">
        <v>25</v>
      </c>
      <c r="I285" s="61">
        <v>44652</v>
      </c>
      <c r="J285" s="62">
        <f>EFEITO!$J$285*EFEITO!$Y$230</f>
        <v>0</v>
      </c>
      <c r="K285" s="62">
        <f ca="1">EFEITO!$L$285*EFEITO!$Z$303</f>
        <v>9915.4921547942558</v>
      </c>
      <c r="L285" s="62">
        <f>EFEITO!$N$285*EFEITO!$AA$303</f>
        <v>5478.4363077972685</v>
      </c>
      <c r="M285" s="62">
        <f>$J$285-EFEITO!$K$285*EFEITO!$Y$285</f>
        <v>0</v>
      </c>
      <c r="N285" s="62">
        <f ca="1">$K$285-EFEITO!$M$285*EFEITO!$Z$285</f>
        <v>3966.1968619177023</v>
      </c>
      <c r="O285" s="62">
        <f>$L$285-EFEITO!$O$285*EFEITO!$AA$285</f>
        <v>2191.3745231189068</v>
      </c>
      <c r="P285" s="45"/>
      <c r="Q285" s="45"/>
      <c r="R285" s="45"/>
      <c r="S285" s="45"/>
      <c r="T285" s="45"/>
      <c r="U285" s="45"/>
      <c r="V285" s="45"/>
      <c r="W285" s="45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41" t="s">
        <v>21</v>
      </c>
      <c r="B286" s="41" t="s">
        <v>22</v>
      </c>
      <c r="C286" s="41" t="s">
        <v>23</v>
      </c>
      <c r="D286" s="41" t="s">
        <v>24</v>
      </c>
      <c r="E286" s="41" t="s">
        <v>30</v>
      </c>
      <c r="F286" s="41" t="s">
        <v>25</v>
      </c>
      <c r="G286" s="41" t="s">
        <v>25</v>
      </c>
      <c r="H286" s="41" t="s">
        <v>25</v>
      </c>
      <c r="I286" s="61">
        <v>44682</v>
      </c>
      <c r="J286" s="62">
        <f>EFEITO!$J$286*EFEITO!$Y$230</f>
        <v>0</v>
      </c>
      <c r="K286" s="62">
        <f ca="1">EFEITO!$L$286*EFEITO!$Z$303</f>
        <v>9988.6079005309675</v>
      </c>
      <c r="L286" s="62">
        <f>EFEITO!$N$286*EFEITO!$AA$303</f>
        <v>5518.8336930064334</v>
      </c>
      <c r="M286" s="62">
        <f>$J$286-EFEITO!$K$286*EFEITO!$Y$286</f>
        <v>0</v>
      </c>
      <c r="N286" s="62">
        <f ca="1">$K$286-EFEITO!$M$286*EFEITO!$Z$286</f>
        <v>3995.4431602123877</v>
      </c>
      <c r="O286" s="62">
        <f>$L$286-EFEITO!$O$286*EFEITO!$AA$286</f>
        <v>2207.5334772025735</v>
      </c>
      <c r="P286" s="45"/>
      <c r="Q286" s="45"/>
      <c r="R286" s="45"/>
      <c r="S286" s="45"/>
      <c r="T286" s="45"/>
      <c r="U286" s="45"/>
      <c r="V286" s="45"/>
      <c r="W286" s="45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41" t="s">
        <v>21</v>
      </c>
      <c r="B287" s="41" t="s">
        <v>22</v>
      </c>
      <c r="C287" s="41" t="s">
        <v>23</v>
      </c>
      <c r="D287" s="41" t="s">
        <v>24</v>
      </c>
      <c r="E287" s="41" t="s">
        <v>30</v>
      </c>
      <c r="F287" s="41" t="s">
        <v>25</v>
      </c>
      <c r="G287" s="41" t="s">
        <v>25</v>
      </c>
      <c r="H287" s="41" t="s">
        <v>25</v>
      </c>
      <c r="I287" s="61">
        <v>44713</v>
      </c>
      <c r="J287" s="62">
        <f>EFEITO!$J$287*EFEITO!$Y$230</f>
        <v>0</v>
      </c>
      <c r="K287" s="62">
        <f ca="1">EFEITO!$L$287*EFEITO!$Z$303</f>
        <v>9814.9580044062823</v>
      </c>
      <c r="L287" s="62">
        <f>EFEITO!$N$287*EFEITO!$AA$303</f>
        <v>5422.8899031346691</v>
      </c>
      <c r="M287" s="62">
        <f>$J$287-EFEITO!$K$287*EFEITO!$Y$287</f>
        <v>0</v>
      </c>
      <c r="N287" s="62">
        <f ca="1">$K$287-EFEITO!$M$287*EFEITO!$Z$287</f>
        <v>3925.983201762514</v>
      </c>
      <c r="O287" s="62">
        <f>$L$287-EFEITO!$O$287*EFEITO!$AA$287</f>
        <v>2169.1559612538672</v>
      </c>
      <c r="P287" s="45"/>
      <c r="Q287" s="45"/>
      <c r="R287" s="45"/>
      <c r="S287" s="45"/>
      <c r="T287" s="45"/>
      <c r="U287" s="45"/>
      <c r="V287" s="45"/>
      <c r="W287" s="45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41" t="s">
        <v>21</v>
      </c>
      <c r="B288" s="41" t="s">
        <v>22</v>
      </c>
      <c r="C288" s="41" t="s">
        <v>23</v>
      </c>
      <c r="D288" s="41" t="s">
        <v>24</v>
      </c>
      <c r="E288" s="41" t="s">
        <v>30</v>
      </c>
      <c r="F288" s="41" t="s">
        <v>25</v>
      </c>
      <c r="G288" s="41" t="s">
        <v>25</v>
      </c>
      <c r="H288" s="41" t="s">
        <v>25</v>
      </c>
      <c r="I288" s="61">
        <v>44743</v>
      </c>
      <c r="J288" s="62">
        <f>EFEITO!$J$288*EFEITO!$Y$230</f>
        <v>0</v>
      </c>
      <c r="K288" s="62">
        <f ca="1">EFEITO!$L$288*EFEITO!$Z$303</f>
        <v>9294.8391767792309</v>
      </c>
      <c r="L288" s="62">
        <f>EFEITO!$N$288*EFEITO!$AA$303</f>
        <v>5135.5175947149364</v>
      </c>
      <c r="M288" s="62">
        <f>$J$288-EFEITO!$K$288*EFEITO!$Y$288</f>
        <v>0</v>
      </c>
      <c r="N288" s="62">
        <f ca="1">$K$288-EFEITO!$M$288*EFEITO!$Z$288</f>
        <v>3717.9356707116922</v>
      </c>
      <c r="O288" s="62">
        <f>$L$288-EFEITO!$O$288*EFEITO!$AA$288</f>
        <v>2054.2070378859748</v>
      </c>
      <c r="P288" s="45"/>
      <c r="Q288" s="45"/>
      <c r="R288" s="45"/>
      <c r="S288" s="45"/>
      <c r="T288" s="45"/>
      <c r="U288" s="45"/>
      <c r="V288" s="45"/>
      <c r="W288" s="45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41" t="s">
        <v>57</v>
      </c>
      <c r="B289" s="41" t="s">
        <v>22</v>
      </c>
      <c r="C289" s="41" t="s">
        <v>23</v>
      </c>
      <c r="D289" s="41" t="s">
        <v>24</v>
      </c>
      <c r="E289" s="41" t="s">
        <v>30</v>
      </c>
      <c r="F289" s="41" t="s">
        <v>25</v>
      </c>
      <c r="G289" s="41" t="s">
        <v>25</v>
      </c>
      <c r="H289" s="41" t="s">
        <v>25</v>
      </c>
      <c r="I289" s="61">
        <v>44774</v>
      </c>
      <c r="J289" s="62">
        <f>EFEITO!$J$289*EFEITO!$Y$230</f>
        <v>0</v>
      </c>
      <c r="K289" s="62">
        <f ca="1">EFEITO!$L$289*EFEITO!$Z$303</f>
        <v>9294.8391767792309</v>
      </c>
      <c r="L289" s="62">
        <f>EFEITO!$N$289*EFEITO!$AA$303</f>
        <v>5135.5175947149364</v>
      </c>
      <c r="M289" s="62">
        <f>$J$289-EFEITO!$K$289*EFEITO!$Y$289</f>
        <v>0</v>
      </c>
      <c r="N289" s="62">
        <f ca="1">$K$289-EFEITO!$M$289*EFEITO!$Z$289</f>
        <v>3717.9356707116922</v>
      </c>
      <c r="O289" s="62">
        <f>$L$289-EFEITO!$O$289*EFEITO!$AA$289</f>
        <v>2054.2070378859748</v>
      </c>
      <c r="P289" s="45"/>
      <c r="Q289" s="45"/>
      <c r="R289" s="45"/>
      <c r="S289" s="45"/>
      <c r="T289" s="45"/>
      <c r="U289" s="45"/>
      <c r="V289" s="45"/>
      <c r="W289" s="45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41" t="s">
        <v>21</v>
      </c>
      <c r="B290" s="41" t="s">
        <v>22</v>
      </c>
      <c r="C290" s="41" t="s">
        <v>23</v>
      </c>
      <c r="D290" s="41" t="s">
        <v>24</v>
      </c>
      <c r="E290" s="41" t="s">
        <v>31</v>
      </c>
      <c r="F290" s="41" t="s">
        <v>25</v>
      </c>
      <c r="G290" s="41" t="s">
        <v>25</v>
      </c>
      <c r="H290" s="41" t="s">
        <v>25</v>
      </c>
      <c r="I290" s="61">
        <v>44440</v>
      </c>
      <c r="J290" s="62">
        <f>EFEITO!$J$290*EFEITO!$Y$230</f>
        <v>0</v>
      </c>
      <c r="K290" s="62">
        <f ca="1">EFEITO!$L$290*EFEITO!$Z$303</f>
        <v>6641.9008115824781</v>
      </c>
      <c r="L290" s="62">
        <f>EFEITO!$N$290*EFEITO!$AA$303</f>
        <v>3669.735197296076</v>
      </c>
      <c r="M290" s="62">
        <f>$J$290-EFEITO!$K$290*EFEITO!$Y$290</f>
        <v>0</v>
      </c>
      <c r="N290" s="62">
        <f ca="1">$K$290-EFEITO!$M$290*EFEITO!$Z$290</f>
        <v>664.19008115824818</v>
      </c>
      <c r="O290" s="62">
        <f>$L$290-EFEITO!$O$290*EFEITO!$AA$290</f>
        <v>366.97351972960769</v>
      </c>
      <c r="P290" s="45"/>
      <c r="Q290" s="45"/>
      <c r="R290" s="45"/>
      <c r="S290" s="45"/>
      <c r="T290" s="45"/>
      <c r="U290" s="45"/>
      <c r="V290" s="45"/>
      <c r="W290" s="45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41" t="s">
        <v>21</v>
      </c>
      <c r="B291" s="41" t="s">
        <v>22</v>
      </c>
      <c r="C291" s="41" t="s">
        <v>23</v>
      </c>
      <c r="D291" s="41" t="s">
        <v>24</v>
      </c>
      <c r="E291" s="41" t="s">
        <v>31</v>
      </c>
      <c r="F291" s="41" t="s">
        <v>25</v>
      </c>
      <c r="G291" s="41" t="s">
        <v>25</v>
      </c>
      <c r="H291" s="41" t="s">
        <v>25</v>
      </c>
      <c r="I291" s="61">
        <v>44470</v>
      </c>
      <c r="J291" s="62">
        <f>EFEITO!$J$291*EFEITO!$Y$230</f>
        <v>0</v>
      </c>
      <c r="K291" s="62">
        <f ca="1">EFEITO!$L$291*EFEITO!$Z$303</f>
        <v>6656.4408746551189</v>
      </c>
      <c r="L291" s="62">
        <f>EFEITO!$N$291*EFEITO!$AA$303</f>
        <v>3677.7687682183528</v>
      </c>
      <c r="M291" s="62">
        <f>$J$291-EFEITO!$K$291*EFEITO!$Y$291</f>
        <v>0</v>
      </c>
      <c r="N291" s="62">
        <f ca="1">$K$291-EFEITO!$M$291*EFEITO!$Z$291</f>
        <v>665.6440874655118</v>
      </c>
      <c r="O291" s="62">
        <f>$L$291-EFEITO!$O$291*EFEITO!$AA$291</f>
        <v>367.77687682183523</v>
      </c>
      <c r="P291" s="45"/>
      <c r="Q291" s="45"/>
      <c r="R291" s="45"/>
      <c r="S291" s="45"/>
      <c r="T291" s="45"/>
      <c r="U291" s="45"/>
      <c r="V291" s="45"/>
      <c r="W291" s="45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41" t="s">
        <v>21</v>
      </c>
      <c r="B292" s="41" t="s">
        <v>22</v>
      </c>
      <c r="C292" s="41" t="s">
        <v>23</v>
      </c>
      <c r="D292" s="41" t="s">
        <v>24</v>
      </c>
      <c r="E292" s="41" t="s">
        <v>31</v>
      </c>
      <c r="F292" s="41" t="s">
        <v>25</v>
      </c>
      <c r="G292" s="41" t="s">
        <v>25</v>
      </c>
      <c r="H292" s="41" t="s">
        <v>25</v>
      </c>
      <c r="I292" s="61">
        <v>44501</v>
      </c>
      <c r="J292" s="62">
        <f>EFEITO!$J$292*EFEITO!$Y$230</f>
        <v>0</v>
      </c>
      <c r="K292" s="62">
        <f ca="1">EFEITO!$L$292*EFEITO!$Z$303</f>
        <v>6688.6367286016821</v>
      </c>
      <c r="L292" s="62">
        <f>EFEITO!$N$292*EFEITO!$AA$303</f>
        <v>3695.5573895462517</v>
      </c>
      <c r="M292" s="62">
        <f>$J$292-EFEITO!$K$292*EFEITO!$Y$292</f>
        <v>0</v>
      </c>
      <c r="N292" s="62">
        <f ca="1">$K$292-EFEITO!$M$292*EFEITO!$Z$292</f>
        <v>668.86367286016775</v>
      </c>
      <c r="O292" s="62">
        <f>$L$292-EFEITO!$O$292*EFEITO!$AA$292</f>
        <v>369.55573895462521</v>
      </c>
      <c r="P292" s="45"/>
      <c r="Q292" s="45"/>
      <c r="R292" s="45"/>
      <c r="S292" s="45"/>
      <c r="T292" s="45"/>
      <c r="U292" s="45"/>
      <c r="V292" s="45"/>
      <c r="W292" s="45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41" t="s">
        <v>21</v>
      </c>
      <c r="B293" s="41" t="s">
        <v>22</v>
      </c>
      <c r="C293" s="41" t="s">
        <v>23</v>
      </c>
      <c r="D293" s="41" t="s">
        <v>24</v>
      </c>
      <c r="E293" s="41" t="s">
        <v>31</v>
      </c>
      <c r="F293" s="41" t="s">
        <v>25</v>
      </c>
      <c r="G293" s="41" t="s">
        <v>25</v>
      </c>
      <c r="H293" s="41" t="s">
        <v>25</v>
      </c>
      <c r="I293" s="61">
        <v>44531</v>
      </c>
      <c r="J293" s="62">
        <f>EFEITO!$J$293*EFEITO!$Y$230</f>
        <v>0</v>
      </c>
      <c r="K293" s="62">
        <f ca="1">EFEITO!$L$293*EFEITO!$Z$303</f>
        <v>6937.0640919570933</v>
      </c>
      <c r="L293" s="62">
        <f>EFEITO!$N$293*EFEITO!$AA$303</f>
        <v>3832.8166870182963</v>
      </c>
      <c r="M293" s="62">
        <f>$J$293-EFEITO!$K$293*EFEITO!$Y$293</f>
        <v>0</v>
      </c>
      <c r="N293" s="62">
        <f ca="1">$K$293-EFEITO!$M$293*EFEITO!$Z$293</f>
        <v>693.70640919570906</v>
      </c>
      <c r="O293" s="62">
        <f>$L$293-EFEITO!$O$293*EFEITO!$AA$293</f>
        <v>383.28166870182986</v>
      </c>
      <c r="P293" s="45"/>
      <c r="Q293" s="45"/>
      <c r="R293" s="45"/>
      <c r="S293" s="45"/>
      <c r="T293" s="45"/>
      <c r="U293" s="45"/>
      <c r="V293" s="45"/>
      <c r="W293" s="45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41" t="s">
        <v>21</v>
      </c>
      <c r="B294" s="41" t="s">
        <v>22</v>
      </c>
      <c r="C294" s="41" t="s">
        <v>23</v>
      </c>
      <c r="D294" s="41" t="s">
        <v>24</v>
      </c>
      <c r="E294" s="41" t="s">
        <v>31</v>
      </c>
      <c r="F294" s="41" t="s">
        <v>25</v>
      </c>
      <c r="G294" s="41" t="s">
        <v>25</v>
      </c>
      <c r="H294" s="41" t="s">
        <v>25</v>
      </c>
      <c r="I294" s="61">
        <v>44562</v>
      </c>
      <c r="J294" s="62">
        <f>EFEITO!$J$294*EFEITO!$Y$230</f>
        <v>0</v>
      </c>
      <c r="K294" s="62">
        <f ca="1">EFEITO!$L$294*EFEITO!$Z$303</f>
        <v>8207.8656045059306</v>
      </c>
      <c r="L294" s="62">
        <f>EFEITO!$N$294*EFEITO!$AA$303</f>
        <v>4534.9507856252949</v>
      </c>
      <c r="M294" s="62">
        <f>$J$294-EFEITO!$K$294*EFEITO!$Y$294</f>
        <v>0</v>
      </c>
      <c r="N294" s="62">
        <f ca="1">$K$294-EFEITO!$M$294*EFEITO!$Z$294</f>
        <v>820.78656045059324</v>
      </c>
      <c r="O294" s="62">
        <f>$L$294-EFEITO!$O$294*EFEITO!$AA$294</f>
        <v>453.49507856252922</v>
      </c>
      <c r="P294" s="45"/>
      <c r="Q294" s="45"/>
      <c r="R294" s="45"/>
      <c r="S294" s="45"/>
      <c r="T294" s="45"/>
      <c r="U294" s="45"/>
      <c r="V294" s="45"/>
      <c r="W294" s="45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41" t="s">
        <v>21</v>
      </c>
      <c r="B295" s="41" t="s">
        <v>22</v>
      </c>
      <c r="C295" s="41" t="s">
        <v>23</v>
      </c>
      <c r="D295" s="41" t="s">
        <v>24</v>
      </c>
      <c r="E295" s="41" t="s">
        <v>31</v>
      </c>
      <c r="F295" s="41" t="s">
        <v>25</v>
      </c>
      <c r="G295" s="41" t="s">
        <v>25</v>
      </c>
      <c r="H295" s="41" t="s">
        <v>25</v>
      </c>
      <c r="I295" s="61">
        <v>44593</v>
      </c>
      <c r="J295" s="62">
        <f>EFEITO!$J$295*EFEITO!$Y$230</f>
        <v>0</v>
      </c>
      <c r="K295" s="62">
        <f ca="1">EFEITO!$L$295*EFEITO!$Z$303</f>
        <v>8834.5423229367625</v>
      </c>
      <c r="L295" s="62">
        <f>EFEITO!$N$295*EFEITO!$AA$303</f>
        <v>4881.1976923754282</v>
      </c>
      <c r="M295" s="62">
        <f>$J$295-EFEITO!$K$295*EFEITO!$Y$295</f>
        <v>0</v>
      </c>
      <c r="N295" s="62">
        <f ca="1">$K$295-EFEITO!$M$295*EFEITO!$Z$295</f>
        <v>883.45423229367498</v>
      </c>
      <c r="O295" s="62">
        <f>$L$295-EFEITO!$O$295*EFEITO!$AA$295</f>
        <v>488.11976923754355</v>
      </c>
      <c r="P295" s="45"/>
      <c r="Q295" s="45"/>
      <c r="R295" s="45"/>
      <c r="S295" s="45"/>
      <c r="T295" s="45"/>
      <c r="U295" s="45"/>
      <c r="V295" s="45"/>
      <c r="W295" s="45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41" t="s">
        <v>27</v>
      </c>
      <c r="B296" s="41" t="s">
        <v>22</v>
      </c>
      <c r="C296" s="41" t="s">
        <v>23</v>
      </c>
      <c r="D296" s="41" t="s">
        <v>24</v>
      </c>
      <c r="E296" s="41" t="s">
        <v>31</v>
      </c>
      <c r="F296" s="41" t="s">
        <v>25</v>
      </c>
      <c r="G296" s="41" t="s">
        <v>25</v>
      </c>
      <c r="H296" s="41" t="s">
        <v>25</v>
      </c>
      <c r="I296" s="61">
        <v>44593</v>
      </c>
      <c r="J296" s="62">
        <f>EFEITO!$J$296*EFEITO!$Y$230</f>
        <v>0</v>
      </c>
      <c r="K296" s="62">
        <f ca="1">EFEITO!$L$296*EFEITO!$Z$303</f>
        <v>-0.41543037350403289</v>
      </c>
      <c r="L296" s="62">
        <f>EFEITO!$N$296*EFEITO!$AA$303</f>
        <v>-0.22953059777933926</v>
      </c>
      <c r="M296" s="62">
        <f>$J$296-EFEITO!$K$296*EFEITO!$Y$296</f>
        <v>0</v>
      </c>
      <c r="N296" s="62">
        <f ca="1">$K$296-EFEITO!$M$296*EFEITO!$Z$296</f>
        <v>-4.1543037350403267E-2</v>
      </c>
      <c r="O296" s="62">
        <f>$L$296-EFEITO!$O$296*EFEITO!$AA$296</f>
        <v>-2.2953059777933937E-2</v>
      </c>
      <c r="P296" s="45"/>
      <c r="Q296" s="45"/>
      <c r="R296" s="45"/>
      <c r="S296" s="45"/>
      <c r="T296" s="45"/>
      <c r="U296" s="45"/>
      <c r="V296" s="45"/>
      <c r="W296" s="45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41" t="s">
        <v>21</v>
      </c>
      <c r="B297" s="41" t="s">
        <v>22</v>
      </c>
      <c r="C297" s="41" t="s">
        <v>23</v>
      </c>
      <c r="D297" s="41" t="s">
        <v>24</v>
      </c>
      <c r="E297" s="41" t="s">
        <v>31</v>
      </c>
      <c r="F297" s="41" t="s">
        <v>25</v>
      </c>
      <c r="G297" s="41" t="s">
        <v>25</v>
      </c>
      <c r="H297" s="41" t="s">
        <v>25</v>
      </c>
      <c r="I297" s="61">
        <v>44621</v>
      </c>
      <c r="J297" s="62">
        <f>EFEITO!$J$297*EFEITO!$Y$230</f>
        <v>0</v>
      </c>
      <c r="K297" s="62">
        <f ca="1">EFEITO!$L$297*EFEITO!$Z$303</f>
        <v>11068.103726081195</v>
      </c>
      <c r="L297" s="62">
        <f>EFEITO!$N$297*EFEITO!$AA$303</f>
        <v>6115.2689513360456</v>
      </c>
      <c r="M297" s="62">
        <f>$J$297-EFEITO!$K$297*EFEITO!$Y$297</f>
        <v>0</v>
      </c>
      <c r="N297" s="62">
        <f ca="1">$K$297-EFEITO!$M$297*EFEITO!$Z$297</f>
        <v>1106.810372608119</v>
      </c>
      <c r="O297" s="62">
        <f>$L$297-EFEITO!$O$297*EFEITO!$AA$297</f>
        <v>611.52689513360474</v>
      </c>
      <c r="P297" s="45"/>
      <c r="Q297" s="45"/>
      <c r="R297" s="45"/>
      <c r="S297" s="45"/>
      <c r="T297" s="45"/>
      <c r="U297" s="45"/>
      <c r="V297" s="45"/>
      <c r="W297" s="45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41" t="s">
        <v>21</v>
      </c>
      <c r="B298" s="41" t="s">
        <v>22</v>
      </c>
      <c r="C298" s="41" t="s">
        <v>23</v>
      </c>
      <c r="D298" s="41" t="s">
        <v>24</v>
      </c>
      <c r="E298" s="41" t="s">
        <v>31</v>
      </c>
      <c r="F298" s="41" t="s">
        <v>25</v>
      </c>
      <c r="G298" s="41" t="s">
        <v>25</v>
      </c>
      <c r="H298" s="41" t="s">
        <v>25</v>
      </c>
      <c r="I298" s="61">
        <v>44652</v>
      </c>
      <c r="J298" s="62">
        <f>EFEITO!$J$298*EFEITO!$Y$230</f>
        <v>0</v>
      </c>
      <c r="K298" s="62">
        <f ca="1">EFEITO!$L$298*EFEITO!$Z$303</f>
        <v>11397.332297083141</v>
      </c>
      <c r="L298" s="62">
        <f>EFEITO!$N$298*EFEITO!$AA$303</f>
        <v>6297.1719500761719</v>
      </c>
      <c r="M298" s="62">
        <f>$J$298-EFEITO!$K$298*EFEITO!$Y$298</f>
        <v>0</v>
      </c>
      <c r="N298" s="62">
        <f ca="1">$K$298-EFEITO!$M$298*EFEITO!$Z$298</f>
        <v>1139.7332297083121</v>
      </c>
      <c r="O298" s="62">
        <f>$L$298-EFEITO!$O$298*EFEITO!$AA$298</f>
        <v>629.71719500761719</v>
      </c>
      <c r="P298" s="45"/>
      <c r="Q298" s="45"/>
      <c r="R298" s="45"/>
      <c r="S298" s="45"/>
      <c r="T298" s="45"/>
      <c r="U298" s="45"/>
      <c r="V298" s="45"/>
      <c r="W298" s="45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41" t="s">
        <v>21</v>
      </c>
      <c r="B299" s="41" t="s">
        <v>22</v>
      </c>
      <c r="C299" s="41" t="s">
        <v>23</v>
      </c>
      <c r="D299" s="41" t="s">
        <v>24</v>
      </c>
      <c r="E299" s="41" t="s">
        <v>31</v>
      </c>
      <c r="F299" s="41" t="s">
        <v>25</v>
      </c>
      <c r="G299" s="41" t="s">
        <v>25</v>
      </c>
      <c r="H299" s="41" t="s">
        <v>25</v>
      </c>
      <c r="I299" s="61">
        <v>44682</v>
      </c>
      <c r="J299" s="62">
        <f>EFEITO!$J$299*EFEITO!$Y$230</f>
        <v>0</v>
      </c>
      <c r="K299" s="62">
        <f ca="1">EFEITO!$L$299*EFEITO!$Z$303</f>
        <v>10090.803772412959</v>
      </c>
      <c r="L299" s="62">
        <f>EFEITO!$N$299*EFEITO!$AA$303</f>
        <v>5575.29822006015</v>
      </c>
      <c r="M299" s="62">
        <f>$J$299-EFEITO!$K$299*EFEITO!$Y$299</f>
        <v>0</v>
      </c>
      <c r="N299" s="62">
        <f ca="1">$K$299-EFEITO!$M$299*EFEITO!$Z$299</f>
        <v>1009.0803772412964</v>
      </c>
      <c r="O299" s="62">
        <f>$L$299-EFEITO!$O$299*EFEITO!$AA$299</f>
        <v>557.52982200601491</v>
      </c>
      <c r="P299" s="45"/>
      <c r="Q299" s="45"/>
      <c r="R299" s="45"/>
      <c r="S299" s="45"/>
      <c r="T299" s="45"/>
      <c r="U299" s="45"/>
      <c r="V299" s="45"/>
      <c r="W299" s="45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41" t="s">
        <v>21</v>
      </c>
      <c r="B300" s="41" t="s">
        <v>22</v>
      </c>
      <c r="C300" s="41" t="s">
        <v>23</v>
      </c>
      <c r="D300" s="41" t="s">
        <v>24</v>
      </c>
      <c r="E300" s="41" t="s">
        <v>31</v>
      </c>
      <c r="F300" s="41" t="s">
        <v>25</v>
      </c>
      <c r="G300" s="41" t="s">
        <v>25</v>
      </c>
      <c r="H300" s="41" t="s">
        <v>25</v>
      </c>
      <c r="I300" s="61">
        <v>44713</v>
      </c>
      <c r="J300" s="62">
        <f>EFEITO!$J$300*EFEITO!$Y$230</f>
        <v>0</v>
      </c>
      <c r="K300" s="62">
        <f ca="1">EFEITO!$L$300*EFEITO!$Z$303</f>
        <v>10273.800851941485</v>
      </c>
      <c r="L300" s="62">
        <f>EFEITO!$N$300*EFEITO!$AA$303</f>
        <v>5676.4064483819493</v>
      </c>
      <c r="M300" s="62">
        <f>$J$300-EFEITO!$K$300*EFEITO!$Y$300</f>
        <v>0</v>
      </c>
      <c r="N300" s="62">
        <f ca="1">$K$300-EFEITO!$M$300*EFEITO!$Z$300</f>
        <v>1027.3800851941487</v>
      </c>
      <c r="O300" s="62">
        <f>$L$300-EFEITO!$O$300*EFEITO!$AA$300</f>
        <v>567.64064483819493</v>
      </c>
      <c r="P300" s="45"/>
      <c r="Q300" s="45"/>
      <c r="R300" s="45"/>
      <c r="S300" s="45"/>
      <c r="T300" s="45"/>
      <c r="U300" s="45"/>
      <c r="V300" s="45"/>
      <c r="W300" s="45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41" t="s">
        <v>21</v>
      </c>
      <c r="B301" s="41" t="s">
        <v>22</v>
      </c>
      <c r="C301" s="41" t="s">
        <v>23</v>
      </c>
      <c r="D301" s="41" t="s">
        <v>24</v>
      </c>
      <c r="E301" s="41" t="s">
        <v>31</v>
      </c>
      <c r="F301" s="41" t="s">
        <v>25</v>
      </c>
      <c r="G301" s="41" t="s">
        <v>25</v>
      </c>
      <c r="H301" s="41" t="s">
        <v>25</v>
      </c>
      <c r="I301" s="61">
        <v>44743</v>
      </c>
      <c r="J301" s="62">
        <f>EFEITO!$J$301*EFEITO!$Y$230</f>
        <v>0</v>
      </c>
      <c r="K301" s="62">
        <f ca="1">EFEITO!$L$301*EFEITO!$Z$303</f>
        <v>10036.382393483931</v>
      </c>
      <c r="L301" s="62">
        <f>EFEITO!$N$301*EFEITO!$AA$303</f>
        <v>5545.229711751057</v>
      </c>
      <c r="M301" s="62">
        <f>$J$301-EFEITO!$K$301*EFEITO!$Y$301</f>
        <v>0</v>
      </c>
      <c r="N301" s="62">
        <f ca="1">$K$301-EFEITO!$M$301*EFEITO!$Z$301</f>
        <v>1003.6382393483927</v>
      </c>
      <c r="O301" s="62">
        <f>$L$301-EFEITO!$O$301*EFEITO!$AA$301</f>
        <v>554.52297117510625</v>
      </c>
      <c r="P301" s="45"/>
      <c r="Q301" s="45"/>
      <c r="R301" s="45"/>
      <c r="S301" s="45"/>
      <c r="T301" s="45"/>
      <c r="U301" s="45"/>
      <c r="V301" s="45"/>
      <c r="W301" s="45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41" t="s">
        <v>57</v>
      </c>
      <c r="B302" s="41" t="s">
        <v>22</v>
      </c>
      <c r="C302" s="41" t="s">
        <v>23</v>
      </c>
      <c r="D302" s="41" t="s">
        <v>24</v>
      </c>
      <c r="E302" s="41" t="s">
        <v>31</v>
      </c>
      <c r="F302" s="41" t="s">
        <v>25</v>
      </c>
      <c r="G302" s="41" t="s">
        <v>25</v>
      </c>
      <c r="H302" s="41" t="s">
        <v>25</v>
      </c>
      <c r="I302" s="61">
        <v>44774</v>
      </c>
      <c r="J302" s="62">
        <f>EFEITO!$J$302*EFEITO!$Y$230</f>
        <v>0</v>
      </c>
      <c r="K302" s="62">
        <f ca="1">EFEITO!$L$302*EFEITO!$Z$303</f>
        <v>10036.382393483931</v>
      </c>
      <c r="L302" s="62">
        <f>EFEITO!$N$302*EFEITO!$AA$303</f>
        <v>5545.229711751057</v>
      </c>
      <c r="M302" s="62">
        <f>$J$302-EFEITO!$K$302*EFEITO!$Y$302</f>
        <v>0</v>
      </c>
      <c r="N302" s="62">
        <f ca="1">$K$302-EFEITO!$M$302*EFEITO!$Z$302</f>
        <v>1003.6382393483927</v>
      </c>
      <c r="O302" s="62">
        <f>$L$302-EFEITO!$O$302*EFEITO!$AA$302</f>
        <v>554.52297117510625</v>
      </c>
      <c r="P302" s="45"/>
      <c r="Q302" s="45"/>
      <c r="R302" s="45"/>
      <c r="S302" s="45"/>
      <c r="T302" s="45"/>
      <c r="U302" s="45"/>
      <c r="V302" s="45"/>
      <c r="W302" s="45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41" t="s">
        <v>21</v>
      </c>
      <c r="B303" s="41" t="s">
        <v>22</v>
      </c>
      <c r="C303" s="41" t="s">
        <v>23</v>
      </c>
      <c r="D303" s="41" t="s">
        <v>24</v>
      </c>
      <c r="E303" s="41" t="s">
        <v>32</v>
      </c>
      <c r="F303" s="41" t="s">
        <v>25</v>
      </c>
      <c r="G303" s="41" t="s">
        <v>25</v>
      </c>
      <c r="H303" s="41" t="s">
        <v>25</v>
      </c>
      <c r="I303" s="61">
        <v>44440</v>
      </c>
      <c r="J303" s="62">
        <f>EFEITO!$J$303*EFEITO!$Y$230</f>
        <v>0</v>
      </c>
      <c r="K303" s="62">
        <f ca="1">EFEITO!$L$303*EFEITO!$Z$303</f>
        <v>2378.7543186840926</v>
      </c>
      <c r="L303" s="62">
        <f>EFEITO!$N$303*EFEITO!$AA$303</f>
        <v>1314.2922028844964</v>
      </c>
      <c r="M303" s="62">
        <f>$J$303-EFEITO!$K$303*EFEITO!$Y$303</f>
        <v>0</v>
      </c>
      <c r="N303" s="62">
        <f ca="1">$K$303-EFEITO!$M$303*EFEITO!$Z$303</f>
        <v>0</v>
      </c>
      <c r="O303" s="62">
        <f>$L$303-EFEITO!$O$303*EFEITO!$AA$303</f>
        <v>0</v>
      </c>
      <c r="P303" s="45"/>
      <c r="Q303" s="45"/>
      <c r="R303" s="45"/>
      <c r="S303" s="45"/>
      <c r="T303" s="45"/>
      <c r="U303" s="45"/>
      <c r="V303" s="45"/>
      <c r="W303" s="45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41" t="s">
        <v>21</v>
      </c>
      <c r="B304" s="41" t="s">
        <v>22</v>
      </c>
      <c r="C304" s="41" t="s">
        <v>23</v>
      </c>
      <c r="D304" s="41" t="s">
        <v>24</v>
      </c>
      <c r="E304" s="41" t="s">
        <v>32</v>
      </c>
      <c r="F304" s="41" t="s">
        <v>25</v>
      </c>
      <c r="G304" s="41" t="s">
        <v>25</v>
      </c>
      <c r="H304" s="41" t="s">
        <v>25</v>
      </c>
      <c r="I304" s="61">
        <v>44470</v>
      </c>
      <c r="J304" s="62">
        <f>EFEITO!$J$304*EFEITO!$Y$230</f>
        <v>0</v>
      </c>
      <c r="K304" s="62">
        <f ca="1">EFEITO!$L$304*EFEITO!$Z$303</f>
        <v>2311.039167802935</v>
      </c>
      <c r="L304" s="62">
        <f>EFEITO!$N$304*EFEITO!$AA$303</f>
        <v>1276.8787154464642</v>
      </c>
      <c r="M304" s="62">
        <f>$J$304-EFEITO!$K$304*EFEITO!$Y$304</f>
        <v>0</v>
      </c>
      <c r="N304" s="62">
        <f ca="1">$K$304-EFEITO!$M$304*EFEITO!$Z$304</f>
        <v>0</v>
      </c>
      <c r="O304" s="62">
        <f>$L$304-EFEITO!$O$304*EFEITO!$AA$304</f>
        <v>0</v>
      </c>
      <c r="P304" s="45"/>
      <c r="Q304" s="45"/>
      <c r="R304" s="45"/>
      <c r="S304" s="45"/>
      <c r="T304" s="45"/>
      <c r="U304" s="45"/>
      <c r="V304" s="45"/>
      <c r="W304" s="45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41" t="s">
        <v>21</v>
      </c>
      <c r="B305" s="41" t="s">
        <v>22</v>
      </c>
      <c r="C305" s="41" t="s">
        <v>23</v>
      </c>
      <c r="D305" s="41" t="s">
        <v>24</v>
      </c>
      <c r="E305" s="41" t="s">
        <v>32</v>
      </c>
      <c r="F305" s="41" t="s">
        <v>25</v>
      </c>
      <c r="G305" s="41" t="s">
        <v>25</v>
      </c>
      <c r="H305" s="41" t="s">
        <v>25</v>
      </c>
      <c r="I305" s="61">
        <v>44501</v>
      </c>
      <c r="J305" s="62">
        <f>EFEITO!$J$305*EFEITO!$Y$230</f>
        <v>0</v>
      </c>
      <c r="K305" s="62">
        <f ca="1">EFEITO!$L$305*EFEITO!$Z$303</f>
        <v>2237.0925613192171</v>
      </c>
      <c r="L305" s="62">
        <f>EFEITO!$N$305*EFEITO!$AA$303</f>
        <v>1236.0222690417418</v>
      </c>
      <c r="M305" s="62">
        <f>$J$305-EFEITO!$K$305*EFEITO!$Y$305</f>
        <v>0</v>
      </c>
      <c r="N305" s="62">
        <f ca="1">$K$305-EFEITO!$M$305*EFEITO!$Z$305</f>
        <v>0</v>
      </c>
      <c r="O305" s="62">
        <f>$L$305-EFEITO!$O$305*EFEITO!$AA$305</f>
        <v>0</v>
      </c>
      <c r="P305" s="45"/>
      <c r="Q305" s="45"/>
      <c r="R305" s="45"/>
      <c r="S305" s="45"/>
      <c r="T305" s="45"/>
      <c r="U305" s="45"/>
      <c r="V305" s="45"/>
      <c r="W305" s="45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41" t="s">
        <v>27</v>
      </c>
      <c r="B306" s="41" t="s">
        <v>22</v>
      </c>
      <c r="C306" s="41" t="s">
        <v>23</v>
      </c>
      <c r="D306" s="41" t="s">
        <v>24</v>
      </c>
      <c r="E306" s="41" t="s">
        <v>32</v>
      </c>
      <c r="F306" s="41" t="s">
        <v>25</v>
      </c>
      <c r="G306" s="41" t="s">
        <v>25</v>
      </c>
      <c r="H306" s="41" t="s">
        <v>25</v>
      </c>
      <c r="I306" s="61">
        <v>44501</v>
      </c>
      <c r="J306" s="62">
        <f>EFEITO!$J$306*EFEITO!$Y$230</f>
        <v>0</v>
      </c>
      <c r="K306" s="62">
        <f ca="1">EFEITO!$L$306*EFEITO!$Z$303</f>
        <v>48.397638513219839</v>
      </c>
      <c r="L306" s="62">
        <f>EFEITO!$N$306*EFEITO!$AA$303</f>
        <v>26.740314641293022</v>
      </c>
      <c r="M306" s="62">
        <f>$J$306-EFEITO!$K$306*EFEITO!$Y$306</f>
        <v>0</v>
      </c>
      <c r="N306" s="62">
        <f ca="1">$K$306-EFEITO!$M$306*EFEITO!$Z$306</f>
        <v>0</v>
      </c>
      <c r="O306" s="62">
        <f>$L$306-EFEITO!$O$306*EFEITO!$AA$306</f>
        <v>0</v>
      </c>
      <c r="P306" s="45"/>
      <c r="Q306" s="45"/>
      <c r="R306" s="45"/>
      <c r="S306" s="45"/>
      <c r="T306" s="45"/>
      <c r="U306" s="45"/>
      <c r="V306" s="45"/>
      <c r="W306" s="45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41" t="s">
        <v>21</v>
      </c>
      <c r="B307" s="41" t="s">
        <v>22</v>
      </c>
      <c r="C307" s="41" t="s">
        <v>23</v>
      </c>
      <c r="D307" s="41" t="s">
        <v>24</v>
      </c>
      <c r="E307" s="41" t="s">
        <v>32</v>
      </c>
      <c r="F307" s="41" t="s">
        <v>25</v>
      </c>
      <c r="G307" s="41" t="s">
        <v>25</v>
      </c>
      <c r="H307" s="41" t="s">
        <v>25</v>
      </c>
      <c r="I307" s="61">
        <v>44531</v>
      </c>
      <c r="J307" s="62">
        <f>EFEITO!$J$307*EFEITO!$Y$230</f>
        <v>0</v>
      </c>
      <c r="K307" s="62">
        <f ca="1">EFEITO!$L$307*EFEITO!$Z$303</f>
        <v>2885.3716591722605</v>
      </c>
      <c r="L307" s="62">
        <f>EFEITO!$N$307*EFEITO!$AA$303</f>
        <v>1594.2047668764008</v>
      </c>
      <c r="M307" s="62">
        <f>$J$307-EFEITO!$K$307*EFEITO!$Y$307</f>
        <v>0</v>
      </c>
      <c r="N307" s="62">
        <f ca="1">$K$307-EFEITO!$M$307*EFEITO!$Z$307</f>
        <v>0</v>
      </c>
      <c r="O307" s="62">
        <f>$L$307-EFEITO!$O$307*EFEITO!$AA$307</f>
        <v>0</v>
      </c>
      <c r="P307" s="45"/>
      <c r="Q307" s="45"/>
      <c r="R307" s="45"/>
      <c r="S307" s="45"/>
      <c r="T307" s="45"/>
      <c r="U307" s="45"/>
      <c r="V307" s="45"/>
      <c r="W307" s="45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41" t="s">
        <v>21</v>
      </c>
      <c r="B308" s="41" t="s">
        <v>22</v>
      </c>
      <c r="C308" s="41" t="s">
        <v>23</v>
      </c>
      <c r="D308" s="41" t="s">
        <v>24</v>
      </c>
      <c r="E308" s="41" t="s">
        <v>32</v>
      </c>
      <c r="F308" s="41" t="s">
        <v>25</v>
      </c>
      <c r="G308" s="41" t="s">
        <v>25</v>
      </c>
      <c r="H308" s="41" t="s">
        <v>25</v>
      </c>
      <c r="I308" s="61">
        <v>44562</v>
      </c>
      <c r="J308" s="62">
        <f>EFEITO!$J$308*EFEITO!$Y$230</f>
        <v>0</v>
      </c>
      <c r="K308" s="62">
        <f ca="1">EFEITO!$L$308*EFEITO!$Z$303</f>
        <v>6465.5506180300163</v>
      </c>
      <c r="L308" s="62">
        <f>EFEITO!$N$308*EFEITO!$AA$303</f>
        <v>3572.2994585387464</v>
      </c>
      <c r="M308" s="62">
        <f>$J$308-EFEITO!$K$308*EFEITO!$Y$308</f>
        <v>0</v>
      </c>
      <c r="N308" s="62">
        <f ca="1">$K$308-EFEITO!$M$308*EFEITO!$Z$308</f>
        <v>0</v>
      </c>
      <c r="O308" s="62">
        <f>$L$308-EFEITO!$O$308*EFEITO!$AA$308</f>
        <v>0</v>
      </c>
      <c r="P308" s="45"/>
      <c r="Q308" s="45"/>
      <c r="R308" s="45"/>
      <c r="S308" s="45"/>
      <c r="T308" s="45"/>
      <c r="U308" s="45"/>
      <c r="V308" s="45"/>
      <c r="W308" s="45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41" t="s">
        <v>21</v>
      </c>
      <c r="B309" s="41" t="s">
        <v>22</v>
      </c>
      <c r="C309" s="41" t="s">
        <v>23</v>
      </c>
      <c r="D309" s="41" t="s">
        <v>24</v>
      </c>
      <c r="E309" s="41" t="s">
        <v>32</v>
      </c>
      <c r="F309" s="41" t="s">
        <v>25</v>
      </c>
      <c r="G309" s="41" t="s">
        <v>25</v>
      </c>
      <c r="H309" s="41" t="s">
        <v>25</v>
      </c>
      <c r="I309" s="61">
        <v>44593</v>
      </c>
      <c r="J309" s="62">
        <f>EFEITO!$J$309*EFEITO!$Y$230</f>
        <v>0</v>
      </c>
      <c r="K309" s="62">
        <f ca="1">EFEITO!$L$309*EFEITO!$Z$303</f>
        <v>7341.9009909367724</v>
      </c>
      <c r="L309" s="62">
        <f>EFEITO!$N$309*EFEITO!$AA$303</f>
        <v>4056.4942545542622</v>
      </c>
      <c r="M309" s="62">
        <f>$J$309-EFEITO!$K$309*EFEITO!$Y$309</f>
        <v>0</v>
      </c>
      <c r="N309" s="62">
        <f ca="1">$K$309-EFEITO!$M$309*EFEITO!$Z$309</f>
        <v>0</v>
      </c>
      <c r="O309" s="62">
        <f>$L$309-EFEITO!$O$309*EFEITO!$AA$309</f>
        <v>0</v>
      </c>
      <c r="P309" s="45"/>
      <c r="Q309" s="45"/>
      <c r="R309" s="45"/>
      <c r="S309" s="45"/>
      <c r="T309" s="45"/>
      <c r="U309" s="45"/>
      <c r="V309" s="45"/>
      <c r="W309" s="45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41" t="s">
        <v>27</v>
      </c>
      <c r="B310" s="41" t="s">
        <v>22</v>
      </c>
      <c r="C310" s="41" t="s">
        <v>23</v>
      </c>
      <c r="D310" s="41" t="s">
        <v>24</v>
      </c>
      <c r="E310" s="41" t="s">
        <v>32</v>
      </c>
      <c r="F310" s="41" t="s">
        <v>25</v>
      </c>
      <c r="G310" s="41" t="s">
        <v>25</v>
      </c>
      <c r="H310" s="41" t="s">
        <v>25</v>
      </c>
      <c r="I310" s="61">
        <v>44593</v>
      </c>
      <c r="J310" s="62">
        <f>EFEITO!$J$310*EFEITO!$Y$230</f>
        <v>0</v>
      </c>
      <c r="K310" s="62">
        <f ca="1">EFEITO!$L$310*EFEITO!$Z$303</f>
        <v>-54.213663742276296</v>
      </c>
      <c r="L310" s="62">
        <f>EFEITO!$N$310*EFEITO!$AA$303</f>
        <v>-29.953743010203773</v>
      </c>
      <c r="M310" s="62">
        <f>$J$310-EFEITO!$K$310*EFEITO!$Y$310</f>
        <v>0</v>
      </c>
      <c r="N310" s="62">
        <f ca="1">$K$310-EFEITO!$M$310*EFEITO!$Z$310</f>
        <v>0</v>
      </c>
      <c r="O310" s="62">
        <f>$L$310-EFEITO!$O$310*EFEITO!$AA$310</f>
        <v>0</v>
      </c>
      <c r="P310" s="45"/>
      <c r="Q310" s="45"/>
      <c r="R310" s="45"/>
      <c r="S310" s="45"/>
      <c r="T310" s="45"/>
      <c r="U310" s="45"/>
      <c r="V310" s="45"/>
      <c r="W310" s="45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41" t="s">
        <v>21</v>
      </c>
      <c r="B311" s="41" t="s">
        <v>22</v>
      </c>
      <c r="C311" s="41" t="s">
        <v>23</v>
      </c>
      <c r="D311" s="41" t="s">
        <v>24</v>
      </c>
      <c r="E311" s="41" t="s">
        <v>32</v>
      </c>
      <c r="F311" s="41" t="s">
        <v>25</v>
      </c>
      <c r="G311" s="41" t="s">
        <v>25</v>
      </c>
      <c r="H311" s="41" t="s">
        <v>25</v>
      </c>
      <c r="I311" s="61">
        <v>44621</v>
      </c>
      <c r="J311" s="62">
        <f>EFEITO!$J$311*EFEITO!$Y$230</f>
        <v>0</v>
      </c>
      <c r="K311" s="62">
        <f ca="1">EFEITO!$L$311*EFEITO!$Z$303</f>
        <v>8515.9072264591705</v>
      </c>
      <c r="L311" s="62">
        <f>EFEITO!$N$311*EFEITO!$AA$303</f>
        <v>4705.1477238786747</v>
      </c>
      <c r="M311" s="62">
        <f>$J$311-EFEITO!$K$311*EFEITO!$Y$311</f>
        <v>0</v>
      </c>
      <c r="N311" s="62">
        <f ca="1">$K$311-EFEITO!$M$311*EFEITO!$Z$311</f>
        <v>0</v>
      </c>
      <c r="O311" s="62">
        <f>$L$311-EFEITO!$O$311*EFEITO!$AA$311</f>
        <v>0</v>
      </c>
      <c r="P311" s="45"/>
      <c r="Q311" s="45"/>
      <c r="R311" s="45"/>
      <c r="S311" s="45"/>
      <c r="T311" s="45"/>
      <c r="U311" s="45"/>
      <c r="V311" s="45"/>
      <c r="W311" s="45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41" t="s">
        <v>21</v>
      </c>
      <c r="B312" s="41" t="s">
        <v>22</v>
      </c>
      <c r="C312" s="41" t="s">
        <v>23</v>
      </c>
      <c r="D312" s="41" t="s">
        <v>24</v>
      </c>
      <c r="E312" s="41" t="s">
        <v>32</v>
      </c>
      <c r="F312" s="41" t="s">
        <v>25</v>
      </c>
      <c r="G312" s="41" t="s">
        <v>25</v>
      </c>
      <c r="H312" s="41" t="s">
        <v>25</v>
      </c>
      <c r="I312" s="61">
        <v>44652</v>
      </c>
      <c r="J312" s="62">
        <f>EFEITO!$J$312*EFEITO!$Y$230</f>
        <v>0</v>
      </c>
      <c r="K312" s="62">
        <f ca="1">EFEITO!$L$312*EFEITO!$Z$303</f>
        <v>5857.7759815936161</v>
      </c>
      <c r="L312" s="62">
        <f>EFEITO!$N$312*EFEITO!$AA$303</f>
        <v>3236.496193987573</v>
      </c>
      <c r="M312" s="62">
        <f>$J$312-EFEITO!$K$312*EFEITO!$Y$312</f>
        <v>0</v>
      </c>
      <c r="N312" s="62">
        <f ca="1">$K$312-EFEITO!$M$312*EFEITO!$Z$312</f>
        <v>0</v>
      </c>
      <c r="O312" s="62">
        <f>$L$312-EFEITO!$O$312*EFEITO!$AA$312</f>
        <v>0</v>
      </c>
      <c r="P312" s="45"/>
      <c r="Q312" s="45"/>
      <c r="R312" s="45"/>
      <c r="S312" s="45"/>
      <c r="T312" s="45"/>
      <c r="U312" s="45"/>
      <c r="V312" s="45"/>
      <c r="W312" s="45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41" t="s">
        <v>21</v>
      </c>
      <c r="B313" s="41" t="s">
        <v>22</v>
      </c>
      <c r="C313" s="41" t="s">
        <v>23</v>
      </c>
      <c r="D313" s="41" t="s">
        <v>24</v>
      </c>
      <c r="E313" s="41" t="s">
        <v>32</v>
      </c>
      <c r="F313" s="41" t="s">
        <v>25</v>
      </c>
      <c r="G313" s="41" t="s">
        <v>25</v>
      </c>
      <c r="H313" s="41" t="s">
        <v>25</v>
      </c>
      <c r="I313" s="61">
        <v>44682</v>
      </c>
      <c r="J313" s="62">
        <f>EFEITO!$J$313*EFEITO!$Y$230</f>
        <v>0</v>
      </c>
      <c r="K313" s="62">
        <f ca="1">EFEITO!$L$313*EFEITO!$Z$303</f>
        <v>4072.8793818335384</v>
      </c>
      <c r="L313" s="62">
        <f>EFEITO!$N$313*EFEITO!$AA$303</f>
        <v>2250.3179806286421</v>
      </c>
      <c r="M313" s="62">
        <f>$J$313-EFEITO!$K$313*EFEITO!$Y$313</f>
        <v>0</v>
      </c>
      <c r="N313" s="62">
        <f ca="1">$K$313-EFEITO!$M$313*EFEITO!$Z$313</f>
        <v>0</v>
      </c>
      <c r="O313" s="62">
        <f>$L$313-EFEITO!$O$313*EFEITO!$AA$313</f>
        <v>0</v>
      </c>
      <c r="P313" s="45"/>
      <c r="Q313" s="45"/>
      <c r="R313" s="45"/>
      <c r="S313" s="45"/>
      <c r="T313" s="45"/>
      <c r="U313" s="45"/>
      <c r="V313" s="45"/>
      <c r="W313" s="45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41" t="s">
        <v>21</v>
      </c>
      <c r="B314" s="41" t="s">
        <v>22</v>
      </c>
      <c r="C314" s="41" t="s">
        <v>23</v>
      </c>
      <c r="D314" s="41" t="s">
        <v>24</v>
      </c>
      <c r="E314" s="41" t="s">
        <v>32</v>
      </c>
      <c r="F314" s="41" t="s">
        <v>25</v>
      </c>
      <c r="G314" s="41" t="s">
        <v>25</v>
      </c>
      <c r="H314" s="41" t="s">
        <v>25</v>
      </c>
      <c r="I314" s="61">
        <v>44713</v>
      </c>
      <c r="J314" s="62">
        <f>EFEITO!$J$314*EFEITO!$Y$230</f>
        <v>0</v>
      </c>
      <c r="K314" s="62">
        <f ca="1">EFEITO!$L$314*EFEITO!$Z$303</f>
        <v>5306.2921607670123</v>
      </c>
      <c r="L314" s="62">
        <f>EFEITO!$N$314*EFEITO!$AA$303</f>
        <v>2931.7943254355</v>
      </c>
      <c r="M314" s="62">
        <f>$J$314-EFEITO!$K$314*EFEITO!$Y$314</f>
        <v>0</v>
      </c>
      <c r="N314" s="62">
        <f ca="1">$K$314-EFEITO!$M$314*EFEITO!$Z$314</f>
        <v>0</v>
      </c>
      <c r="O314" s="62">
        <f>$L$314-EFEITO!$O$314*EFEITO!$AA$314</f>
        <v>0</v>
      </c>
      <c r="P314" s="45"/>
      <c r="Q314" s="45"/>
      <c r="R314" s="45"/>
      <c r="S314" s="45"/>
      <c r="T314" s="45"/>
      <c r="U314" s="45"/>
      <c r="V314" s="45"/>
      <c r="W314" s="45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41" t="s">
        <v>21</v>
      </c>
      <c r="B315" s="41" t="s">
        <v>22</v>
      </c>
      <c r="C315" s="41" t="s">
        <v>23</v>
      </c>
      <c r="D315" s="41" t="s">
        <v>24</v>
      </c>
      <c r="E315" s="41" t="s">
        <v>32</v>
      </c>
      <c r="F315" s="41" t="s">
        <v>25</v>
      </c>
      <c r="G315" s="41" t="s">
        <v>25</v>
      </c>
      <c r="H315" s="41" t="s">
        <v>25</v>
      </c>
      <c r="I315" s="61">
        <v>44743</v>
      </c>
      <c r="J315" s="62">
        <f>EFEITO!$J$315*EFEITO!$Y$230</f>
        <v>0</v>
      </c>
      <c r="K315" s="62">
        <f ca="1">EFEITO!$L$315*EFEITO!$Z$303</f>
        <v>5177.5087449807615</v>
      </c>
      <c r="L315" s="62">
        <f>EFEITO!$N$315*EFEITO!$AA$303</f>
        <v>2860.6398401239048</v>
      </c>
      <c r="M315" s="62">
        <f>$J$315-EFEITO!$K$315*EFEITO!$Y$315</f>
        <v>0</v>
      </c>
      <c r="N315" s="62">
        <f ca="1">$K$315-EFEITO!$M$315*EFEITO!$Z$315</f>
        <v>0</v>
      </c>
      <c r="O315" s="62">
        <f>$L$315-EFEITO!$O$315*EFEITO!$AA$315</f>
        <v>0</v>
      </c>
      <c r="P315" s="45"/>
      <c r="Q315" s="45"/>
      <c r="R315" s="45"/>
      <c r="S315" s="45"/>
      <c r="T315" s="45"/>
      <c r="U315" s="45"/>
      <c r="V315" s="45"/>
      <c r="W315" s="45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41" t="s">
        <v>57</v>
      </c>
      <c r="B316" s="41" t="s">
        <v>22</v>
      </c>
      <c r="C316" s="41" t="s">
        <v>23</v>
      </c>
      <c r="D316" s="41" t="s">
        <v>24</v>
      </c>
      <c r="E316" s="41" t="s">
        <v>32</v>
      </c>
      <c r="F316" s="41" t="s">
        <v>25</v>
      </c>
      <c r="G316" s="41" t="s">
        <v>25</v>
      </c>
      <c r="H316" s="41" t="s">
        <v>25</v>
      </c>
      <c r="I316" s="61">
        <v>44774</v>
      </c>
      <c r="J316" s="62">
        <f>EFEITO!$J$316*EFEITO!$Y$230</f>
        <v>0</v>
      </c>
      <c r="K316" s="62">
        <f ca="1">EFEITO!$L$316*EFEITO!$Z$303</f>
        <v>5177.5087449807615</v>
      </c>
      <c r="L316" s="62">
        <f>EFEITO!$N$316*EFEITO!$AA$303</f>
        <v>2860.6398401239048</v>
      </c>
      <c r="M316" s="62">
        <f>$J$316-EFEITO!$K$316*EFEITO!$Y$316</f>
        <v>0</v>
      </c>
      <c r="N316" s="62">
        <f ca="1">$K$316-EFEITO!$M$316*EFEITO!$Z$316</f>
        <v>0</v>
      </c>
      <c r="O316" s="62">
        <f>$L$316-EFEITO!$O$316*EFEITO!$AA$316</f>
        <v>0</v>
      </c>
      <c r="P316" s="45"/>
      <c r="Q316" s="45"/>
      <c r="R316" s="45"/>
      <c r="S316" s="45"/>
      <c r="T316" s="45"/>
      <c r="U316" s="45"/>
      <c r="V316" s="45"/>
      <c r="W316" s="45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41" t="s">
        <v>21</v>
      </c>
      <c r="B317" s="41" t="s">
        <v>42</v>
      </c>
      <c r="C317" s="41" t="s">
        <v>23</v>
      </c>
      <c r="D317" s="41" t="s">
        <v>43</v>
      </c>
      <c r="E317" s="41" t="s">
        <v>51</v>
      </c>
      <c r="F317" s="41" t="s">
        <v>52</v>
      </c>
      <c r="G317" s="41" t="s">
        <v>25</v>
      </c>
      <c r="H317" s="41" t="s">
        <v>25</v>
      </c>
      <c r="I317" s="61">
        <v>44440</v>
      </c>
      <c r="J317" s="62">
        <f>EFEITO!$J$317*EFEITO!$Y$230</f>
        <v>0</v>
      </c>
      <c r="K317" s="62">
        <f ca="1">EFEITO!$L$317*EFEITO!$Z$230</f>
        <v>75141.045089537525</v>
      </c>
      <c r="L317" s="62">
        <f>EFEITO!$N$317*EFEITO!$AA$230</f>
        <v>25082.070837636184</v>
      </c>
      <c r="M317" s="62">
        <f>$J$317-EFEITO!$K$317*EFEITO!$Y$317</f>
        <v>0</v>
      </c>
      <c r="N317" s="62">
        <f ca="1">$K$317-EFEITO!$M$317*EFEITO!$Z$317</f>
        <v>4508.4627053722506</v>
      </c>
      <c r="O317" s="62">
        <f>$L$317-EFEITO!$O$317*EFEITO!$AA$317</f>
        <v>1504.9242502581728</v>
      </c>
      <c r="P317" s="45"/>
      <c r="Q317" s="45"/>
      <c r="R317" s="45"/>
      <c r="S317" s="45"/>
      <c r="T317" s="45"/>
      <c r="U317" s="45"/>
      <c r="V317" s="45"/>
      <c r="W317" s="45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41" t="s">
        <v>21</v>
      </c>
      <c r="B318" s="41" t="s">
        <v>42</v>
      </c>
      <c r="C318" s="41" t="s">
        <v>23</v>
      </c>
      <c r="D318" s="41" t="s">
        <v>43</v>
      </c>
      <c r="E318" s="41" t="s">
        <v>51</v>
      </c>
      <c r="F318" s="41" t="s">
        <v>52</v>
      </c>
      <c r="G318" s="41" t="s">
        <v>25</v>
      </c>
      <c r="H318" s="41" t="s">
        <v>25</v>
      </c>
      <c r="I318" s="61">
        <v>44470</v>
      </c>
      <c r="J318" s="62">
        <f>EFEITO!$J$318*EFEITO!$Y$230</f>
        <v>0</v>
      </c>
      <c r="K318" s="62">
        <f ca="1">EFEITO!$L$318*EFEITO!$Z$230</f>
        <v>48079.734375093729</v>
      </c>
      <c r="L318" s="62">
        <f>EFEITO!$N$318*EFEITO!$AA$230</f>
        <v>16049.008927329181</v>
      </c>
      <c r="M318" s="62">
        <f>$J$318-EFEITO!$K$318*EFEITO!$Y$318</f>
        <v>0</v>
      </c>
      <c r="N318" s="62">
        <f ca="1">$K$318-EFEITO!$M$318*EFEITO!$Z$318</f>
        <v>2884.7840625056269</v>
      </c>
      <c r="O318" s="62">
        <f>$L$318-EFEITO!$O$318*EFEITO!$AA$318</f>
        <v>962.94053563975285</v>
      </c>
      <c r="P318" s="45"/>
      <c r="Q318" s="45"/>
      <c r="R318" s="45"/>
      <c r="S318" s="45"/>
      <c r="T318" s="45"/>
      <c r="U318" s="45"/>
      <c r="V318" s="45"/>
      <c r="W318" s="45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41" t="s">
        <v>21</v>
      </c>
      <c r="B319" s="41" t="s">
        <v>42</v>
      </c>
      <c r="C319" s="41" t="s">
        <v>23</v>
      </c>
      <c r="D319" s="41" t="s">
        <v>43</v>
      </c>
      <c r="E319" s="41" t="s">
        <v>51</v>
      </c>
      <c r="F319" s="41" t="s">
        <v>52</v>
      </c>
      <c r="G319" s="41" t="s">
        <v>25</v>
      </c>
      <c r="H319" s="41" t="s">
        <v>25</v>
      </c>
      <c r="I319" s="61">
        <v>44501</v>
      </c>
      <c r="J319" s="62">
        <f>EFEITO!$J$319*EFEITO!$Y$230</f>
        <v>0</v>
      </c>
      <c r="K319" s="62">
        <f ca="1">EFEITO!$L$319*EFEITO!$Z$230</f>
        <v>59050.173616812877</v>
      </c>
      <c r="L319" s="62">
        <f>EFEITO!$N$319*EFEITO!$AA$230</f>
        <v>19710.940084300757</v>
      </c>
      <c r="M319" s="62">
        <f>$J$319-EFEITO!$K$319*EFEITO!$Y$319</f>
        <v>0</v>
      </c>
      <c r="N319" s="62">
        <f ca="1">$K$319-EFEITO!$M$319*EFEITO!$Z$319</f>
        <v>3543.0104170087725</v>
      </c>
      <c r="O319" s="62">
        <f>$L$319-EFEITO!$O$319*EFEITO!$AA$319</f>
        <v>1182.6564050580455</v>
      </c>
      <c r="P319" s="45"/>
      <c r="Q319" s="45"/>
      <c r="R319" s="45"/>
      <c r="S319" s="45"/>
      <c r="T319" s="45"/>
      <c r="U319" s="45"/>
      <c r="V319" s="45"/>
      <c r="W319" s="45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41" t="s">
        <v>21</v>
      </c>
      <c r="B320" s="41" t="s">
        <v>42</v>
      </c>
      <c r="C320" s="41" t="s">
        <v>23</v>
      </c>
      <c r="D320" s="41" t="s">
        <v>43</v>
      </c>
      <c r="E320" s="41" t="s">
        <v>51</v>
      </c>
      <c r="F320" s="41" t="s">
        <v>52</v>
      </c>
      <c r="G320" s="41" t="s">
        <v>25</v>
      </c>
      <c r="H320" s="41" t="s">
        <v>25</v>
      </c>
      <c r="I320" s="61">
        <v>44531</v>
      </c>
      <c r="J320" s="62">
        <f>EFEITO!$J$320*EFEITO!$Y$230</f>
        <v>0</v>
      </c>
      <c r="K320" s="62">
        <f ca="1">EFEITO!$L$320*EFEITO!$Z$230</f>
        <v>56105.400766577062</v>
      </c>
      <c r="L320" s="62">
        <f>EFEITO!$N$320*EFEITO!$AA$230</f>
        <v>18727.975299310736</v>
      </c>
      <c r="M320" s="62">
        <f>$J$320-EFEITO!$K$320*EFEITO!$Y$320</f>
        <v>0</v>
      </c>
      <c r="N320" s="62">
        <f ca="1">$K$320-EFEITO!$M$320*EFEITO!$Z$320</f>
        <v>3366.3240459946319</v>
      </c>
      <c r="O320" s="62">
        <f>$L$320-EFEITO!$O$320*EFEITO!$AA$320</f>
        <v>1123.6785179586441</v>
      </c>
      <c r="P320" s="45"/>
      <c r="Q320" s="45"/>
      <c r="R320" s="45"/>
      <c r="S320" s="45"/>
      <c r="T320" s="45"/>
      <c r="U320" s="45"/>
      <c r="V320" s="45"/>
      <c r="W320" s="45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41" t="s">
        <v>21</v>
      </c>
      <c r="B321" s="41" t="s">
        <v>42</v>
      </c>
      <c r="C321" s="41" t="s">
        <v>23</v>
      </c>
      <c r="D321" s="41" t="s">
        <v>43</v>
      </c>
      <c r="E321" s="41" t="s">
        <v>51</v>
      </c>
      <c r="F321" s="41" t="s">
        <v>52</v>
      </c>
      <c r="G321" s="41" t="s">
        <v>25</v>
      </c>
      <c r="H321" s="41" t="s">
        <v>25</v>
      </c>
      <c r="I321" s="61">
        <v>44562</v>
      </c>
      <c r="J321" s="62">
        <f>EFEITO!$J$321*EFEITO!$Y$230</f>
        <v>0</v>
      </c>
      <c r="K321" s="62">
        <f ca="1">EFEITO!$L$321*EFEITO!$Z$230</f>
        <v>68910.091398373057</v>
      </c>
      <c r="L321" s="62">
        <f>EFEITO!$N$321*EFEITO!$AA$230</f>
        <v>23002.179325858702</v>
      </c>
      <c r="M321" s="62">
        <f>$J$321-EFEITO!$K$321*EFEITO!$Y$321</f>
        <v>0</v>
      </c>
      <c r="N321" s="62">
        <f ca="1">$K$321-EFEITO!$M$321*EFEITO!$Z$321</f>
        <v>4134.6054839023927</v>
      </c>
      <c r="O321" s="62">
        <f>$L$321-EFEITO!$O$321*EFEITO!$AA$321</f>
        <v>1380.1307595515245</v>
      </c>
      <c r="P321" s="45"/>
      <c r="Q321" s="45"/>
      <c r="R321" s="45"/>
      <c r="S321" s="45"/>
      <c r="T321" s="45"/>
      <c r="U321" s="45"/>
      <c r="V321" s="45"/>
      <c r="W321" s="45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41" t="s">
        <v>21</v>
      </c>
      <c r="B322" s="41" t="s">
        <v>42</v>
      </c>
      <c r="C322" s="41" t="s">
        <v>23</v>
      </c>
      <c r="D322" s="41" t="s">
        <v>43</v>
      </c>
      <c r="E322" s="41" t="s">
        <v>51</v>
      </c>
      <c r="F322" s="41" t="s">
        <v>52</v>
      </c>
      <c r="G322" s="41" t="s">
        <v>25</v>
      </c>
      <c r="H322" s="41" t="s">
        <v>25</v>
      </c>
      <c r="I322" s="61">
        <v>44593</v>
      </c>
      <c r="J322" s="62">
        <f>EFEITO!$J$322*EFEITO!$Y$230</f>
        <v>0</v>
      </c>
      <c r="K322" s="62">
        <f ca="1">EFEITO!$L$322*EFEITO!$Z$230</f>
        <v>17463.379729366967</v>
      </c>
      <c r="L322" s="62">
        <f>EFEITO!$N$322*EFEITO!$AA$230</f>
        <v>5829.2738265029893</v>
      </c>
      <c r="M322" s="62">
        <f>$J$322-EFEITO!$K$322*EFEITO!$Y$322</f>
        <v>0</v>
      </c>
      <c r="N322" s="62">
        <f ca="1">$K$322-EFEITO!$M$322*EFEITO!$Z$322</f>
        <v>1047.8027837620211</v>
      </c>
      <c r="O322" s="62">
        <f>$L$322-EFEITO!$O$322*EFEITO!$AA$322</f>
        <v>349.75642959018023</v>
      </c>
      <c r="P322" s="45"/>
      <c r="Q322" s="45"/>
      <c r="R322" s="45"/>
      <c r="S322" s="45"/>
      <c r="T322" s="45"/>
      <c r="U322" s="45"/>
      <c r="V322" s="45"/>
      <c r="W322" s="45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41" t="s">
        <v>28</v>
      </c>
      <c r="B323" s="41" t="s">
        <v>42</v>
      </c>
      <c r="C323" s="41" t="s">
        <v>23</v>
      </c>
      <c r="D323" s="41" t="s">
        <v>43</v>
      </c>
      <c r="E323" s="41" t="s">
        <v>51</v>
      </c>
      <c r="F323" s="41" t="s">
        <v>52</v>
      </c>
      <c r="G323" s="41" t="s">
        <v>25</v>
      </c>
      <c r="H323" s="41" t="s">
        <v>25</v>
      </c>
      <c r="I323" s="61">
        <v>44593</v>
      </c>
      <c r="J323" s="62">
        <f>EFEITO!$J$323*EFEITO!$Y$230</f>
        <v>0</v>
      </c>
      <c r="K323" s="62">
        <f ca="1">EFEITO!$L$323*EFEITO!$Z$230</f>
        <v>34.381469354767326</v>
      </c>
      <c r="L323" s="62">
        <f>EFEITO!$N$323*EFEITO!$AA$230</f>
        <v>11.476529888966963</v>
      </c>
      <c r="M323" s="62">
        <f>$J$323-EFEITO!$K$323*EFEITO!$Y$323</f>
        <v>0</v>
      </c>
      <c r="N323" s="62">
        <f ca="1">$K$323-EFEITO!$M$323*EFEITO!$Z$323</f>
        <v>2.0628881612860397</v>
      </c>
      <c r="O323" s="62">
        <f>$L$323-EFEITO!$O$323*EFEITO!$AA$323</f>
        <v>0.68859179333801812</v>
      </c>
      <c r="P323" s="45"/>
      <c r="Q323" s="45"/>
      <c r="R323" s="45"/>
      <c r="S323" s="45"/>
      <c r="T323" s="45"/>
      <c r="U323" s="45"/>
      <c r="V323" s="45"/>
      <c r="W323" s="45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41" t="s">
        <v>21</v>
      </c>
      <c r="B324" s="41" t="s">
        <v>42</v>
      </c>
      <c r="C324" s="41" t="s">
        <v>23</v>
      </c>
      <c r="D324" s="41" t="s">
        <v>43</v>
      </c>
      <c r="E324" s="41" t="s">
        <v>51</v>
      </c>
      <c r="F324" s="41" t="s">
        <v>52</v>
      </c>
      <c r="G324" s="41" t="s">
        <v>25</v>
      </c>
      <c r="H324" s="41" t="s">
        <v>25</v>
      </c>
      <c r="I324" s="61">
        <v>44621</v>
      </c>
      <c r="J324" s="62">
        <f>EFEITO!$J$324*EFEITO!$Y$230</f>
        <v>0</v>
      </c>
      <c r="K324" s="62">
        <f ca="1">EFEITO!$L$324*EFEITO!$Z$230</f>
        <v>7976.8447049995675</v>
      </c>
      <c r="L324" s="62">
        <f>EFEITO!$N$324*EFEITO!$AA$230</f>
        <v>2662.6696995392249</v>
      </c>
      <c r="M324" s="62">
        <f>$J$324-EFEITO!$K$324*EFEITO!$Y$324</f>
        <v>0</v>
      </c>
      <c r="N324" s="62">
        <f ca="1">$K$324-EFEITO!$M$324*EFEITO!$Z$324</f>
        <v>478.61068229997545</v>
      </c>
      <c r="O324" s="62">
        <f>$L$324-EFEITO!$O$324*EFEITO!$AA$324</f>
        <v>159.76018197235362</v>
      </c>
      <c r="P324" s="45"/>
      <c r="Q324" s="45"/>
      <c r="R324" s="45"/>
      <c r="S324" s="45"/>
      <c r="T324" s="45"/>
      <c r="U324" s="45"/>
      <c r="V324" s="45"/>
      <c r="W324" s="45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41" t="s">
        <v>28</v>
      </c>
      <c r="B325" s="41" t="s">
        <v>42</v>
      </c>
      <c r="C325" s="41" t="s">
        <v>23</v>
      </c>
      <c r="D325" s="41" t="s">
        <v>43</v>
      </c>
      <c r="E325" s="41" t="s">
        <v>51</v>
      </c>
      <c r="F325" s="41" t="s">
        <v>52</v>
      </c>
      <c r="G325" s="41" t="s">
        <v>25</v>
      </c>
      <c r="H325" s="41" t="s">
        <v>25</v>
      </c>
      <c r="I325" s="61">
        <v>44621</v>
      </c>
      <c r="J325" s="62">
        <f>EFEITO!$J$325*EFEITO!$Y$230</f>
        <v>0</v>
      </c>
      <c r="K325" s="62">
        <f ca="1">EFEITO!$L$325*EFEITO!$Z$230</f>
        <v>34.381469354767326</v>
      </c>
      <c r="L325" s="62">
        <f>EFEITO!$N$325*EFEITO!$AA$230</f>
        <v>11.476529888966963</v>
      </c>
      <c r="M325" s="62">
        <f>$J$325-EFEITO!$K$325*EFEITO!$Y$325</f>
        <v>0</v>
      </c>
      <c r="N325" s="62">
        <f ca="1">$K$325-EFEITO!$M$325*EFEITO!$Z$325</f>
        <v>2.0628881612860397</v>
      </c>
      <c r="O325" s="62">
        <f>$L$325-EFEITO!$O$325*EFEITO!$AA$325</f>
        <v>0.68859179333801812</v>
      </c>
      <c r="P325" s="45"/>
      <c r="Q325" s="45"/>
      <c r="R325" s="45"/>
      <c r="S325" s="45"/>
      <c r="T325" s="45"/>
      <c r="U325" s="45"/>
      <c r="V325" s="45"/>
      <c r="W325" s="45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41" t="s">
        <v>21</v>
      </c>
      <c r="B326" s="41" t="s">
        <v>42</v>
      </c>
      <c r="C326" s="41" t="s">
        <v>23</v>
      </c>
      <c r="D326" s="41" t="s">
        <v>43</v>
      </c>
      <c r="E326" s="41" t="s">
        <v>51</v>
      </c>
      <c r="F326" s="41" t="s">
        <v>52</v>
      </c>
      <c r="G326" s="41" t="s">
        <v>25</v>
      </c>
      <c r="H326" s="41" t="s">
        <v>25</v>
      </c>
      <c r="I326" s="61">
        <v>44652</v>
      </c>
      <c r="J326" s="62">
        <f>EFEITO!$J$326*EFEITO!$Y$230</f>
        <v>0</v>
      </c>
      <c r="K326" s="62">
        <f ca="1">EFEITO!$L$326*EFEITO!$Z$230</f>
        <v>6884.2016089050612</v>
      </c>
      <c r="L326" s="62">
        <f>EFEITO!$N$326*EFEITO!$AA$230</f>
        <v>2297.9455796678549</v>
      </c>
      <c r="M326" s="62">
        <f>$J$326-EFEITO!$K$326*EFEITO!$Y$326</f>
        <v>0</v>
      </c>
      <c r="N326" s="62">
        <f ca="1">$K$326-EFEITO!$M$326*EFEITO!$Z$326</f>
        <v>413.05209653430393</v>
      </c>
      <c r="O326" s="62">
        <f>$L$326-EFEITO!$O$326*EFEITO!$AA$326</f>
        <v>137.87673478007127</v>
      </c>
      <c r="P326" s="45"/>
      <c r="Q326" s="45"/>
      <c r="R326" s="45"/>
      <c r="S326" s="45"/>
      <c r="T326" s="45"/>
      <c r="U326" s="45"/>
      <c r="V326" s="45"/>
      <c r="W326" s="45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41" t="s">
        <v>21</v>
      </c>
      <c r="B327" s="41" t="s">
        <v>42</v>
      </c>
      <c r="C327" s="41" t="s">
        <v>23</v>
      </c>
      <c r="D327" s="41" t="s">
        <v>43</v>
      </c>
      <c r="E327" s="41" t="s">
        <v>51</v>
      </c>
      <c r="F327" s="41" t="s">
        <v>52</v>
      </c>
      <c r="G327" s="41" t="s">
        <v>25</v>
      </c>
      <c r="H327" s="41" t="s">
        <v>25</v>
      </c>
      <c r="I327" s="61">
        <v>44682</v>
      </c>
      <c r="J327" s="62">
        <f>EFEITO!$J$327*EFEITO!$Y$230</f>
        <v>0</v>
      </c>
      <c r="K327" s="62">
        <f ca="1">EFEITO!$L$327*EFEITO!$Z$230</f>
        <v>3578.4233304441827</v>
      </c>
      <c r="L327" s="62">
        <f>EFEITO!$N$327*EFEITO!$AA$230</f>
        <v>1194.4772308436814</v>
      </c>
      <c r="M327" s="62">
        <f>$J$327-EFEITO!$K$327*EFEITO!$Y$327</f>
        <v>0</v>
      </c>
      <c r="N327" s="62">
        <f ca="1">$K$327-EFEITO!$M$327*EFEITO!$Z$327</f>
        <v>214.70539982665105</v>
      </c>
      <c r="O327" s="62">
        <f>$L$327-EFEITO!$O$327*EFEITO!$AA$327</f>
        <v>71.668633850620836</v>
      </c>
      <c r="P327" s="45"/>
      <c r="Q327" s="45"/>
      <c r="R327" s="45"/>
      <c r="S327" s="45"/>
      <c r="T327" s="45"/>
      <c r="U327" s="45"/>
      <c r="V327" s="45"/>
      <c r="W327" s="45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41" t="s">
        <v>27</v>
      </c>
      <c r="B328" s="41" t="s">
        <v>42</v>
      </c>
      <c r="C328" s="41" t="s">
        <v>23</v>
      </c>
      <c r="D328" s="41" t="s">
        <v>43</v>
      </c>
      <c r="E328" s="41" t="s">
        <v>51</v>
      </c>
      <c r="F328" s="41" t="s">
        <v>52</v>
      </c>
      <c r="G328" s="41" t="s">
        <v>25</v>
      </c>
      <c r="H328" s="41" t="s">
        <v>25</v>
      </c>
      <c r="I328" s="61">
        <v>44682</v>
      </c>
      <c r="J328" s="62">
        <f>EFEITO!$J$328*EFEITO!$Y$230</f>
        <v>0</v>
      </c>
      <c r="K328" s="62">
        <f ca="1">EFEITO!$L$328*EFEITO!$Z$230</f>
        <v>-3332.2520098640493</v>
      </c>
      <c r="L328" s="62">
        <f>EFEITO!$N$328*EFEITO!$AA$230</f>
        <v>-1112.3052768386781</v>
      </c>
      <c r="M328" s="62">
        <f>$J$328-EFEITO!$K$328*EFEITO!$Y$328</f>
        <v>0</v>
      </c>
      <c r="N328" s="62">
        <f ca="1">$K$328-EFEITO!$M$328*EFEITO!$Z$328</f>
        <v>-199.93512059184332</v>
      </c>
      <c r="O328" s="62">
        <f>$L$328-EFEITO!$O$328*EFEITO!$AA$328</f>
        <v>-66.738316610320908</v>
      </c>
      <c r="P328" s="45"/>
      <c r="Q328" s="45"/>
      <c r="R328" s="45"/>
      <c r="S328" s="45"/>
      <c r="T328" s="45"/>
      <c r="U328" s="45"/>
      <c r="V328" s="45"/>
      <c r="W328" s="45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41" t="s">
        <v>21</v>
      </c>
      <c r="B329" s="41" t="s">
        <v>42</v>
      </c>
      <c r="C329" s="41" t="s">
        <v>23</v>
      </c>
      <c r="D329" s="41" t="s">
        <v>43</v>
      </c>
      <c r="E329" s="41" t="s">
        <v>51</v>
      </c>
      <c r="F329" s="41" t="s">
        <v>52</v>
      </c>
      <c r="G329" s="41" t="s">
        <v>25</v>
      </c>
      <c r="H329" s="41" t="s">
        <v>25</v>
      </c>
      <c r="I329" s="61">
        <v>44713</v>
      </c>
      <c r="J329" s="62">
        <f>EFEITO!$J$329*EFEITO!$Y$230</f>
        <v>0</v>
      </c>
      <c r="K329" s="62">
        <f ca="1">EFEITO!$L$329*EFEITO!$Z$230</f>
        <v>3144.1853724934717</v>
      </c>
      <c r="L329" s="62">
        <f>EFEITO!$N$329*EFEITO!$AA$230</f>
        <v>1049.5286583460286</v>
      </c>
      <c r="M329" s="62">
        <f>$J$329-EFEITO!$K$329*EFEITO!$Y$329</f>
        <v>0</v>
      </c>
      <c r="N329" s="62">
        <f ca="1">$K$329-EFEITO!$M$329*EFEITO!$Z$329</f>
        <v>188.65112234960861</v>
      </c>
      <c r="O329" s="62">
        <f>$L$329-EFEITO!$O$329*EFEITO!$AA$329</f>
        <v>62.971719500761765</v>
      </c>
      <c r="P329" s="45"/>
      <c r="Q329" s="45"/>
      <c r="R329" s="45"/>
      <c r="S329" s="45"/>
      <c r="T329" s="45"/>
      <c r="U329" s="45"/>
      <c r="V329" s="45"/>
      <c r="W329" s="45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41" t="s">
        <v>21</v>
      </c>
      <c r="B330" s="41" t="s">
        <v>42</v>
      </c>
      <c r="C330" s="41" t="s">
        <v>23</v>
      </c>
      <c r="D330" s="41" t="s">
        <v>43</v>
      </c>
      <c r="E330" s="41" t="s">
        <v>51</v>
      </c>
      <c r="F330" s="41" t="s">
        <v>52</v>
      </c>
      <c r="G330" s="41" t="s">
        <v>25</v>
      </c>
      <c r="H330" s="41" t="s">
        <v>25</v>
      </c>
      <c r="I330" s="61">
        <v>44743</v>
      </c>
      <c r="J330" s="62">
        <f>EFEITO!$J$330*EFEITO!$Y$230</f>
        <v>0</v>
      </c>
      <c r="K330" s="62">
        <f ca="1">EFEITO!$L$330*EFEITO!$Z$230</f>
        <v>4682.4123114257618</v>
      </c>
      <c r="L330" s="62">
        <f>EFEITO!$N$330*EFEITO!$AA$230</f>
        <v>1562.9886055784107</v>
      </c>
      <c r="M330" s="62">
        <f>$J$330-EFEITO!$K$330*EFEITO!$Y$330</f>
        <v>0</v>
      </c>
      <c r="N330" s="62">
        <f ca="1">$K$330-EFEITO!$M$330*EFEITO!$Z$330</f>
        <v>280.94473868554633</v>
      </c>
      <c r="O330" s="62">
        <f>$L$330-EFEITO!$O$330*EFEITO!$AA$330</f>
        <v>93.779316334704845</v>
      </c>
      <c r="P330" s="45"/>
      <c r="Q330" s="45"/>
      <c r="R330" s="45"/>
      <c r="S330" s="45"/>
      <c r="T330" s="45"/>
      <c r="U330" s="45"/>
      <c r="V330" s="45"/>
      <c r="W330" s="45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41" t="s">
        <v>57</v>
      </c>
      <c r="B331" s="41" t="s">
        <v>42</v>
      </c>
      <c r="C331" s="41" t="s">
        <v>23</v>
      </c>
      <c r="D331" s="41" t="s">
        <v>43</v>
      </c>
      <c r="E331" s="41" t="s">
        <v>51</v>
      </c>
      <c r="F331" s="41" t="s">
        <v>52</v>
      </c>
      <c r="G331" s="41" t="s">
        <v>25</v>
      </c>
      <c r="H331" s="41" t="s">
        <v>25</v>
      </c>
      <c r="I331" s="61">
        <v>44774</v>
      </c>
      <c r="J331" s="62">
        <f>EFEITO!$J$331*EFEITO!$Y$230</f>
        <v>0</v>
      </c>
      <c r="K331" s="62">
        <f ca="1">EFEITO!$L$331*EFEITO!$Z$230</f>
        <v>4682.4123114257618</v>
      </c>
      <c r="L331" s="62">
        <f>EFEITO!$N$331*EFEITO!$AA$230</f>
        <v>1562.9886055784107</v>
      </c>
      <c r="M331" s="62">
        <f>$J$331-EFEITO!$K$331*EFEITO!$Y$331</f>
        <v>0</v>
      </c>
      <c r="N331" s="62">
        <f ca="1">$K$331-EFEITO!$M$331*EFEITO!$Z$331</f>
        <v>280.94473868554633</v>
      </c>
      <c r="O331" s="62">
        <f>$L$331-EFEITO!$O$331*EFEITO!$AA$331</f>
        <v>93.779316334704845</v>
      </c>
      <c r="P331" s="45"/>
      <c r="Q331" s="45"/>
      <c r="R331" s="45"/>
      <c r="S331" s="45"/>
      <c r="T331" s="45"/>
      <c r="U331" s="45"/>
      <c r="V331" s="45"/>
      <c r="W331" s="45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41" t="s">
        <v>21</v>
      </c>
      <c r="B332" s="41" t="s">
        <v>42</v>
      </c>
      <c r="C332" s="41" t="s">
        <v>23</v>
      </c>
      <c r="D332" s="41" t="s">
        <v>43</v>
      </c>
      <c r="E332" s="41" t="s">
        <v>51</v>
      </c>
      <c r="F332" s="41" t="s">
        <v>53</v>
      </c>
      <c r="G332" s="41" t="s">
        <v>25</v>
      </c>
      <c r="H332" s="41" t="s">
        <v>25</v>
      </c>
      <c r="I332" s="61">
        <v>44440</v>
      </c>
      <c r="J332" s="62">
        <f>EFEITO!$J$332*EFEITO!$Y$230</f>
        <v>0</v>
      </c>
      <c r="K332" s="62">
        <f ca="1">EFEITO!$L$332*EFEITO!$Z$230</f>
        <v>35462.766565974758</v>
      </c>
      <c r="L332" s="62">
        <f>EFEITO!$N$332*EFEITO!$AA$230</f>
        <v>11837.466753974973</v>
      </c>
      <c r="M332" s="62">
        <f>$J$332-EFEITO!$K$332*EFEITO!$Y$332</f>
        <v>0</v>
      </c>
      <c r="N332" s="62">
        <f ca="1">$K$332-EFEITO!$M$332*EFEITO!$Z$332</f>
        <v>22128.76633716825</v>
      </c>
      <c r="O332" s="62">
        <f>$L$332-EFEITO!$O$332*EFEITO!$AA$332</f>
        <v>7386.5792544803835</v>
      </c>
      <c r="P332" s="45"/>
      <c r="Q332" s="45"/>
      <c r="R332" s="45"/>
      <c r="S332" s="45"/>
      <c r="T332" s="45"/>
      <c r="U332" s="45"/>
      <c r="V332" s="45"/>
      <c r="W332" s="45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41" t="s">
        <v>21</v>
      </c>
      <c r="B333" s="41" t="s">
        <v>42</v>
      </c>
      <c r="C333" s="41" t="s">
        <v>23</v>
      </c>
      <c r="D333" s="41" t="s">
        <v>43</v>
      </c>
      <c r="E333" s="41" t="s">
        <v>51</v>
      </c>
      <c r="F333" s="41" t="s">
        <v>53</v>
      </c>
      <c r="G333" s="41" t="s">
        <v>25</v>
      </c>
      <c r="H333" s="41" t="s">
        <v>25</v>
      </c>
      <c r="I333" s="61">
        <v>44470</v>
      </c>
      <c r="J333" s="62">
        <f>EFEITO!$J$333*EFEITO!$Y$230</f>
        <v>0</v>
      </c>
      <c r="K333" s="62">
        <f ca="1">EFEITO!$L$333*EFEITO!$Z$230</f>
        <v>27351.146501104504</v>
      </c>
      <c r="L333" s="62">
        <f>EFEITO!$N$333*EFEITO!$AA$230</f>
        <v>9129.8090572709989</v>
      </c>
      <c r="M333" s="62">
        <f>$J$333-EFEITO!$K$333*EFEITO!$Y$333</f>
        <v>0</v>
      </c>
      <c r="N333" s="62">
        <f ca="1">$K$333-EFEITO!$M$333*EFEITO!$Z$333</f>
        <v>17067.115416689212</v>
      </c>
      <c r="O333" s="62">
        <f>$L$333-EFEITO!$O$333*EFEITO!$AA$333</f>
        <v>5697.0008517371043</v>
      </c>
      <c r="P333" s="45"/>
      <c r="Q333" s="45"/>
      <c r="R333" s="45"/>
      <c r="S333" s="45"/>
      <c r="T333" s="45"/>
      <c r="U333" s="45"/>
      <c r="V333" s="45"/>
      <c r="W333" s="45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41" t="s">
        <v>21</v>
      </c>
      <c r="B334" s="41" t="s">
        <v>42</v>
      </c>
      <c r="C334" s="41" t="s">
        <v>23</v>
      </c>
      <c r="D334" s="41" t="s">
        <v>43</v>
      </c>
      <c r="E334" s="41" t="s">
        <v>51</v>
      </c>
      <c r="F334" s="41" t="s">
        <v>53</v>
      </c>
      <c r="G334" s="41" t="s">
        <v>25</v>
      </c>
      <c r="H334" s="41" t="s">
        <v>25</v>
      </c>
      <c r="I334" s="61">
        <v>44501</v>
      </c>
      <c r="J334" s="62">
        <f>EFEITO!$J$334*EFEITO!$Y$230</f>
        <v>0</v>
      </c>
      <c r="K334" s="62">
        <f ca="1">EFEITO!$L$334*EFEITO!$Z$230</f>
        <v>37382.627814744963</v>
      </c>
      <c r="L334" s="62">
        <f>EFEITO!$N$334*EFEITO!$AA$230</f>
        <v>12478.316182974888</v>
      </c>
      <c r="M334" s="62">
        <f>$J$334-EFEITO!$K$334*EFEITO!$Y$334</f>
        <v>0</v>
      </c>
      <c r="N334" s="62">
        <f ca="1">$K$334-EFEITO!$M$334*EFEITO!$Z$334</f>
        <v>23326.759756400857</v>
      </c>
      <c r="O334" s="62">
        <f>$L$334-EFEITO!$O$334*EFEITO!$AA$334</f>
        <v>7786.4692981763301</v>
      </c>
      <c r="P334" s="45"/>
      <c r="Q334" s="45"/>
      <c r="R334" s="45"/>
      <c r="S334" s="45"/>
      <c r="T334" s="45"/>
      <c r="U334" s="45"/>
      <c r="V334" s="45"/>
      <c r="W334" s="45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41" t="s">
        <v>21</v>
      </c>
      <c r="B335" s="41" t="s">
        <v>42</v>
      </c>
      <c r="C335" s="41" t="s">
        <v>23</v>
      </c>
      <c r="D335" s="41" t="s">
        <v>43</v>
      </c>
      <c r="E335" s="41" t="s">
        <v>51</v>
      </c>
      <c r="F335" s="41" t="s">
        <v>53</v>
      </c>
      <c r="G335" s="41" t="s">
        <v>25</v>
      </c>
      <c r="H335" s="41" t="s">
        <v>25</v>
      </c>
      <c r="I335" s="61">
        <v>44531</v>
      </c>
      <c r="J335" s="62">
        <f>EFEITO!$J$335*EFEITO!$Y$230</f>
        <v>0</v>
      </c>
      <c r="K335" s="62">
        <f ca="1">EFEITO!$L$335*EFEITO!$Z$230</f>
        <v>44056.071016505302</v>
      </c>
      <c r="L335" s="62">
        <f>EFEITO!$N$335*EFEITO!$AA$230</f>
        <v>14705.910634423377</v>
      </c>
      <c r="M335" s="62">
        <f>$J$335-EFEITO!$K$335*EFEITO!$Y$335</f>
        <v>0</v>
      </c>
      <c r="N335" s="62">
        <f ca="1">$K$335-EFEITO!$M$335*EFEITO!$Z$335</f>
        <v>27490.988314299309</v>
      </c>
      <c r="O335" s="62">
        <f>$L$335-EFEITO!$O$335*EFEITO!$AA$335</f>
        <v>9176.4882358801879</v>
      </c>
      <c r="P335" s="45"/>
      <c r="Q335" s="45"/>
      <c r="R335" s="45"/>
      <c r="S335" s="45"/>
      <c r="T335" s="45"/>
      <c r="U335" s="45"/>
      <c r="V335" s="45"/>
      <c r="W335" s="45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41" t="s">
        <v>21</v>
      </c>
      <c r="B336" s="41" t="s">
        <v>42</v>
      </c>
      <c r="C336" s="41" t="s">
        <v>23</v>
      </c>
      <c r="D336" s="41" t="s">
        <v>43</v>
      </c>
      <c r="E336" s="41" t="s">
        <v>51</v>
      </c>
      <c r="F336" s="41" t="s">
        <v>53</v>
      </c>
      <c r="G336" s="41" t="s">
        <v>25</v>
      </c>
      <c r="H336" s="41" t="s">
        <v>25</v>
      </c>
      <c r="I336" s="61">
        <v>44562</v>
      </c>
      <c r="J336" s="62">
        <f>EFEITO!$J$336*EFEITO!$Y$230</f>
        <v>0</v>
      </c>
      <c r="K336" s="62">
        <f ca="1">EFEITO!$L$336*EFEITO!$Z$230</f>
        <v>49948.023419831785</v>
      </c>
      <c r="L336" s="62">
        <f>EFEITO!$N$336*EFEITO!$AA$230</f>
        <v>16672.643561495646</v>
      </c>
      <c r="M336" s="62">
        <f>$J$336-EFEITO!$K$336*EFEITO!$Y$336</f>
        <v>0</v>
      </c>
      <c r="N336" s="62">
        <f ca="1">$K$336-EFEITO!$M$336*EFEITO!$Z$336</f>
        <v>31167.566613975039</v>
      </c>
      <c r="O336" s="62">
        <f>$L$336-EFEITO!$O$336*EFEITO!$AA$336</f>
        <v>10403.729582373286</v>
      </c>
      <c r="P336" s="45"/>
      <c r="Q336" s="45"/>
      <c r="R336" s="45"/>
      <c r="S336" s="45"/>
      <c r="T336" s="45"/>
      <c r="U336" s="45"/>
      <c r="V336" s="45"/>
      <c r="W336" s="45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41" t="s">
        <v>21</v>
      </c>
      <c r="B337" s="41" t="s">
        <v>42</v>
      </c>
      <c r="C337" s="41" t="s">
        <v>23</v>
      </c>
      <c r="D337" s="41" t="s">
        <v>43</v>
      </c>
      <c r="E337" s="41" t="s">
        <v>51</v>
      </c>
      <c r="F337" s="41" t="s">
        <v>53</v>
      </c>
      <c r="G337" s="41" t="s">
        <v>25</v>
      </c>
      <c r="H337" s="41" t="s">
        <v>25</v>
      </c>
      <c r="I337" s="61">
        <v>44593</v>
      </c>
      <c r="J337" s="62">
        <f>EFEITO!$J$337*EFEITO!$Y$230</f>
        <v>0</v>
      </c>
      <c r="K337" s="62">
        <f ca="1">EFEITO!$L$337*EFEITO!$Z$230</f>
        <v>14172.04166803509</v>
      </c>
      <c r="L337" s="62">
        <f>EFEITO!$N$337*EFEITO!$AA$230</f>
        <v>4730.625620232182</v>
      </c>
      <c r="M337" s="62">
        <f>$J$337-EFEITO!$K$337*EFEITO!$Y$337</f>
        <v>0</v>
      </c>
      <c r="N337" s="62">
        <f ca="1">$K$337-EFEITO!$M$337*EFEITO!$Z$337</f>
        <v>8843.3540008538967</v>
      </c>
      <c r="O337" s="62">
        <f>$L$337-EFEITO!$O$337*EFEITO!$AA$337</f>
        <v>2951.9103870248819</v>
      </c>
      <c r="P337" s="45"/>
      <c r="Q337" s="45"/>
      <c r="R337" s="45"/>
      <c r="S337" s="45"/>
      <c r="T337" s="45"/>
      <c r="U337" s="45"/>
      <c r="V337" s="45"/>
      <c r="W337" s="45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41" t="s">
        <v>21</v>
      </c>
      <c r="B338" s="41" t="s">
        <v>42</v>
      </c>
      <c r="C338" s="41" t="s">
        <v>23</v>
      </c>
      <c r="D338" s="41" t="s">
        <v>43</v>
      </c>
      <c r="E338" s="41" t="s">
        <v>51</v>
      </c>
      <c r="F338" s="41" t="s">
        <v>53</v>
      </c>
      <c r="G338" s="41" t="s">
        <v>25</v>
      </c>
      <c r="H338" s="41" t="s">
        <v>25</v>
      </c>
      <c r="I338" s="61">
        <v>44621</v>
      </c>
      <c r="J338" s="62">
        <f>EFEITO!$J$338*EFEITO!$Y$230</f>
        <v>0</v>
      </c>
      <c r="K338" s="62">
        <f ca="1">EFEITO!$L$338*EFEITO!$Z$230</f>
        <v>4929.2712613929916</v>
      </c>
      <c r="L338" s="62">
        <f>EFEITO!$N$338*EFEITO!$AA$230</f>
        <v>1645.3900901811933</v>
      </c>
      <c r="M338" s="62">
        <f>$J$338-EFEITO!$K$338*EFEITO!$Y$338</f>
        <v>0</v>
      </c>
      <c r="N338" s="62">
        <f ca="1">$K$338-EFEITO!$M$338*EFEITO!$Z$338</f>
        <v>3075.8652671092268</v>
      </c>
      <c r="O338" s="62">
        <f>$L$338-EFEITO!$O$338*EFEITO!$AA$338</f>
        <v>1026.7234162730647</v>
      </c>
      <c r="P338" s="45"/>
      <c r="Q338" s="45"/>
      <c r="R338" s="45"/>
      <c r="S338" s="45"/>
      <c r="T338" s="45"/>
      <c r="U338" s="45"/>
      <c r="V338" s="45"/>
      <c r="W338" s="45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41" t="s">
        <v>21</v>
      </c>
      <c r="B339" s="41" t="s">
        <v>42</v>
      </c>
      <c r="C339" s="41" t="s">
        <v>23</v>
      </c>
      <c r="D339" s="41" t="s">
        <v>43</v>
      </c>
      <c r="E339" s="41" t="s">
        <v>51</v>
      </c>
      <c r="F339" s="41" t="s">
        <v>53</v>
      </c>
      <c r="G339" s="41" t="s">
        <v>25</v>
      </c>
      <c r="H339" s="41" t="s">
        <v>25</v>
      </c>
      <c r="I339" s="61">
        <v>44652</v>
      </c>
      <c r="J339" s="62">
        <f>EFEITO!$J$339*EFEITO!$Y$230</f>
        <v>0</v>
      </c>
      <c r="K339" s="62">
        <f ca="1">EFEITO!$L$339*EFEITO!$Z$230</f>
        <v>550.44732436982486</v>
      </c>
      <c r="L339" s="62">
        <f>EFEITO!$N$339*EFEITO!$AA$230</f>
        <v>183.73924352236105</v>
      </c>
      <c r="M339" s="62">
        <f>$J$339-EFEITO!$K$339*EFEITO!$Y$339</f>
        <v>0</v>
      </c>
      <c r="N339" s="62">
        <f ca="1">$K$339-EFEITO!$M$339*EFEITO!$Z$339</f>
        <v>343.47913040677076</v>
      </c>
      <c r="O339" s="62">
        <f>$L$339-EFEITO!$O$339*EFEITO!$AA$339</f>
        <v>114.6532879579533</v>
      </c>
      <c r="P339" s="45"/>
      <c r="Q339" s="45"/>
      <c r="R339" s="45"/>
      <c r="S339" s="45"/>
      <c r="T339" s="45"/>
      <c r="U339" s="45"/>
      <c r="V339" s="45"/>
      <c r="W339" s="45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41" t="s">
        <v>21</v>
      </c>
      <c r="B340" s="41" t="s">
        <v>42</v>
      </c>
      <c r="C340" s="41" t="s">
        <v>23</v>
      </c>
      <c r="D340" s="41" t="s">
        <v>43</v>
      </c>
      <c r="E340" s="41" t="s">
        <v>51</v>
      </c>
      <c r="F340" s="41" t="s">
        <v>53</v>
      </c>
      <c r="G340" s="41" t="s">
        <v>25</v>
      </c>
      <c r="H340" s="41" t="s">
        <v>25</v>
      </c>
      <c r="I340" s="61">
        <v>44682</v>
      </c>
      <c r="J340" s="62">
        <f>EFEITO!$J$340*EFEITO!$Y$230</f>
        <v>0</v>
      </c>
      <c r="K340" s="62">
        <f ca="1">EFEITO!$L$340*EFEITO!$Z$230</f>
        <v>427.01784938621017</v>
      </c>
      <c r="L340" s="62">
        <f>EFEITO!$N$340*EFEITO!$AA$230</f>
        <v>142.53850122096966</v>
      </c>
      <c r="M340" s="62">
        <f>$J$340-EFEITO!$K$340*EFEITO!$Y$340</f>
        <v>0</v>
      </c>
      <c r="N340" s="62">
        <f ca="1">$K$340-EFEITO!$M$340*EFEITO!$Z$340</f>
        <v>266.45913801699515</v>
      </c>
      <c r="O340" s="62">
        <f>$L$340-EFEITO!$O$340*EFEITO!$AA$340</f>
        <v>88.944024761885061</v>
      </c>
      <c r="P340" s="45"/>
      <c r="Q340" s="45"/>
      <c r="R340" s="45"/>
      <c r="S340" s="45"/>
      <c r="T340" s="45"/>
      <c r="U340" s="45"/>
      <c r="V340" s="45"/>
      <c r="W340" s="45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41" t="s">
        <v>21</v>
      </c>
      <c r="B341" s="41" t="s">
        <v>42</v>
      </c>
      <c r="C341" s="41" t="s">
        <v>23</v>
      </c>
      <c r="D341" s="41" t="s">
        <v>43</v>
      </c>
      <c r="E341" s="41" t="s">
        <v>51</v>
      </c>
      <c r="F341" s="41" t="s">
        <v>53</v>
      </c>
      <c r="G341" s="41" t="s">
        <v>25</v>
      </c>
      <c r="H341" s="41" t="s">
        <v>25</v>
      </c>
      <c r="I341" s="61">
        <v>44713</v>
      </c>
      <c r="J341" s="62">
        <f>EFEITO!$J$341*EFEITO!$Y$230</f>
        <v>0</v>
      </c>
      <c r="K341" s="62">
        <f ca="1">EFEITO!$L$341*EFEITO!$Z$230</f>
        <v>220.72903325760623</v>
      </c>
      <c r="L341" s="62">
        <f>EFEITO!$N$341*EFEITO!$AA$230</f>
        <v>73.679321887167902</v>
      </c>
      <c r="M341" s="62">
        <f>$J$341-EFEITO!$K$341*EFEITO!$Y$341</f>
        <v>0</v>
      </c>
      <c r="N341" s="62">
        <f ca="1">$K$341-EFEITO!$M$341*EFEITO!$Z$341</f>
        <v>137.7349167527463</v>
      </c>
      <c r="O341" s="62">
        <f>$L$341-EFEITO!$O$341*EFEITO!$AA$341</f>
        <v>45.975896857592772</v>
      </c>
      <c r="P341" s="45"/>
      <c r="Q341" s="45"/>
      <c r="R341" s="45"/>
      <c r="S341" s="45"/>
      <c r="T341" s="45"/>
      <c r="U341" s="45"/>
      <c r="V341" s="45"/>
      <c r="W341" s="45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41" t="s">
        <v>21</v>
      </c>
      <c r="B342" s="41" t="s">
        <v>42</v>
      </c>
      <c r="C342" s="41" t="s">
        <v>23</v>
      </c>
      <c r="D342" s="41" t="s">
        <v>43</v>
      </c>
      <c r="E342" s="41" t="s">
        <v>51</v>
      </c>
      <c r="F342" s="41" t="s">
        <v>53</v>
      </c>
      <c r="G342" s="41" t="s">
        <v>25</v>
      </c>
      <c r="H342" s="41" t="s">
        <v>25</v>
      </c>
      <c r="I342" s="61">
        <v>44743</v>
      </c>
      <c r="J342" s="62">
        <f>EFEITO!$J$342*EFEITO!$Y$230</f>
        <v>0</v>
      </c>
      <c r="K342" s="62">
        <f ca="1">EFEITO!$L$342*EFEITO!$Z$230</f>
        <v>1183.4101751910914</v>
      </c>
      <c r="L342" s="62">
        <f>EFEITO!$N$342*EFEITO!$AA$230</f>
        <v>395.02215877824284</v>
      </c>
      <c r="M342" s="62">
        <f>$J$342-EFEITO!$K$342*EFEITO!$Y$342</f>
        <v>0</v>
      </c>
      <c r="N342" s="62">
        <f ca="1">$K$342-EFEITO!$M$342*EFEITO!$Z$342</f>
        <v>738.44794931924116</v>
      </c>
      <c r="O342" s="62">
        <f>$L$342-EFEITO!$O$342*EFEITO!$AA$342</f>
        <v>246.49382707762354</v>
      </c>
      <c r="P342" s="45"/>
      <c r="Q342" s="45"/>
      <c r="R342" s="45"/>
      <c r="S342" s="45"/>
      <c r="T342" s="45"/>
      <c r="U342" s="45"/>
      <c r="V342" s="45"/>
      <c r="W342" s="45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41" t="s">
        <v>57</v>
      </c>
      <c r="B343" s="41" t="s">
        <v>42</v>
      </c>
      <c r="C343" s="41" t="s">
        <v>23</v>
      </c>
      <c r="D343" s="41" t="s">
        <v>43</v>
      </c>
      <c r="E343" s="41" t="s">
        <v>51</v>
      </c>
      <c r="F343" s="41" t="s">
        <v>53</v>
      </c>
      <c r="G343" s="41" t="s">
        <v>25</v>
      </c>
      <c r="H343" s="41" t="s">
        <v>25</v>
      </c>
      <c r="I343" s="61">
        <v>44774</v>
      </c>
      <c r="J343" s="62">
        <f>EFEITO!$J$343*EFEITO!$Y$230</f>
        <v>0</v>
      </c>
      <c r="K343" s="62">
        <f ca="1">EFEITO!$L$343*EFEITO!$Z$230</f>
        <v>1183.4101751910914</v>
      </c>
      <c r="L343" s="62">
        <f>EFEITO!$N$343*EFEITO!$AA$230</f>
        <v>395.02215877824284</v>
      </c>
      <c r="M343" s="62">
        <f>$J$343-EFEITO!$K$343*EFEITO!$Y$343</f>
        <v>0</v>
      </c>
      <c r="N343" s="62">
        <f ca="1">$K$343-EFEITO!$M$343*EFEITO!$Z$343</f>
        <v>738.44794931924116</v>
      </c>
      <c r="O343" s="62">
        <f>$L$343-EFEITO!$O$343*EFEITO!$AA$343</f>
        <v>246.49382707762354</v>
      </c>
      <c r="P343" s="45"/>
      <c r="Q343" s="45"/>
      <c r="R343" s="45"/>
      <c r="S343" s="45"/>
      <c r="T343" s="45"/>
      <c r="U343" s="45"/>
      <c r="V343" s="45"/>
      <c r="W343" s="45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41" t="s">
        <v>21</v>
      </c>
      <c r="B344" s="41" t="s">
        <v>42</v>
      </c>
      <c r="C344" s="41" t="s">
        <v>23</v>
      </c>
      <c r="D344" s="41" t="s">
        <v>43</v>
      </c>
      <c r="E344" s="41" t="s">
        <v>54</v>
      </c>
      <c r="F344" s="41" t="s">
        <v>52</v>
      </c>
      <c r="G344" s="41" t="s">
        <v>25</v>
      </c>
      <c r="H344" s="41" t="s">
        <v>25</v>
      </c>
      <c r="I344" s="61">
        <v>44440</v>
      </c>
      <c r="J344" s="62">
        <f>EFEITO!$J$344*EFEITO!$Y$230</f>
        <v>0</v>
      </c>
      <c r="K344" s="62">
        <f ca="1">EFEITO!$L$344*EFEITO!$Z$230</f>
        <v>23.035584467694108</v>
      </c>
      <c r="L344" s="62">
        <f>EFEITO!$N$344*EFEITO!$AA$230</f>
        <v>7.6892750256078655</v>
      </c>
      <c r="M344" s="62">
        <f>$J$344-EFEITO!$K$344*EFEITO!$Y$344</f>
        <v>0</v>
      </c>
      <c r="N344" s="62">
        <f ca="1">$K$344-EFEITO!$M$344*EFEITO!$Z$344</f>
        <v>1.3821350680616469</v>
      </c>
      <c r="O344" s="62">
        <f>$L$344-EFEITO!$O$344*EFEITO!$AA$344</f>
        <v>0.46135650153647312</v>
      </c>
      <c r="P344" s="45"/>
      <c r="Q344" s="45"/>
      <c r="R344" s="45"/>
      <c r="S344" s="45"/>
      <c r="T344" s="45"/>
      <c r="U344" s="45"/>
      <c r="V344" s="45"/>
      <c r="W344" s="45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41" t="s">
        <v>21</v>
      </c>
      <c r="B345" s="41" t="s">
        <v>42</v>
      </c>
      <c r="C345" s="41" t="s">
        <v>23</v>
      </c>
      <c r="D345" s="41" t="s">
        <v>43</v>
      </c>
      <c r="E345" s="41" t="s">
        <v>54</v>
      </c>
      <c r="F345" s="41" t="s">
        <v>52</v>
      </c>
      <c r="G345" s="41" t="s">
        <v>25</v>
      </c>
      <c r="H345" s="41" t="s">
        <v>25</v>
      </c>
      <c r="I345" s="61">
        <v>44470</v>
      </c>
      <c r="J345" s="62">
        <f>EFEITO!$J$345*EFEITO!$Y$230</f>
        <v>0</v>
      </c>
      <c r="K345" s="62">
        <f ca="1">EFEITO!$L$345*EFEITO!$Z$230</f>
        <v>23.035584467694108</v>
      </c>
      <c r="L345" s="62">
        <f>EFEITO!$N$345*EFEITO!$AA$230</f>
        <v>7.6892750256078655</v>
      </c>
      <c r="M345" s="62">
        <f>$J$345-EFEITO!$K$345*EFEITO!$Y$345</f>
        <v>0</v>
      </c>
      <c r="N345" s="62">
        <f ca="1">$K$345-EFEITO!$M$345*EFEITO!$Z$345</f>
        <v>1.3821350680616469</v>
      </c>
      <c r="O345" s="62">
        <f>$L$345-EFEITO!$O$345*EFEITO!$AA$345</f>
        <v>0.46135650153647312</v>
      </c>
      <c r="P345" s="45"/>
      <c r="Q345" s="45"/>
      <c r="R345" s="45"/>
      <c r="S345" s="45"/>
      <c r="T345" s="45"/>
      <c r="U345" s="45"/>
      <c r="V345" s="45"/>
      <c r="W345" s="45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41" t="s">
        <v>21</v>
      </c>
      <c r="B346" s="41" t="s">
        <v>42</v>
      </c>
      <c r="C346" s="41" t="s">
        <v>23</v>
      </c>
      <c r="D346" s="41" t="s">
        <v>43</v>
      </c>
      <c r="E346" s="41" t="s">
        <v>54</v>
      </c>
      <c r="F346" s="41" t="s">
        <v>52</v>
      </c>
      <c r="G346" s="41" t="s">
        <v>25</v>
      </c>
      <c r="H346" s="41" t="s">
        <v>25</v>
      </c>
      <c r="I346" s="61">
        <v>44501</v>
      </c>
      <c r="J346" s="62">
        <f>EFEITO!$J$346*EFEITO!$Y$230</f>
        <v>0</v>
      </c>
      <c r="K346" s="62">
        <f ca="1">EFEITO!$L$346*EFEITO!$Z$230</f>
        <v>25.442287322527818</v>
      </c>
      <c r="L346" s="62">
        <f>EFEITO!$N$346*EFEITO!$AA$230</f>
        <v>8.4926321178355515</v>
      </c>
      <c r="M346" s="62">
        <f>$J$346-EFEITO!$K$346*EFEITO!$Y$346</f>
        <v>0</v>
      </c>
      <c r="N346" s="62">
        <f ca="1">$K$346-EFEITO!$M$346*EFEITO!$Z$346</f>
        <v>1.5265372393516721</v>
      </c>
      <c r="O346" s="62">
        <f>$L$346-EFEITO!$O$346*EFEITO!$AA$346</f>
        <v>0.50955792707013359</v>
      </c>
      <c r="P346" s="45"/>
      <c r="Q346" s="45"/>
      <c r="R346" s="45"/>
      <c r="S346" s="45"/>
      <c r="T346" s="45"/>
      <c r="U346" s="45"/>
      <c r="V346" s="45"/>
      <c r="W346" s="45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41" t="s">
        <v>21</v>
      </c>
      <c r="B347" s="41" t="s">
        <v>42</v>
      </c>
      <c r="C347" s="41" t="s">
        <v>23</v>
      </c>
      <c r="D347" s="41" t="s">
        <v>43</v>
      </c>
      <c r="E347" s="41" t="s">
        <v>54</v>
      </c>
      <c r="F347" s="41" t="s">
        <v>52</v>
      </c>
      <c r="G347" s="41" t="s">
        <v>25</v>
      </c>
      <c r="H347" s="41" t="s">
        <v>25</v>
      </c>
      <c r="I347" s="61">
        <v>44531</v>
      </c>
      <c r="J347" s="62">
        <f>EFEITO!$J$347*EFEITO!$Y$230</f>
        <v>0</v>
      </c>
      <c r="K347" s="62">
        <f ca="1">EFEITO!$L$347*EFEITO!$Z$230</f>
        <v>94.892855419157826</v>
      </c>
      <c r="L347" s="62">
        <f>EFEITO!$N$347*EFEITO!$AA$230</f>
        <v>31.675222493548819</v>
      </c>
      <c r="M347" s="62">
        <f>$J$347-EFEITO!$K$347*EFEITO!$Y$347</f>
        <v>0</v>
      </c>
      <c r="N347" s="62">
        <f ca="1">$K$347-EFEITO!$M$347*EFEITO!$Z$347</f>
        <v>5.6935713251494775</v>
      </c>
      <c r="O347" s="62">
        <f>$L$347-EFEITO!$O$347*EFEITO!$AA$347</f>
        <v>1.9005133496129325</v>
      </c>
      <c r="P347" s="45"/>
      <c r="Q347" s="45"/>
      <c r="R347" s="45"/>
      <c r="S347" s="45"/>
      <c r="T347" s="45"/>
      <c r="U347" s="45"/>
      <c r="V347" s="45"/>
      <c r="W347" s="45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41" t="s">
        <v>21</v>
      </c>
      <c r="B348" s="41" t="s">
        <v>42</v>
      </c>
      <c r="C348" s="41" t="s">
        <v>23</v>
      </c>
      <c r="D348" s="41" t="s">
        <v>43</v>
      </c>
      <c r="E348" s="41" t="s">
        <v>54</v>
      </c>
      <c r="F348" s="41" t="s">
        <v>52</v>
      </c>
      <c r="G348" s="41" t="s">
        <v>25</v>
      </c>
      <c r="H348" s="41" t="s">
        <v>25</v>
      </c>
      <c r="I348" s="61">
        <v>44562</v>
      </c>
      <c r="J348" s="62">
        <f>EFEITO!$J$348*EFEITO!$Y$230</f>
        <v>0</v>
      </c>
      <c r="K348" s="62">
        <f ca="1">EFEITO!$L$348*EFEITO!$Z$230</f>
        <v>333.15643804769536</v>
      </c>
      <c r="L348" s="62">
        <f>EFEITO!$N$348*EFEITO!$AA$230</f>
        <v>111.20757462408986</v>
      </c>
      <c r="M348" s="62">
        <f>$J$348-EFEITO!$K$348*EFEITO!$Y$348</f>
        <v>0</v>
      </c>
      <c r="N348" s="62">
        <f ca="1">$K$348-EFEITO!$M$348*EFEITO!$Z$348</f>
        <v>19.989386282861744</v>
      </c>
      <c r="O348" s="62">
        <f>$L$348-EFEITO!$O$348*EFEITO!$AA$348</f>
        <v>6.6724544774453989</v>
      </c>
      <c r="P348" s="45"/>
      <c r="Q348" s="45"/>
      <c r="R348" s="45"/>
      <c r="S348" s="45"/>
      <c r="T348" s="45"/>
      <c r="U348" s="45"/>
      <c r="V348" s="45"/>
      <c r="W348" s="45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41" t="s">
        <v>21</v>
      </c>
      <c r="B349" s="41" t="s">
        <v>42</v>
      </c>
      <c r="C349" s="41" t="s">
        <v>23</v>
      </c>
      <c r="D349" s="41" t="s">
        <v>43</v>
      </c>
      <c r="E349" s="41" t="s">
        <v>54</v>
      </c>
      <c r="F349" s="41" t="s">
        <v>52</v>
      </c>
      <c r="G349" s="41" t="s">
        <v>25</v>
      </c>
      <c r="H349" s="41" t="s">
        <v>25</v>
      </c>
      <c r="I349" s="61">
        <v>44593</v>
      </c>
      <c r="J349" s="62">
        <f>EFEITO!$J$349*EFEITO!$Y$230</f>
        <v>0</v>
      </c>
      <c r="K349" s="62">
        <f ca="1">EFEITO!$L$349*EFEITO!$Z$230</f>
        <v>360.6616135315092</v>
      </c>
      <c r="L349" s="62">
        <f>EFEITO!$N$349*EFEITO!$AA$230</f>
        <v>120.38879853526343</v>
      </c>
      <c r="M349" s="62">
        <f>$J$349-EFEITO!$K$349*EFEITO!$Y$349</f>
        <v>0</v>
      </c>
      <c r="N349" s="62">
        <f ca="1">$K$349-EFEITO!$M$349*EFEITO!$Z$349</f>
        <v>21.639696811890587</v>
      </c>
      <c r="O349" s="62">
        <f>$L$349-EFEITO!$O$349*EFEITO!$AA$349</f>
        <v>7.2233279121158205</v>
      </c>
      <c r="P349" s="45"/>
      <c r="Q349" s="45"/>
      <c r="R349" s="45"/>
      <c r="S349" s="45"/>
      <c r="T349" s="45"/>
      <c r="U349" s="45"/>
      <c r="V349" s="45"/>
      <c r="W349" s="45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41" t="s">
        <v>21</v>
      </c>
      <c r="B350" s="41" t="s">
        <v>42</v>
      </c>
      <c r="C350" s="41" t="s">
        <v>23</v>
      </c>
      <c r="D350" s="41" t="s">
        <v>43</v>
      </c>
      <c r="E350" s="41" t="s">
        <v>54</v>
      </c>
      <c r="F350" s="41" t="s">
        <v>52</v>
      </c>
      <c r="G350" s="41" t="s">
        <v>25</v>
      </c>
      <c r="H350" s="41" t="s">
        <v>25</v>
      </c>
      <c r="I350" s="61">
        <v>44621</v>
      </c>
      <c r="J350" s="62">
        <f>EFEITO!$J$350*EFEITO!$Y$230</f>
        <v>0</v>
      </c>
      <c r="K350" s="62">
        <f ca="1">EFEITO!$L$350*EFEITO!$Z$230</f>
        <v>576.57724107944807</v>
      </c>
      <c r="L350" s="62">
        <f>EFEITO!$N$350*EFEITO!$AA$230</f>
        <v>192.46140623797595</v>
      </c>
      <c r="M350" s="62">
        <f>$J$350-EFEITO!$K$350*EFEITO!$Y$350</f>
        <v>0</v>
      </c>
      <c r="N350" s="62">
        <f ca="1">$K$350-EFEITO!$M$350*EFEITO!$Z$350</f>
        <v>34.594634464766955</v>
      </c>
      <c r="O350" s="62">
        <f>$L$350-EFEITO!$O$350*EFEITO!$AA$350</f>
        <v>11.54768437427856</v>
      </c>
      <c r="P350" s="45"/>
      <c r="Q350" s="45"/>
      <c r="R350" s="45"/>
      <c r="S350" s="45"/>
      <c r="T350" s="45"/>
      <c r="U350" s="45"/>
      <c r="V350" s="45"/>
      <c r="W350" s="45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41" t="s">
        <v>21</v>
      </c>
      <c r="B351" s="41" t="s">
        <v>42</v>
      </c>
      <c r="C351" s="41" t="s">
        <v>23</v>
      </c>
      <c r="D351" s="41" t="s">
        <v>43</v>
      </c>
      <c r="E351" s="41" t="s">
        <v>54</v>
      </c>
      <c r="F351" s="41" t="s">
        <v>52</v>
      </c>
      <c r="G351" s="41" t="s">
        <v>25</v>
      </c>
      <c r="H351" s="41" t="s">
        <v>25</v>
      </c>
      <c r="I351" s="61">
        <v>44652</v>
      </c>
      <c r="J351" s="62">
        <f>EFEITO!$J$351*EFEITO!$Y$230</f>
        <v>0</v>
      </c>
      <c r="K351" s="62">
        <f ca="1">EFEITO!$L$351*EFEITO!$Z$230</f>
        <v>551.82258314401554</v>
      </c>
      <c r="L351" s="62">
        <f>EFEITO!$N$351*EFEITO!$AA$230</f>
        <v>184.19830471791974</v>
      </c>
      <c r="M351" s="62">
        <f>$J$351-EFEITO!$K$351*EFEITO!$Y$351</f>
        <v>0</v>
      </c>
      <c r="N351" s="62">
        <f ca="1">$K$351-EFEITO!$M$351*EFEITO!$Z$351</f>
        <v>33.109354988640916</v>
      </c>
      <c r="O351" s="62">
        <f>$L$351-EFEITO!$O$351*EFEITO!$AA$351</f>
        <v>11.05189828307519</v>
      </c>
      <c r="P351" s="45"/>
      <c r="Q351" s="45"/>
      <c r="R351" s="45"/>
      <c r="S351" s="45"/>
      <c r="T351" s="45"/>
      <c r="U351" s="45"/>
      <c r="V351" s="45"/>
      <c r="W351" s="45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41" t="s">
        <v>21</v>
      </c>
      <c r="B352" s="41" t="s">
        <v>42</v>
      </c>
      <c r="C352" s="41" t="s">
        <v>23</v>
      </c>
      <c r="D352" s="41" t="s">
        <v>43</v>
      </c>
      <c r="E352" s="41" t="s">
        <v>54</v>
      </c>
      <c r="F352" s="41" t="s">
        <v>52</v>
      </c>
      <c r="G352" s="41" t="s">
        <v>25</v>
      </c>
      <c r="H352" s="41" t="s">
        <v>25</v>
      </c>
      <c r="I352" s="61">
        <v>44682</v>
      </c>
      <c r="J352" s="62">
        <f>EFEITO!$J$352*EFEITO!$Y$230</f>
        <v>0</v>
      </c>
      <c r="K352" s="62">
        <f ca="1">EFEITO!$L$352*EFEITO!$Z$230</f>
        <v>379.2276069830836</v>
      </c>
      <c r="L352" s="62">
        <f>EFEITO!$N$352*EFEITO!$AA$230</f>
        <v>126.5861246753056</v>
      </c>
      <c r="M352" s="62">
        <f>$J$352-EFEITO!$K$352*EFEITO!$Y$352</f>
        <v>0</v>
      </c>
      <c r="N352" s="62">
        <f ca="1">$K$352-EFEITO!$M$352*EFEITO!$Z$352</f>
        <v>22.753656418985088</v>
      </c>
      <c r="O352" s="62">
        <f>$L$352-EFEITO!$O$352*EFEITO!$AA$352</f>
        <v>7.5951674805183558</v>
      </c>
      <c r="P352" s="45"/>
      <c r="Q352" s="45"/>
      <c r="R352" s="45"/>
      <c r="S352" s="45"/>
      <c r="T352" s="45"/>
      <c r="U352" s="45"/>
      <c r="V352" s="45"/>
      <c r="W352" s="45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41" t="s">
        <v>21</v>
      </c>
      <c r="B353" s="41" t="s">
        <v>42</v>
      </c>
      <c r="C353" s="41" t="s">
        <v>23</v>
      </c>
      <c r="D353" s="41" t="s">
        <v>43</v>
      </c>
      <c r="E353" s="41" t="s">
        <v>54</v>
      </c>
      <c r="F353" s="41" t="s">
        <v>52</v>
      </c>
      <c r="G353" s="41" t="s">
        <v>25</v>
      </c>
      <c r="H353" s="41" t="s">
        <v>25</v>
      </c>
      <c r="I353" s="61">
        <v>44713</v>
      </c>
      <c r="J353" s="62">
        <f>EFEITO!$J$353*EFEITO!$Y$230</f>
        <v>0</v>
      </c>
      <c r="K353" s="62">
        <f ca="1">EFEITO!$L$353*EFEITO!$Z$230</f>
        <v>278.48990177361537</v>
      </c>
      <c r="L353" s="62">
        <f>EFEITO!$N$353*EFEITO!$AA$230</f>
        <v>92.959892100632402</v>
      </c>
      <c r="M353" s="62">
        <f>$J$353-EFEITO!$K$353*EFEITO!$Y$353</f>
        <v>0</v>
      </c>
      <c r="N353" s="62">
        <f ca="1">$K$353-EFEITO!$M$353*EFEITO!$Z$353</f>
        <v>16.709394106416994</v>
      </c>
      <c r="O353" s="62">
        <f>$L$353-EFEITO!$O$353*EFEITO!$AA$353</f>
        <v>5.5775935260379583</v>
      </c>
      <c r="P353" s="45"/>
      <c r="Q353" s="45"/>
      <c r="R353" s="45"/>
      <c r="S353" s="45"/>
      <c r="T353" s="45"/>
      <c r="U353" s="45"/>
      <c r="V353" s="45"/>
      <c r="W353" s="45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41" t="s">
        <v>21</v>
      </c>
      <c r="B354" s="41" t="s">
        <v>42</v>
      </c>
      <c r="C354" s="41" t="s">
        <v>23</v>
      </c>
      <c r="D354" s="41" t="s">
        <v>43</v>
      </c>
      <c r="E354" s="41" t="s">
        <v>54</v>
      </c>
      <c r="F354" s="41" t="s">
        <v>52</v>
      </c>
      <c r="G354" s="41" t="s">
        <v>25</v>
      </c>
      <c r="H354" s="41" t="s">
        <v>25</v>
      </c>
      <c r="I354" s="61">
        <v>44743</v>
      </c>
      <c r="J354" s="62">
        <f>EFEITO!$J$354*EFEITO!$Y$230</f>
        <v>0</v>
      </c>
      <c r="K354" s="62">
        <f ca="1">EFEITO!$L$354*EFEITO!$Z$230</f>
        <v>35.756728128958017</v>
      </c>
      <c r="L354" s="62">
        <f>EFEITO!$N$354*EFEITO!$AA$230</f>
        <v>11.93559108452564</v>
      </c>
      <c r="M354" s="62">
        <f>$J$354-EFEITO!$K$354*EFEITO!$Y$354</f>
        <v>0</v>
      </c>
      <c r="N354" s="62">
        <f ca="1">$K$354-EFEITO!$M$354*EFEITO!$Z$354</f>
        <v>2.1454036877374847</v>
      </c>
      <c r="O354" s="62">
        <f>$L$354-EFEITO!$O$354*EFEITO!$AA$354</f>
        <v>0.71613546507153991</v>
      </c>
      <c r="P354" s="45"/>
      <c r="Q354" s="45"/>
      <c r="R354" s="45"/>
      <c r="S354" s="45"/>
      <c r="T354" s="45"/>
      <c r="U354" s="45"/>
      <c r="V354" s="45"/>
      <c r="W354" s="45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41" t="s">
        <v>57</v>
      </c>
      <c r="B355" s="41" t="s">
        <v>42</v>
      </c>
      <c r="C355" s="41" t="s">
        <v>23</v>
      </c>
      <c r="D355" s="41" t="s">
        <v>43</v>
      </c>
      <c r="E355" s="41" t="s">
        <v>54</v>
      </c>
      <c r="F355" s="41" t="s">
        <v>52</v>
      </c>
      <c r="G355" s="41" t="s">
        <v>25</v>
      </c>
      <c r="H355" s="41" t="s">
        <v>25</v>
      </c>
      <c r="I355" s="61">
        <v>44774</v>
      </c>
      <c r="J355" s="62">
        <f>EFEITO!$J$355*EFEITO!$Y$230</f>
        <v>0</v>
      </c>
      <c r="K355" s="62">
        <f ca="1">EFEITO!$L$355*EFEITO!$Z$230</f>
        <v>35.756728128958017</v>
      </c>
      <c r="L355" s="62">
        <f>EFEITO!$N$355*EFEITO!$AA$230</f>
        <v>11.93559108452564</v>
      </c>
      <c r="M355" s="62">
        <f>$J$355-EFEITO!$K$355*EFEITO!$Y$355</f>
        <v>0</v>
      </c>
      <c r="N355" s="62">
        <f ca="1">$K$355-EFEITO!$M$355*EFEITO!$Z$355</f>
        <v>2.1454036877374847</v>
      </c>
      <c r="O355" s="62">
        <f>$L$355-EFEITO!$O$355*EFEITO!$AA$355</f>
        <v>0.71613546507153991</v>
      </c>
      <c r="P355" s="45"/>
      <c r="Q355" s="45"/>
      <c r="R355" s="45"/>
      <c r="S355" s="45"/>
      <c r="T355" s="45"/>
      <c r="U355" s="45"/>
      <c r="V355" s="45"/>
      <c r="W355" s="45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41" t="s">
        <v>21</v>
      </c>
      <c r="B356" s="41" t="s">
        <v>42</v>
      </c>
      <c r="C356" s="41" t="s">
        <v>23</v>
      </c>
      <c r="D356" s="41" t="s">
        <v>43</v>
      </c>
      <c r="E356" s="41" t="s">
        <v>54</v>
      </c>
      <c r="F356" s="41" t="s">
        <v>53</v>
      </c>
      <c r="G356" s="41" t="s">
        <v>25</v>
      </c>
      <c r="H356" s="41" t="s">
        <v>25</v>
      </c>
      <c r="I356" s="61">
        <v>44440</v>
      </c>
      <c r="J356" s="62">
        <f>EFEITO!$J$356*EFEITO!$Y$230</f>
        <v>0</v>
      </c>
      <c r="K356" s="62">
        <f ca="1">EFEITO!$L$356*EFEITO!$Z$230</f>
        <v>14.440217129002278</v>
      </c>
      <c r="L356" s="62">
        <f>EFEITO!$N$356*EFEITO!$AA$230</f>
        <v>4.8201425533661242</v>
      </c>
      <c r="M356" s="62">
        <f>$J$356-EFEITO!$K$356*EFEITO!$Y$356</f>
        <v>0</v>
      </c>
      <c r="N356" s="62">
        <f ca="1">$K$356-EFEITO!$M$356*EFEITO!$Z$356</f>
        <v>9.0106954884974222</v>
      </c>
      <c r="O356" s="62">
        <f>$L$356-EFEITO!$O$356*EFEITO!$AA$356</f>
        <v>3.0077689533004617</v>
      </c>
      <c r="P356" s="45"/>
      <c r="Q356" s="45"/>
      <c r="R356" s="45"/>
      <c r="S356" s="45"/>
      <c r="T356" s="45"/>
      <c r="U356" s="45"/>
      <c r="V356" s="45"/>
      <c r="W356" s="45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41" t="s">
        <v>21</v>
      </c>
      <c r="B357" s="41" t="s">
        <v>42</v>
      </c>
      <c r="C357" s="41" t="s">
        <v>23</v>
      </c>
      <c r="D357" s="41" t="s">
        <v>43</v>
      </c>
      <c r="E357" s="41" t="s">
        <v>54</v>
      </c>
      <c r="F357" s="41" t="s">
        <v>53</v>
      </c>
      <c r="G357" s="41" t="s">
        <v>25</v>
      </c>
      <c r="H357" s="41" t="s">
        <v>25</v>
      </c>
      <c r="I357" s="61">
        <v>44470</v>
      </c>
      <c r="J357" s="62">
        <f>EFEITO!$J$357*EFEITO!$Y$230</f>
        <v>0</v>
      </c>
      <c r="K357" s="62">
        <f ca="1">EFEITO!$L$357*EFEITO!$Z$230</f>
        <v>11.345884887073218</v>
      </c>
      <c r="L357" s="62">
        <f>EFEITO!$N$357*EFEITO!$AA$230</f>
        <v>3.7872548633590979</v>
      </c>
      <c r="M357" s="62">
        <f>$J$357-EFEITO!$K$357*EFEITO!$Y$357</f>
        <v>0</v>
      </c>
      <c r="N357" s="62">
        <f ca="1">$K$357-EFEITO!$M$357*EFEITO!$Z$357</f>
        <v>7.079832169533689</v>
      </c>
      <c r="O357" s="62">
        <f>$L$357-EFEITO!$O$357*EFEITO!$AA$357</f>
        <v>2.3632470347360774</v>
      </c>
      <c r="P357" s="45"/>
      <c r="Q357" s="45"/>
      <c r="R357" s="45"/>
      <c r="S357" s="45"/>
      <c r="T357" s="45"/>
      <c r="U357" s="45"/>
      <c r="V357" s="45"/>
      <c r="W357" s="45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41" t="s">
        <v>21</v>
      </c>
      <c r="B358" s="41" t="s">
        <v>42</v>
      </c>
      <c r="C358" s="41" t="s">
        <v>23</v>
      </c>
      <c r="D358" s="41" t="s">
        <v>43</v>
      </c>
      <c r="E358" s="41" t="s">
        <v>54</v>
      </c>
      <c r="F358" s="41" t="s">
        <v>53</v>
      </c>
      <c r="G358" s="41" t="s">
        <v>25</v>
      </c>
      <c r="H358" s="41" t="s">
        <v>25</v>
      </c>
      <c r="I358" s="61">
        <v>44501</v>
      </c>
      <c r="J358" s="62">
        <f>EFEITO!$J$358*EFEITO!$Y$230</f>
        <v>0</v>
      </c>
      <c r="K358" s="62">
        <f ca="1">EFEITO!$L$358*EFEITO!$Z$230</f>
        <v>8.9391820322395041</v>
      </c>
      <c r="L358" s="62">
        <f>EFEITO!$N$358*EFEITO!$AA$230</f>
        <v>2.9838977711314101</v>
      </c>
      <c r="M358" s="62">
        <f>$J$358-EFEITO!$K$358*EFEITO!$Y$358</f>
        <v>0</v>
      </c>
      <c r="N358" s="62">
        <f ca="1">$K$358-EFEITO!$M$358*EFEITO!$Z$358</f>
        <v>5.5780495881174508</v>
      </c>
      <c r="O358" s="62">
        <f>$L$358-EFEITO!$O$358*EFEITO!$AA$358</f>
        <v>1.8619522091859999</v>
      </c>
      <c r="P358" s="45"/>
      <c r="Q358" s="45"/>
      <c r="R358" s="45"/>
      <c r="S358" s="45"/>
      <c r="T358" s="45"/>
      <c r="U358" s="45"/>
      <c r="V358" s="45"/>
      <c r="W358" s="45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41" t="s">
        <v>21</v>
      </c>
      <c r="B359" s="41" t="s">
        <v>42</v>
      </c>
      <c r="C359" s="41" t="s">
        <v>23</v>
      </c>
      <c r="D359" s="41" t="s">
        <v>43</v>
      </c>
      <c r="E359" s="41" t="s">
        <v>54</v>
      </c>
      <c r="F359" s="41" t="s">
        <v>53</v>
      </c>
      <c r="G359" s="41" t="s">
        <v>25</v>
      </c>
      <c r="H359" s="41" t="s">
        <v>25</v>
      </c>
      <c r="I359" s="61">
        <v>44531</v>
      </c>
      <c r="J359" s="62">
        <f>EFEITO!$J$359*EFEITO!$Y$230</f>
        <v>0</v>
      </c>
      <c r="K359" s="62">
        <f ca="1">EFEITO!$L$359*EFEITO!$Z$230</f>
        <v>246.51513527368169</v>
      </c>
      <c r="L359" s="62">
        <f>EFEITO!$N$359*EFEITO!$AA$230</f>
        <v>82.286719303893122</v>
      </c>
      <c r="M359" s="62">
        <f>$J$359-EFEITO!$K$359*EFEITO!$Y$359</f>
        <v>0</v>
      </c>
      <c r="N359" s="62">
        <f ca="1">$K$359-EFEITO!$M$359*EFEITO!$Z$359</f>
        <v>153.82544441077738</v>
      </c>
      <c r="O359" s="62">
        <f>$L$359-EFEITO!$O$359*EFEITO!$AA$359</f>
        <v>51.346912845629312</v>
      </c>
      <c r="P359" s="45"/>
      <c r="Q359" s="45"/>
      <c r="R359" s="45"/>
      <c r="S359" s="45"/>
      <c r="T359" s="45"/>
      <c r="U359" s="45"/>
      <c r="V359" s="45"/>
      <c r="W359" s="45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41" t="s">
        <v>21</v>
      </c>
      <c r="B360" s="41" t="s">
        <v>42</v>
      </c>
      <c r="C360" s="41" t="s">
        <v>23</v>
      </c>
      <c r="D360" s="41" t="s">
        <v>43</v>
      </c>
      <c r="E360" s="41" t="s">
        <v>54</v>
      </c>
      <c r="F360" s="41" t="s">
        <v>53</v>
      </c>
      <c r="G360" s="41" t="s">
        <v>25</v>
      </c>
      <c r="H360" s="41" t="s">
        <v>25</v>
      </c>
      <c r="I360" s="61">
        <v>44562</v>
      </c>
      <c r="J360" s="62">
        <f>EFEITO!$J$360*EFEITO!$Y$230</f>
        <v>0</v>
      </c>
      <c r="K360" s="62">
        <f ca="1">EFEITO!$L$360*EFEITO!$Z$230</f>
        <v>682.12835199858375</v>
      </c>
      <c r="L360" s="62">
        <f>EFEITO!$N$360*EFEITO!$AA$230</f>
        <v>227.69435299710452</v>
      </c>
      <c r="M360" s="62">
        <f>$J$360-EFEITO!$K$360*EFEITO!$Y$360</f>
        <v>0</v>
      </c>
      <c r="N360" s="62">
        <f ca="1">$K$360-EFEITO!$M$360*EFEITO!$Z$360</f>
        <v>425.6480916471163</v>
      </c>
      <c r="O360" s="62">
        <f>$L$360-EFEITO!$O$360*EFEITO!$AA$360</f>
        <v>142.08127627019323</v>
      </c>
      <c r="P360" s="45"/>
      <c r="Q360" s="45"/>
      <c r="R360" s="45"/>
      <c r="S360" s="45"/>
      <c r="T360" s="45"/>
      <c r="U360" s="45"/>
      <c r="V360" s="45"/>
      <c r="W360" s="45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41" t="s">
        <v>21</v>
      </c>
      <c r="B361" s="41" t="s">
        <v>42</v>
      </c>
      <c r="C361" s="41" t="s">
        <v>23</v>
      </c>
      <c r="D361" s="41" t="s">
        <v>43</v>
      </c>
      <c r="E361" s="41" t="s">
        <v>54</v>
      </c>
      <c r="F361" s="41" t="s">
        <v>53</v>
      </c>
      <c r="G361" s="41" t="s">
        <v>25</v>
      </c>
      <c r="H361" s="41" t="s">
        <v>25</v>
      </c>
      <c r="I361" s="61">
        <v>44593</v>
      </c>
      <c r="J361" s="62">
        <f>EFEITO!$J$361*EFEITO!$Y$230</f>
        <v>0</v>
      </c>
      <c r="K361" s="62">
        <f ca="1">EFEITO!$L$361*EFEITO!$Z$230</f>
        <v>842.00218449825172</v>
      </c>
      <c r="L361" s="62">
        <f>EFEITO!$N$361*EFEITO!$AA$230</f>
        <v>281.06021698080087</v>
      </c>
      <c r="M361" s="62">
        <f>$J$361-EFEITO!$K$361*EFEITO!$Y$361</f>
        <v>0</v>
      </c>
      <c r="N361" s="62">
        <f ca="1">$K$361-EFEITO!$M$361*EFEITO!$Z$361</f>
        <v>525.40936312690906</v>
      </c>
      <c r="O361" s="62">
        <f>$L$361-EFEITO!$O$361*EFEITO!$AA$361</f>
        <v>175.38157539601974</v>
      </c>
      <c r="P361" s="45"/>
      <c r="Q361" s="45"/>
      <c r="R361" s="45"/>
      <c r="S361" s="45"/>
      <c r="T361" s="45"/>
      <c r="U361" s="45"/>
      <c r="V361" s="45"/>
      <c r="W361" s="45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41" t="s">
        <v>21</v>
      </c>
      <c r="B362" s="41" t="s">
        <v>42</v>
      </c>
      <c r="C362" s="41" t="s">
        <v>23</v>
      </c>
      <c r="D362" s="41" t="s">
        <v>43</v>
      </c>
      <c r="E362" s="41" t="s">
        <v>54</v>
      </c>
      <c r="F362" s="41" t="s">
        <v>53</v>
      </c>
      <c r="G362" s="41" t="s">
        <v>25</v>
      </c>
      <c r="H362" s="41" t="s">
        <v>25</v>
      </c>
      <c r="I362" s="61">
        <v>44621</v>
      </c>
      <c r="J362" s="62">
        <f>EFEITO!$J$362*EFEITO!$Y$230</f>
        <v>0</v>
      </c>
      <c r="K362" s="62">
        <f ca="1">EFEITO!$L$362*EFEITO!$Z$230</f>
        <v>1107.4271279170555</v>
      </c>
      <c r="L362" s="62">
        <f>EFEITO!$N$362*EFEITO!$AA$230</f>
        <v>369.65902772362585</v>
      </c>
      <c r="M362" s="62">
        <f>$J$362-EFEITO!$K$362*EFEITO!$Y$362</f>
        <v>0</v>
      </c>
      <c r="N362" s="62">
        <f ca="1">$K$362-EFEITO!$M$362*EFEITO!$Z$362</f>
        <v>691.0345278202426</v>
      </c>
      <c r="O362" s="62">
        <f>$L$362-EFEITO!$O$362*EFEITO!$AA$362</f>
        <v>230.66723329954254</v>
      </c>
      <c r="P362" s="45"/>
      <c r="Q362" s="45"/>
      <c r="R362" s="45"/>
      <c r="S362" s="45"/>
      <c r="T362" s="45"/>
      <c r="U362" s="45"/>
      <c r="V362" s="45"/>
      <c r="W362" s="45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41" t="s">
        <v>21</v>
      </c>
      <c r="B363" s="41" t="s">
        <v>42</v>
      </c>
      <c r="C363" s="41" t="s">
        <v>23</v>
      </c>
      <c r="D363" s="41" t="s">
        <v>43</v>
      </c>
      <c r="E363" s="41" t="s">
        <v>54</v>
      </c>
      <c r="F363" s="41" t="s">
        <v>53</v>
      </c>
      <c r="G363" s="41" t="s">
        <v>25</v>
      </c>
      <c r="H363" s="41" t="s">
        <v>25</v>
      </c>
      <c r="I363" s="61">
        <v>44652</v>
      </c>
      <c r="J363" s="62">
        <f>EFEITO!$J$363*EFEITO!$Y$230</f>
        <v>0</v>
      </c>
      <c r="K363" s="62">
        <f ca="1">EFEITO!$L$363*EFEITO!$Z$230</f>
        <v>1028.3497484010907</v>
      </c>
      <c r="L363" s="62">
        <f>EFEITO!$N$363*EFEITO!$AA$230</f>
        <v>343.26300897900188</v>
      </c>
      <c r="M363" s="62">
        <f>$J$363-EFEITO!$K$363*EFEITO!$Y$363</f>
        <v>0</v>
      </c>
      <c r="N363" s="62">
        <f ca="1">$K$363-EFEITO!$M$363*EFEITO!$Z$363</f>
        <v>641.69024300228057</v>
      </c>
      <c r="O363" s="62">
        <f>$L$363-EFEITO!$O$363*EFEITO!$AA$363</f>
        <v>214.1961176028972</v>
      </c>
      <c r="P363" s="45"/>
      <c r="Q363" s="45"/>
      <c r="R363" s="45"/>
      <c r="S363" s="45"/>
      <c r="T363" s="45"/>
      <c r="U363" s="45"/>
      <c r="V363" s="45"/>
      <c r="W363" s="45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41" t="s">
        <v>21</v>
      </c>
      <c r="B364" s="41" t="s">
        <v>42</v>
      </c>
      <c r="C364" s="41" t="s">
        <v>23</v>
      </c>
      <c r="D364" s="41" t="s">
        <v>43</v>
      </c>
      <c r="E364" s="41" t="s">
        <v>54</v>
      </c>
      <c r="F364" s="41" t="s">
        <v>53</v>
      </c>
      <c r="G364" s="41" t="s">
        <v>25</v>
      </c>
      <c r="H364" s="41" t="s">
        <v>25</v>
      </c>
      <c r="I364" s="61">
        <v>44682</v>
      </c>
      <c r="J364" s="62">
        <f>EFEITO!$J$364*EFEITO!$Y$230</f>
        <v>0</v>
      </c>
      <c r="K364" s="62">
        <f ca="1">EFEITO!$L$364*EFEITO!$Z$230</f>
        <v>694.50568096629991</v>
      </c>
      <c r="L364" s="62">
        <f>EFEITO!$N$364*EFEITO!$AA$230</f>
        <v>231.82590375713264</v>
      </c>
      <c r="M364" s="62">
        <f>$J$364-EFEITO!$K$364*EFEITO!$Y$364</f>
        <v>0</v>
      </c>
      <c r="N364" s="62">
        <f ca="1">$K$364-EFEITO!$M$364*EFEITO!$Z$364</f>
        <v>433.37154492297111</v>
      </c>
      <c r="O364" s="62">
        <f>$L$364-EFEITO!$O$364*EFEITO!$AA$364</f>
        <v>144.65936394445077</v>
      </c>
      <c r="P364" s="45"/>
      <c r="Q364" s="45"/>
      <c r="R364" s="45"/>
      <c r="S364" s="45"/>
      <c r="T364" s="45"/>
      <c r="U364" s="45"/>
      <c r="V364" s="45"/>
      <c r="W364" s="45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41" t="s">
        <v>21</v>
      </c>
      <c r="B365" s="41" t="s">
        <v>42</v>
      </c>
      <c r="C365" s="41" t="s">
        <v>23</v>
      </c>
      <c r="D365" s="41" t="s">
        <v>43</v>
      </c>
      <c r="E365" s="41" t="s">
        <v>54</v>
      </c>
      <c r="F365" s="41" t="s">
        <v>53</v>
      </c>
      <c r="G365" s="41" t="s">
        <v>25</v>
      </c>
      <c r="H365" s="41" t="s">
        <v>25</v>
      </c>
      <c r="I365" s="61">
        <v>44713</v>
      </c>
      <c r="J365" s="62">
        <f>EFEITO!$J$365*EFEITO!$Y$230</f>
        <v>0</v>
      </c>
      <c r="K365" s="62">
        <f ca="1">EFEITO!$L$365*EFEITO!$Z$230</f>
        <v>381.29049514436963</v>
      </c>
      <c r="L365" s="62">
        <f>EFEITO!$N$365*EFEITO!$AA$230</f>
        <v>127.2747164686436</v>
      </c>
      <c r="M365" s="62">
        <f>$J$365-EFEITO!$K$365*EFEITO!$Y$365</f>
        <v>0</v>
      </c>
      <c r="N365" s="62">
        <f ca="1">$K$365-EFEITO!$M$365*EFEITO!$Z$365</f>
        <v>237.92526897008668</v>
      </c>
      <c r="O365" s="62">
        <f>$L$365-EFEITO!$O$365*EFEITO!$AA$365</f>
        <v>79.419423076433617</v>
      </c>
      <c r="P365" s="45"/>
      <c r="Q365" s="45"/>
      <c r="R365" s="45"/>
      <c r="S365" s="45"/>
      <c r="T365" s="45"/>
      <c r="U365" s="45"/>
      <c r="V365" s="45"/>
      <c r="W365" s="45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41" t="s">
        <v>21</v>
      </c>
      <c r="B366" s="41" t="s">
        <v>42</v>
      </c>
      <c r="C366" s="41" t="s">
        <v>23</v>
      </c>
      <c r="D366" s="41" t="s">
        <v>43</v>
      </c>
      <c r="E366" s="41" t="s">
        <v>54</v>
      </c>
      <c r="F366" s="41" t="s">
        <v>53</v>
      </c>
      <c r="G366" s="41" t="s">
        <v>25</v>
      </c>
      <c r="H366" s="41" t="s">
        <v>25</v>
      </c>
      <c r="I366" s="61">
        <v>44743</v>
      </c>
      <c r="J366" s="62">
        <f>EFEITO!$J$366*EFEITO!$Y$230</f>
        <v>0</v>
      </c>
      <c r="K366" s="62">
        <f ca="1">EFEITO!$L$366*EFEITO!$Z$230</f>
        <v>50.884574645055636</v>
      </c>
      <c r="L366" s="62">
        <f>EFEITO!$N$366*EFEITO!$AA$230</f>
        <v>16.985264235671103</v>
      </c>
      <c r="M366" s="62">
        <f>$J$366-EFEITO!$K$366*EFEITO!$Y$366</f>
        <v>0</v>
      </c>
      <c r="N366" s="62">
        <f ca="1">$K$366-EFEITO!$M$366*EFEITO!$Z$366</f>
        <v>31.751974578514716</v>
      </c>
      <c r="O366" s="62">
        <f>$L$366-EFEITO!$O$366*EFEITO!$AA$366</f>
        <v>10.598804883058769</v>
      </c>
      <c r="P366" s="45"/>
      <c r="Q366" s="45"/>
      <c r="R366" s="45"/>
      <c r="S366" s="45"/>
      <c r="T366" s="45"/>
      <c r="U366" s="45"/>
      <c r="V366" s="45"/>
      <c r="W366" s="45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41" t="s">
        <v>57</v>
      </c>
      <c r="B367" s="41" t="s">
        <v>42</v>
      </c>
      <c r="C367" s="41" t="s">
        <v>23</v>
      </c>
      <c r="D367" s="41" t="s">
        <v>43</v>
      </c>
      <c r="E367" s="41" t="s">
        <v>54</v>
      </c>
      <c r="F367" s="41" t="s">
        <v>53</v>
      </c>
      <c r="G367" s="41" t="s">
        <v>25</v>
      </c>
      <c r="H367" s="41" t="s">
        <v>25</v>
      </c>
      <c r="I367" s="61">
        <v>44774</v>
      </c>
      <c r="J367" s="62">
        <f>EFEITO!$J$367*EFEITO!$Y$230</f>
        <v>0</v>
      </c>
      <c r="K367" s="62">
        <f ca="1">EFEITO!$L$367*EFEITO!$Z$230</f>
        <v>50.884574645055636</v>
      </c>
      <c r="L367" s="62">
        <f>EFEITO!$N$367*EFEITO!$AA$230</f>
        <v>16.985264235671103</v>
      </c>
      <c r="M367" s="62">
        <f>$J$367-EFEITO!$K$367*EFEITO!$Y$367</f>
        <v>0</v>
      </c>
      <c r="N367" s="62">
        <f ca="1">$K$367-EFEITO!$M$367*EFEITO!$Z$367</f>
        <v>31.751974578514716</v>
      </c>
      <c r="O367" s="62">
        <f>$L$367-EFEITO!$O$367*EFEITO!$AA$367</f>
        <v>10.598804883058769</v>
      </c>
      <c r="P367" s="45"/>
      <c r="Q367" s="45"/>
      <c r="R367" s="45"/>
      <c r="S367" s="45"/>
      <c r="T367" s="45"/>
      <c r="U367" s="45"/>
      <c r="V367" s="45"/>
      <c r="W367" s="45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41" t="s">
        <v>21</v>
      </c>
      <c r="B368" s="41" t="s">
        <v>42</v>
      </c>
      <c r="C368" s="41" t="s">
        <v>23</v>
      </c>
      <c r="D368" s="41" t="s">
        <v>43</v>
      </c>
      <c r="E368" s="41" t="s">
        <v>25</v>
      </c>
      <c r="F368" s="41" t="s">
        <v>25</v>
      </c>
      <c r="G368" s="41" t="s">
        <v>25</v>
      </c>
      <c r="H368" s="41" t="s">
        <v>25</v>
      </c>
      <c r="I368" s="61">
        <v>44440</v>
      </c>
      <c r="J368" s="62">
        <f>EFEITO!$J$368*EFEITO!$Y$230</f>
        <v>0</v>
      </c>
      <c r="K368" s="62">
        <f ca="1">EFEITO!$L$368*EFEITO!$Z$230</f>
        <v>389319.94349748199</v>
      </c>
      <c r="L368" s="62">
        <f>EFEITO!$N$368*EFEITO!$AA$230</f>
        <v>129954.94525891297</v>
      </c>
      <c r="M368" s="62">
        <f>$J$368-EFEITO!$K$368*EFEITO!$Y$368</f>
        <v>0</v>
      </c>
      <c r="N368" s="62">
        <f ca="1">$K$368-EFEITO!$M$368*EFEITO!$Z$368</f>
        <v>23359.196609848936</v>
      </c>
      <c r="O368" s="62">
        <f>$L$368-EFEITO!$O$368*EFEITO!$AA$368</f>
        <v>7797.2967155347869</v>
      </c>
      <c r="P368" s="45"/>
      <c r="Q368" s="45"/>
      <c r="R368" s="45"/>
      <c r="S368" s="45"/>
      <c r="T368" s="45"/>
      <c r="U368" s="45"/>
      <c r="V368" s="45"/>
      <c r="W368" s="45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41" t="s">
        <v>28</v>
      </c>
      <c r="B369" s="41" t="s">
        <v>42</v>
      </c>
      <c r="C369" s="41" t="s">
        <v>23</v>
      </c>
      <c r="D369" s="41" t="s">
        <v>43</v>
      </c>
      <c r="E369" s="41" t="s">
        <v>25</v>
      </c>
      <c r="F369" s="41" t="s">
        <v>25</v>
      </c>
      <c r="G369" s="41" t="s">
        <v>25</v>
      </c>
      <c r="H369" s="41" t="s">
        <v>25</v>
      </c>
      <c r="I369" s="61">
        <v>44440</v>
      </c>
      <c r="J369" s="62">
        <f>EFEITO!$J$369*EFEITO!$Y$230</f>
        <v>0</v>
      </c>
      <c r="K369" s="62">
        <f ca="1">EFEITO!$L$369*EFEITO!$Z$230</f>
        <v>5898.1410678103348</v>
      </c>
      <c r="L369" s="62">
        <f>EFEITO!$N$369*EFEITO!$AA$230</f>
        <v>1968.7987024522824</v>
      </c>
      <c r="M369" s="62">
        <f>$J$369-EFEITO!$K$369*EFEITO!$Y$369</f>
        <v>0</v>
      </c>
      <c r="N369" s="62">
        <f ca="1">$K$369-EFEITO!$M$369*EFEITO!$Z$369</f>
        <v>353.88846406862012</v>
      </c>
      <c r="O369" s="62">
        <f>$L$369-EFEITO!$O$369*EFEITO!$AA$369</f>
        <v>118.12792214713704</v>
      </c>
      <c r="P369" s="45"/>
      <c r="Q369" s="45"/>
      <c r="R369" s="45"/>
      <c r="S369" s="45"/>
      <c r="T369" s="45"/>
      <c r="U369" s="45"/>
      <c r="V369" s="45"/>
      <c r="W369" s="45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41" t="s">
        <v>21</v>
      </c>
      <c r="B370" s="41" t="s">
        <v>42</v>
      </c>
      <c r="C370" s="41" t="s">
        <v>23</v>
      </c>
      <c r="D370" s="41" t="s">
        <v>43</v>
      </c>
      <c r="E370" s="41" t="s">
        <v>25</v>
      </c>
      <c r="F370" s="41" t="s">
        <v>25</v>
      </c>
      <c r="G370" s="41" t="s">
        <v>25</v>
      </c>
      <c r="H370" s="41" t="s">
        <v>25</v>
      </c>
      <c r="I370" s="61">
        <v>44470</v>
      </c>
      <c r="J370" s="62">
        <f>EFEITO!$J$370*EFEITO!$Y$230</f>
        <v>0</v>
      </c>
      <c r="K370" s="62">
        <f ca="1">EFEITO!$L$370*EFEITO!$Z$230</f>
        <v>395721.08546195255</v>
      </c>
      <c r="L370" s="62">
        <f>EFEITO!$N$370*EFEITO!$AA$230</f>
        <v>132091.64559364083</v>
      </c>
      <c r="M370" s="62">
        <f>$J$370-EFEITO!$K$370*EFEITO!$Y$370</f>
        <v>0</v>
      </c>
      <c r="N370" s="62">
        <f ca="1">$K$370-EFEITO!$M$370*EFEITO!$Z$370</f>
        <v>23743.265127717168</v>
      </c>
      <c r="O370" s="62">
        <f>$L$370-EFEITO!$O$370*EFEITO!$AA$370</f>
        <v>7925.498735618472</v>
      </c>
      <c r="P370" s="45"/>
      <c r="Q370" s="45"/>
      <c r="R370" s="45"/>
      <c r="S370" s="45"/>
      <c r="T370" s="45"/>
      <c r="U370" s="45"/>
      <c r="V370" s="45"/>
      <c r="W370" s="45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41" t="s">
        <v>28</v>
      </c>
      <c r="B371" s="41" t="s">
        <v>42</v>
      </c>
      <c r="C371" s="41" t="s">
        <v>23</v>
      </c>
      <c r="D371" s="41" t="s">
        <v>43</v>
      </c>
      <c r="E371" s="41" t="s">
        <v>25</v>
      </c>
      <c r="F371" s="41" t="s">
        <v>25</v>
      </c>
      <c r="G371" s="41" t="s">
        <v>25</v>
      </c>
      <c r="H371" s="41" t="s">
        <v>25</v>
      </c>
      <c r="I371" s="61">
        <v>44470</v>
      </c>
      <c r="J371" s="62">
        <f>EFEITO!$J$371*EFEITO!$Y$230</f>
        <v>0</v>
      </c>
      <c r="K371" s="62">
        <f ca="1">EFEITO!$L$371*EFEITO!$Z$230</f>
        <v>7662.2542604034461</v>
      </c>
      <c r="L371" s="62">
        <f>EFEITO!$N$371*EFEITO!$AA$230</f>
        <v>2557.6594510551772</v>
      </c>
      <c r="M371" s="62">
        <f>$J$371-EFEITO!$K$371*EFEITO!$Y$371</f>
        <v>0</v>
      </c>
      <c r="N371" s="62">
        <f ca="1">$K$371-EFEITO!$M$371*EFEITO!$Z$371</f>
        <v>459.73525562420673</v>
      </c>
      <c r="O371" s="62">
        <f>$L$371-EFEITO!$O$371*EFEITO!$AA$371</f>
        <v>153.45956706331071</v>
      </c>
      <c r="P371" s="45"/>
      <c r="Q371" s="45"/>
      <c r="R371" s="45"/>
      <c r="S371" s="45"/>
      <c r="T371" s="45"/>
      <c r="U371" s="45"/>
      <c r="V371" s="45"/>
      <c r="W371" s="45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41" t="s">
        <v>21</v>
      </c>
      <c r="B372" s="41" t="s">
        <v>42</v>
      </c>
      <c r="C372" s="41" t="s">
        <v>23</v>
      </c>
      <c r="D372" s="41" t="s">
        <v>43</v>
      </c>
      <c r="E372" s="41" t="s">
        <v>25</v>
      </c>
      <c r="F372" s="41" t="s">
        <v>25</v>
      </c>
      <c r="G372" s="41" t="s">
        <v>25</v>
      </c>
      <c r="H372" s="41" t="s">
        <v>25</v>
      </c>
      <c r="I372" s="61">
        <v>44501</v>
      </c>
      <c r="J372" s="62">
        <f>EFEITO!$J$372*EFEITO!$Y$230</f>
        <v>0</v>
      </c>
      <c r="K372" s="62">
        <f ca="1">EFEITO!$L$372*EFEITO!$Z$230</f>
        <v>422125.02248233324</v>
      </c>
      <c r="L372" s="62">
        <f>EFEITO!$N$372*EFEITO!$AA$230</f>
        <v>140905.27625247079</v>
      </c>
      <c r="M372" s="62">
        <f>$J$372-EFEITO!$K$372*EFEITO!$Y$372</f>
        <v>0</v>
      </c>
      <c r="N372" s="62">
        <f ca="1">$K$372-EFEITO!$M$372*EFEITO!$Z$372</f>
        <v>25327.501348940015</v>
      </c>
      <c r="O372" s="62">
        <f>$L$372-EFEITO!$O$372*EFEITO!$AA$372</f>
        <v>8454.3165751482593</v>
      </c>
      <c r="P372" s="45"/>
      <c r="Q372" s="45"/>
      <c r="R372" s="45"/>
      <c r="S372" s="45"/>
      <c r="T372" s="45"/>
      <c r="U372" s="45"/>
      <c r="V372" s="45"/>
      <c r="W372" s="45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41" t="s">
        <v>28</v>
      </c>
      <c r="B373" s="41" t="s">
        <v>42</v>
      </c>
      <c r="C373" s="41" t="s">
        <v>23</v>
      </c>
      <c r="D373" s="41" t="s">
        <v>43</v>
      </c>
      <c r="E373" s="41" t="s">
        <v>25</v>
      </c>
      <c r="F373" s="41" t="s">
        <v>25</v>
      </c>
      <c r="G373" s="41" t="s">
        <v>25</v>
      </c>
      <c r="H373" s="41" t="s">
        <v>25</v>
      </c>
      <c r="I373" s="61">
        <v>44501</v>
      </c>
      <c r="J373" s="62">
        <f>EFEITO!$J$373*EFEITO!$Y$230</f>
        <v>0</v>
      </c>
      <c r="K373" s="62">
        <f ca="1">EFEITO!$L$373*EFEITO!$Z$230</f>
        <v>9437.7133378836297</v>
      </c>
      <c r="L373" s="62">
        <f>EFEITO!$N$373*EFEITO!$AA$230</f>
        <v>3150.3074545214313</v>
      </c>
      <c r="M373" s="62">
        <f>$J$373-EFEITO!$K$373*EFEITO!$Y$373</f>
        <v>0</v>
      </c>
      <c r="N373" s="62">
        <f ca="1">$K$373-EFEITO!$M$373*EFEITO!$Z$373</f>
        <v>566.262800273018</v>
      </c>
      <c r="O373" s="62">
        <f>$L$373-EFEITO!$O$373*EFEITO!$AA$373</f>
        <v>189.01844727128628</v>
      </c>
      <c r="P373" s="45"/>
      <c r="Q373" s="45"/>
      <c r="R373" s="45"/>
      <c r="S373" s="45"/>
      <c r="T373" s="45"/>
      <c r="U373" s="45"/>
      <c r="V373" s="45"/>
      <c r="W373" s="45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41" t="s">
        <v>21</v>
      </c>
      <c r="B374" s="41" t="s">
        <v>42</v>
      </c>
      <c r="C374" s="41" t="s">
        <v>23</v>
      </c>
      <c r="D374" s="41" t="s">
        <v>43</v>
      </c>
      <c r="E374" s="41" t="s">
        <v>25</v>
      </c>
      <c r="F374" s="41" t="s">
        <v>25</v>
      </c>
      <c r="G374" s="41" t="s">
        <v>25</v>
      </c>
      <c r="H374" s="41" t="s">
        <v>25</v>
      </c>
      <c r="I374" s="61">
        <v>44531</v>
      </c>
      <c r="J374" s="62">
        <f>EFEITO!$J$374*EFEITO!$Y$230</f>
        <v>0</v>
      </c>
      <c r="K374" s="62">
        <f ca="1">EFEITO!$L$374*EFEITO!$Z$230</f>
        <v>427309.06043164502</v>
      </c>
      <c r="L374" s="62">
        <f>EFEITO!$N$374*EFEITO!$AA$230</f>
        <v>142635.70742912922</v>
      </c>
      <c r="M374" s="62">
        <f>$J$374-EFEITO!$K$374*EFEITO!$Y$374</f>
        <v>0</v>
      </c>
      <c r="N374" s="62">
        <f ca="1">$K$374-EFEITO!$M$374*EFEITO!$Z$374</f>
        <v>25638.543625898717</v>
      </c>
      <c r="O374" s="62">
        <f>$L$374-EFEITO!$O$374*EFEITO!$AA$374</f>
        <v>8558.1424457477697</v>
      </c>
      <c r="P374" s="45"/>
      <c r="Q374" s="45"/>
      <c r="R374" s="45"/>
      <c r="S374" s="45"/>
      <c r="T374" s="45"/>
      <c r="U374" s="45"/>
      <c r="V374" s="45"/>
      <c r="W374" s="45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41" t="s">
        <v>28</v>
      </c>
      <c r="B375" s="41" t="s">
        <v>42</v>
      </c>
      <c r="C375" s="41" t="s">
        <v>23</v>
      </c>
      <c r="D375" s="41" t="s">
        <v>43</v>
      </c>
      <c r="E375" s="41" t="s">
        <v>25</v>
      </c>
      <c r="F375" s="41" t="s">
        <v>25</v>
      </c>
      <c r="G375" s="41" t="s">
        <v>25</v>
      </c>
      <c r="H375" s="41" t="s">
        <v>25</v>
      </c>
      <c r="I375" s="61">
        <v>44531</v>
      </c>
      <c r="J375" s="62">
        <f>EFEITO!$J$375*EFEITO!$Y$230</f>
        <v>0</v>
      </c>
      <c r="K375" s="62">
        <f ca="1">EFEITO!$L$375*EFEITO!$Z$230</f>
        <v>3526.163497024937</v>
      </c>
      <c r="L375" s="62">
        <f>EFEITO!$N$375*EFEITO!$AA$230</f>
        <v>1177.0329054124518</v>
      </c>
      <c r="M375" s="62">
        <f>$J$375-EFEITO!$K$375*EFEITO!$Y$375</f>
        <v>0</v>
      </c>
      <c r="N375" s="62">
        <f ca="1">$K$375-EFEITO!$M$375*EFEITO!$Z$375</f>
        <v>211.56980982149662</v>
      </c>
      <c r="O375" s="62">
        <f>$L$375-EFEITO!$O$375*EFEITO!$AA$375</f>
        <v>70.621974324747271</v>
      </c>
      <c r="P375" s="45"/>
      <c r="Q375" s="45"/>
      <c r="R375" s="45"/>
      <c r="S375" s="45"/>
      <c r="T375" s="45"/>
      <c r="U375" s="45"/>
      <c r="V375" s="45"/>
      <c r="W375" s="45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41" t="s">
        <v>21</v>
      </c>
      <c r="B376" s="41" t="s">
        <v>42</v>
      </c>
      <c r="C376" s="41" t="s">
        <v>23</v>
      </c>
      <c r="D376" s="41" t="s">
        <v>43</v>
      </c>
      <c r="E376" s="41" t="s">
        <v>25</v>
      </c>
      <c r="F376" s="41" t="s">
        <v>25</v>
      </c>
      <c r="G376" s="41" t="s">
        <v>25</v>
      </c>
      <c r="H376" s="41" t="s">
        <v>25</v>
      </c>
      <c r="I376" s="61">
        <v>44562</v>
      </c>
      <c r="J376" s="62">
        <f>EFEITO!$J$376*EFEITO!$Y$230</f>
        <v>0</v>
      </c>
      <c r="K376" s="62">
        <f ca="1">EFEITO!$L$376*EFEITO!$Z$230</f>
        <v>533332.91655440873</v>
      </c>
      <c r="L376" s="62">
        <f>EFEITO!$N$376*EFEITO!$AA$230</f>
        <v>178026.45647423109</v>
      </c>
      <c r="M376" s="62">
        <f>$J$376-EFEITO!$K$376*EFEITO!$Y$376</f>
        <v>0</v>
      </c>
      <c r="N376" s="62">
        <f ca="1">$K$376-EFEITO!$M$376*EFEITO!$Z$376</f>
        <v>31999.974993264535</v>
      </c>
      <c r="O376" s="62">
        <f>$L$376-EFEITO!$O$376*EFEITO!$AA$376</f>
        <v>10681.587388453889</v>
      </c>
      <c r="P376" s="45"/>
      <c r="Q376" s="45"/>
      <c r="R376" s="45"/>
      <c r="S376" s="45"/>
      <c r="T376" s="45"/>
      <c r="U376" s="45"/>
      <c r="V376" s="45"/>
      <c r="W376" s="45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41" t="s">
        <v>27</v>
      </c>
      <c r="B377" s="41" t="s">
        <v>42</v>
      </c>
      <c r="C377" s="41" t="s">
        <v>23</v>
      </c>
      <c r="D377" s="41" t="s">
        <v>43</v>
      </c>
      <c r="E377" s="41" t="s">
        <v>25</v>
      </c>
      <c r="F377" s="41" t="s">
        <v>25</v>
      </c>
      <c r="G377" s="41" t="s">
        <v>25</v>
      </c>
      <c r="H377" s="41" t="s">
        <v>25</v>
      </c>
      <c r="I377" s="61">
        <v>44562</v>
      </c>
      <c r="J377" s="62">
        <f>EFEITO!$J$377*EFEITO!$Y$230</f>
        <v>0</v>
      </c>
      <c r="K377" s="62">
        <f ca="1">EFEITO!$L$377*EFEITO!$Z$230</f>
        <v>-24501.26650628784</v>
      </c>
      <c r="L377" s="62">
        <f>EFEITO!$N$377*EFEITO!$AA$230</f>
        <v>-8178.5194947745267</v>
      </c>
      <c r="M377" s="62">
        <f>$J$377-EFEITO!$K$377*EFEITO!$Y$377</f>
        <v>0</v>
      </c>
      <c r="N377" s="62">
        <f ca="1">$K$377-EFEITO!$M$377*EFEITO!$Z$377</f>
        <v>-1470.0759903772741</v>
      </c>
      <c r="O377" s="62">
        <f>$L$377-EFEITO!$O$377*EFEITO!$AA$377</f>
        <v>-490.7111696864722</v>
      </c>
      <c r="P377" s="45"/>
      <c r="Q377" s="45"/>
      <c r="R377" s="45"/>
      <c r="S377" s="45"/>
      <c r="T377" s="45"/>
      <c r="U377" s="45"/>
      <c r="V377" s="45"/>
      <c r="W377" s="45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41" t="s">
        <v>28</v>
      </c>
      <c r="B378" s="41" t="s">
        <v>42</v>
      </c>
      <c r="C378" s="41" t="s">
        <v>23</v>
      </c>
      <c r="D378" s="41" t="s">
        <v>43</v>
      </c>
      <c r="E378" s="41" t="s">
        <v>25</v>
      </c>
      <c r="F378" s="41" t="s">
        <v>25</v>
      </c>
      <c r="G378" s="41" t="s">
        <v>25</v>
      </c>
      <c r="H378" s="41" t="s">
        <v>25</v>
      </c>
      <c r="I378" s="61">
        <v>44562</v>
      </c>
      <c r="J378" s="62">
        <f>EFEITO!$J$378*EFEITO!$Y$230</f>
        <v>0</v>
      </c>
      <c r="K378" s="62">
        <f ca="1">EFEITO!$L$378*EFEITO!$Z$230</f>
        <v>5165.8157705537906</v>
      </c>
      <c r="L378" s="62">
        <f>EFEITO!$N$378*EFEITO!$AA$230</f>
        <v>1724.3486158172861</v>
      </c>
      <c r="M378" s="62">
        <f>$J$378-EFEITO!$K$378*EFEITO!$Y$378</f>
        <v>0</v>
      </c>
      <c r="N378" s="62">
        <f ca="1">$K$378-EFEITO!$M$378*EFEITO!$Z$378</f>
        <v>309.94894623322762</v>
      </c>
      <c r="O378" s="62">
        <f>$L$378-EFEITO!$O$378*EFEITO!$AA$378</f>
        <v>103.46091694903726</v>
      </c>
      <c r="P378" s="45"/>
      <c r="Q378" s="45"/>
      <c r="R378" s="45"/>
      <c r="S378" s="45"/>
      <c r="T378" s="45"/>
      <c r="U378" s="45"/>
      <c r="V378" s="45"/>
      <c r="W378" s="45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41" t="s">
        <v>21</v>
      </c>
      <c r="B379" s="41" t="s">
        <v>42</v>
      </c>
      <c r="C379" s="41" t="s">
        <v>23</v>
      </c>
      <c r="D379" s="41" t="s">
        <v>43</v>
      </c>
      <c r="E379" s="41" t="s">
        <v>25</v>
      </c>
      <c r="F379" s="41" t="s">
        <v>25</v>
      </c>
      <c r="G379" s="41" t="s">
        <v>25</v>
      </c>
      <c r="H379" s="41" t="s">
        <v>25</v>
      </c>
      <c r="I379" s="61">
        <v>44593</v>
      </c>
      <c r="J379" s="62">
        <f>EFEITO!$J$379*EFEITO!$Y$230</f>
        <v>0</v>
      </c>
      <c r="K379" s="62">
        <f ca="1">EFEITO!$L$379*EFEITO!$Z$230</f>
        <v>487778.84491811629</v>
      </c>
      <c r="L379" s="62">
        <f>EFEITO!$N$379*EFEITO!$AA$230</f>
        <v>162820.51343254544</v>
      </c>
      <c r="M379" s="62">
        <f>$J$379-EFEITO!$K$379*EFEITO!$Y$379</f>
        <v>0</v>
      </c>
      <c r="N379" s="62">
        <f ca="1">$K$379-EFEITO!$M$379*EFEITO!$Z$379</f>
        <v>29266.730695086997</v>
      </c>
      <c r="O379" s="62">
        <f>$L$379-EFEITO!$O$379*EFEITO!$AA$379</f>
        <v>9769.2308059527422</v>
      </c>
      <c r="P379" s="45"/>
      <c r="Q379" s="45"/>
      <c r="R379" s="45"/>
      <c r="S379" s="45"/>
      <c r="T379" s="45"/>
      <c r="U379" s="45"/>
      <c r="V379" s="45"/>
      <c r="W379" s="45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41" t="s">
        <v>28</v>
      </c>
      <c r="B380" s="41" t="s">
        <v>42</v>
      </c>
      <c r="C380" s="41" t="s">
        <v>23</v>
      </c>
      <c r="D380" s="41" t="s">
        <v>43</v>
      </c>
      <c r="E380" s="41" t="s">
        <v>25</v>
      </c>
      <c r="F380" s="41" t="s">
        <v>25</v>
      </c>
      <c r="G380" s="41" t="s">
        <v>25</v>
      </c>
      <c r="H380" s="41" t="s">
        <v>25</v>
      </c>
      <c r="I380" s="61">
        <v>44593</v>
      </c>
      <c r="J380" s="62">
        <f>EFEITO!$J$380*EFEITO!$Y$230</f>
        <v>0</v>
      </c>
      <c r="K380" s="62">
        <f ca="1">EFEITO!$L$380*EFEITO!$Z$230</f>
        <v>8316.5336222246679</v>
      </c>
      <c r="L380" s="62">
        <f>EFEITO!$N$380*EFEITO!$AA$230</f>
        <v>2776.0578148422187</v>
      </c>
      <c r="M380" s="62">
        <f>$J$380-EFEITO!$K$380*EFEITO!$Y$380</f>
        <v>0</v>
      </c>
      <c r="N380" s="62">
        <f ca="1">$K$380-EFEITO!$M$380*EFEITO!$Z$380</f>
        <v>498.99201733348036</v>
      </c>
      <c r="O380" s="62">
        <f>$L$380-EFEITO!$O$380*EFEITO!$AA$380</f>
        <v>166.56346889053339</v>
      </c>
      <c r="P380" s="45"/>
      <c r="Q380" s="45"/>
      <c r="R380" s="45"/>
      <c r="S380" s="45"/>
      <c r="T380" s="45"/>
      <c r="U380" s="45"/>
      <c r="V380" s="45"/>
      <c r="W380" s="45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41" t="s">
        <v>21</v>
      </c>
      <c r="B381" s="41" t="s">
        <v>42</v>
      </c>
      <c r="C381" s="41" t="s">
        <v>23</v>
      </c>
      <c r="D381" s="41" t="s">
        <v>43</v>
      </c>
      <c r="E381" s="41" t="s">
        <v>25</v>
      </c>
      <c r="F381" s="41" t="s">
        <v>25</v>
      </c>
      <c r="G381" s="41" t="s">
        <v>25</v>
      </c>
      <c r="H381" s="41" t="s">
        <v>25</v>
      </c>
      <c r="I381" s="61">
        <v>44621</v>
      </c>
      <c r="J381" s="62">
        <f>EFEITO!$J$381*EFEITO!$Y$230</f>
        <v>0</v>
      </c>
      <c r="K381" s="62">
        <f ca="1">EFEITO!$L$381*EFEITO!$Z$230</f>
        <v>477954.34004999156</v>
      </c>
      <c r="L381" s="62">
        <f>EFEITO!$N$381*EFEITO!$AA$230</f>
        <v>159541.09501677312</v>
      </c>
      <c r="M381" s="62">
        <f>$J$381-EFEITO!$K$381*EFEITO!$Y$381</f>
        <v>0</v>
      </c>
      <c r="N381" s="62">
        <f ca="1">$K$381-EFEITO!$M$381*EFEITO!$Z$381</f>
        <v>28677.260402999585</v>
      </c>
      <c r="O381" s="62">
        <f>$L$381-EFEITO!$O$381*EFEITO!$AA$381</f>
        <v>9572.465701006382</v>
      </c>
      <c r="P381" s="45"/>
      <c r="Q381" s="45"/>
      <c r="R381" s="45"/>
      <c r="S381" s="45"/>
      <c r="T381" s="45"/>
      <c r="U381" s="45"/>
      <c r="V381" s="45"/>
      <c r="W381" s="45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41" t="s">
        <v>28</v>
      </c>
      <c r="B382" s="41" t="s">
        <v>42</v>
      </c>
      <c r="C382" s="41" t="s">
        <v>23</v>
      </c>
      <c r="D382" s="41" t="s">
        <v>43</v>
      </c>
      <c r="E382" s="41" t="s">
        <v>25</v>
      </c>
      <c r="F382" s="41" t="s">
        <v>25</v>
      </c>
      <c r="G382" s="41" t="s">
        <v>25</v>
      </c>
      <c r="H382" s="41" t="s">
        <v>25</v>
      </c>
      <c r="I382" s="61">
        <v>44621</v>
      </c>
      <c r="J382" s="62">
        <f>EFEITO!$J$382*EFEITO!$Y$230</f>
        <v>0</v>
      </c>
      <c r="K382" s="62">
        <f ca="1">EFEITO!$L$382*EFEITO!$Z$230</f>
        <v>24073.217212820986</v>
      </c>
      <c r="L382" s="62">
        <f>EFEITO!$N$382*EFEITO!$AA$230</f>
        <v>8035.6366976568879</v>
      </c>
      <c r="M382" s="62">
        <f>$J$382-EFEITO!$K$382*EFEITO!$Y$382</f>
        <v>0</v>
      </c>
      <c r="N382" s="62">
        <f ca="1">$K$382-EFEITO!$M$382*EFEITO!$Z$382</f>
        <v>1444.3930327692615</v>
      </c>
      <c r="O382" s="62">
        <f>$L$382-EFEITO!$O$382*EFEITO!$AA$382</f>
        <v>482.13820185941404</v>
      </c>
      <c r="P382" s="45"/>
      <c r="Q382" s="45"/>
      <c r="R382" s="45"/>
      <c r="S382" s="45"/>
      <c r="T382" s="45"/>
      <c r="U382" s="45"/>
      <c r="V382" s="45"/>
      <c r="W382" s="45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41" t="s">
        <v>21</v>
      </c>
      <c r="B383" s="41" t="s">
        <v>42</v>
      </c>
      <c r="C383" s="41" t="s">
        <v>23</v>
      </c>
      <c r="D383" s="41" t="s">
        <v>43</v>
      </c>
      <c r="E383" s="41" t="s">
        <v>25</v>
      </c>
      <c r="F383" s="41" t="s">
        <v>25</v>
      </c>
      <c r="G383" s="41" t="s">
        <v>25</v>
      </c>
      <c r="H383" s="41" t="s">
        <v>25</v>
      </c>
      <c r="I383" s="61">
        <v>44652</v>
      </c>
      <c r="J383" s="62">
        <f>EFEITO!$J$383*EFEITO!$Y$230</f>
        <v>0</v>
      </c>
      <c r="K383" s="62">
        <f ca="1">EFEITO!$L$383*EFEITO!$Z$230</f>
        <v>391459.8461501227</v>
      </c>
      <c r="L383" s="62">
        <f>EFEITO!$N$383*EFEITO!$AA$230</f>
        <v>130669.24447920226</v>
      </c>
      <c r="M383" s="62">
        <f>$J$383-EFEITO!$K$383*EFEITO!$Y$383</f>
        <v>0</v>
      </c>
      <c r="N383" s="62">
        <f ca="1">$K$383-EFEITO!$M$383*EFEITO!$Z$383</f>
        <v>23487.590769007395</v>
      </c>
      <c r="O383" s="62">
        <f>$L$383-EFEITO!$O$383*EFEITO!$AA$383</f>
        <v>7840.1546687521477</v>
      </c>
      <c r="P383" s="45"/>
      <c r="Q383" s="45"/>
      <c r="R383" s="45"/>
      <c r="S383" s="45"/>
      <c r="T383" s="45"/>
      <c r="U383" s="45"/>
      <c r="V383" s="45"/>
      <c r="W383" s="45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41" t="s">
        <v>28</v>
      </c>
      <c r="B384" s="41" t="s">
        <v>42</v>
      </c>
      <c r="C384" s="41" t="s">
        <v>23</v>
      </c>
      <c r="D384" s="41" t="s">
        <v>43</v>
      </c>
      <c r="E384" s="41" t="s">
        <v>25</v>
      </c>
      <c r="F384" s="41" t="s">
        <v>25</v>
      </c>
      <c r="G384" s="41" t="s">
        <v>25</v>
      </c>
      <c r="H384" s="41" t="s">
        <v>25</v>
      </c>
      <c r="I384" s="61">
        <v>44652</v>
      </c>
      <c r="J384" s="62">
        <f>EFEITO!$J$384*EFEITO!$Y$230</f>
        <v>0</v>
      </c>
      <c r="K384" s="62">
        <f ca="1">EFEITO!$L$384*EFEITO!$Z$230</f>
        <v>13002.040265892359</v>
      </c>
      <c r="L384" s="62">
        <f>EFEITO!$N$384*EFEITO!$AA$230</f>
        <v>4340.0793081106358</v>
      </c>
      <c r="M384" s="62">
        <f>$J$384-EFEITO!$K$384*EFEITO!$Y$384</f>
        <v>0</v>
      </c>
      <c r="N384" s="62">
        <f ca="1">$K$384-EFEITO!$M$384*EFEITO!$Z$384</f>
        <v>780.12241595354317</v>
      </c>
      <c r="O384" s="62">
        <f>$L$384-EFEITO!$O$384*EFEITO!$AA$384</f>
        <v>260.404758486638</v>
      </c>
      <c r="P384" s="45"/>
      <c r="Q384" s="45"/>
      <c r="R384" s="45"/>
      <c r="S384" s="45"/>
      <c r="T384" s="45"/>
      <c r="U384" s="45"/>
      <c r="V384" s="45"/>
      <c r="W384" s="45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41" t="s">
        <v>21</v>
      </c>
      <c r="B385" s="41" t="s">
        <v>42</v>
      </c>
      <c r="C385" s="41" t="s">
        <v>23</v>
      </c>
      <c r="D385" s="41" t="s">
        <v>43</v>
      </c>
      <c r="E385" s="41" t="s">
        <v>25</v>
      </c>
      <c r="F385" s="41" t="s">
        <v>25</v>
      </c>
      <c r="G385" s="41" t="s">
        <v>25</v>
      </c>
      <c r="H385" s="41" t="s">
        <v>25</v>
      </c>
      <c r="I385" s="61">
        <v>44682</v>
      </c>
      <c r="J385" s="62">
        <f>EFEITO!$J$385*EFEITO!$Y$230</f>
        <v>0</v>
      </c>
      <c r="K385" s="62">
        <f ca="1">EFEITO!$L$385*EFEITO!$Z$230</f>
        <v>327116.98914083693</v>
      </c>
      <c r="L385" s="62">
        <f>EFEITO!$N$385*EFEITO!$AA$230</f>
        <v>109191.60738379392</v>
      </c>
      <c r="M385" s="62">
        <f>$J$385-EFEITO!$K$385*EFEITO!$Y$385</f>
        <v>0</v>
      </c>
      <c r="N385" s="62">
        <f ca="1">$K$385-EFEITO!$M$385*EFEITO!$Z$385</f>
        <v>19627.019348450238</v>
      </c>
      <c r="O385" s="62">
        <f>$L$385-EFEITO!$O$385*EFEITO!$AA$385</f>
        <v>6551.4964430276304</v>
      </c>
      <c r="P385" s="45"/>
      <c r="Q385" s="45"/>
      <c r="R385" s="45"/>
      <c r="S385" s="45"/>
      <c r="T385" s="45"/>
      <c r="U385" s="45"/>
      <c r="V385" s="45"/>
      <c r="W385" s="45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41" t="s">
        <v>28</v>
      </c>
      <c r="B386" s="41" t="s">
        <v>42</v>
      </c>
      <c r="C386" s="41" t="s">
        <v>23</v>
      </c>
      <c r="D386" s="41" t="s">
        <v>43</v>
      </c>
      <c r="E386" s="41" t="s">
        <v>25</v>
      </c>
      <c r="F386" s="41" t="s">
        <v>25</v>
      </c>
      <c r="G386" s="41" t="s">
        <v>25</v>
      </c>
      <c r="H386" s="41" t="s">
        <v>25</v>
      </c>
      <c r="I386" s="61">
        <v>44682</v>
      </c>
      <c r="J386" s="62">
        <f>EFEITO!$J$386*EFEITO!$Y$230</f>
        <v>0</v>
      </c>
      <c r="K386" s="62">
        <f ca="1">EFEITO!$L$386*EFEITO!$Z$230</f>
        <v>15707.174274725452</v>
      </c>
      <c r="L386" s="62">
        <f>EFEITO!$N$386*EFEITO!$AA$230</f>
        <v>5243.052679774557</v>
      </c>
      <c r="M386" s="62">
        <f>$J$386-EFEITO!$K$386*EFEITO!$Y$386</f>
        <v>0</v>
      </c>
      <c r="N386" s="62">
        <f ca="1">$K$386-EFEITO!$M$386*EFEITO!$Z$386</f>
        <v>942.43045648352745</v>
      </c>
      <c r="O386" s="62">
        <f>$L$386-EFEITO!$O$386*EFEITO!$AA$386</f>
        <v>314.58316078647385</v>
      </c>
      <c r="P386" s="45"/>
      <c r="Q386" s="45"/>
      <c r="R386" s="45"/>
      <c r="S386" s="45"/>
      <c r="T386" s="45"/>
      <c r="U386" s="45"/>
      <c r="V386" s="45"/>
      <c r="W386" s="45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41" t="s">
        <v>21</v>
      </c>
      <c r="B387" s="41" t="s">
        <v>42</v>
      </c>
      <c r="C387" s="41" t="s">
        <v>23</v>
      </c>
      <c r="D387" s="41" t="s">
        <v>43</v>
      </c>
      <c r="E387" s="41" t="s">
        <v>25</v>
      </c>
      <c r="F387" s="41" t="s">
        <v>25</v>
      </c>
      <c r="G387" s="41" t="s">
        <v>25</v>
      </c>
      <c r="H387" s="41" t="s">
        <v>25</v>
      </c>
      <c r="I387" s="61">
        <v>44713</v>
      </c>
      <c r="J387" s="62">
        <f>EFEITO!$J$387*EFEITO!$Y$230</f>
        <v>0</v>
      </c>
      <c r="K387" s="62">
        <f ca="1">EFEITO!$L$387*EFEITO!$Z$230</f>
        <v>321206.4707440589</v>
      </c>
      <c r="L387" s="62">
        <f>EFEITO!$N$387*EFEITO!$AA$230</f>
        <v>107218.67713058162</v>
      </c>
      <c r="M387" s="62">
        <f>$J$387-EFEITO!$K$387*EFEITO!$Y$387</f>
        <v>0</v>
      </c>
      <c r="N387" s="62">
        <f ca="1">$K$387-EFEITO!$M$387*EFEITO!$Z$387</f>
        <v>19272.388244643575</v>
      </c>
      <c r="O387" s="62">
        <f>$L$387-EFEITO!$O$387*EFEITO!$AA$387</f>
        <v>6433.1206278348982</v>
      </c>
      <c r="P387" s="45"/>
      <c r="Q387" s="45"/>
      <c r="R387" s="45"/>
      <c r="S387" s="45"/>
      <c r="T387" s="45"/>
      <c r="U387" s="45"/>
      <c r="V387" s="45"/>
      <c r="W387" s="45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41" t="s">
        <v>28</v>
      </c>
      <c r="B388" s="41" t="s">
        <v>42</v>
      </c>
      <c r="C388" s="41" t="s">
        <v>23</v>
      </c>
      <c r="D388" s="41" t="s">
        <v>43</v>
      </c>
      <c r="E388" s="41" t="s">
        <v>25</v>
      </c>
      <c r="F388" s="41" t="s">
        <v>25</v>
      </c>
      <c r="G388" s="41" t="s">
        <v>25</v>
      </c>
      <c r="H388" s="41" t="s">
        <v>25</v>
      </c>
      <c r="I388" s="61">
        <v>44713</v>
      </c>
      <c r="J388" s="62">
        <f>EFEITO!$J$388*EFEITO!$Y$230</f>
        <v>0</v>
      </c>
      <c r="K388" s="62">
        <f ca="1">EFEITO!$L$388*EFEITO!$Z$230</f>
        <v>10276.965004833501</v>
      </c>
      <c r="L388" s="62">
        <f>EFEITO!$N$388*EFEITO!$AA$230</f>
        <v>3430.4495491111147</v>
      </c>
      <c r="M388" s="62">
        <f>$J$388-EFEITO!$K$388*EFEITO!$Y$388</f>
        <v>0</v>
      </c>
      <c r="N388" s="62">
        <f ca="1">$K$388-EFEITO!$M$388*EFEITO!$Z$388</f>
        <v>616.61790029001168</v>
      </c>
      <c r="O388" s="62">
        <f>$L$388-EFEITO!$O$388*EFEITO!$AA$388</f>
        <v>205.82697294666741</v>
      </c>
      <c r="P388" s="45"/>
      <c r="Q388" s="45"/>
      <c r="R388" s="45"/>
      <c r="S388" s="45"/>
      <c r="T388" s="45"/>
      <c r="U388" s="45"/>
      <c r="V388" s="45"/>
      <c r="W388" s="45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41" t="s">
        <v>21</v>
      </c>
      <c r="B389" s="41" t="s">
        <v>42</v>
      </c>
      <c r="C389" s="41" t="s">
        <v>23</v>
      </c>
      <c r="D389" s="41" t="s">
        <v>43</v>
      </c>
      <c r="E389" s="41" t="s">
        <v>25</v>
      </c>
      <c r="F389" s="41" t="s">
        <v>25</v>
      </c>
      <c r="G389" s="41" t="s">
        <v>25</v>
      </c>
      <c r="H389" s="41" t="s">
        <v>25</v>
      </c>
      <c r="I389" s="61">
        <v>44743</v>
      </c>
      <c r="J389" s="62">
        <f>EFEITO!$J$389*EFEITO!$Y$230</f>
        <v>0</v>
      </c>
      <c r="K389" s="62">
        <f ca="1">EFEITO!$L$389*EFEITO!$Z$230</f>
        <v>322520.53050279809</v>
      </c>
      <c r="L389" s="62">
        <f>EFEITO!$N$389*EFEITO!$AA$230</f>
        <v>107657.31010293795</v>
      </c>
      <c r="M389" s="62">
        <f>$J$389-EFEITO!$K$389*EFEITO!$Y$389</f>
        <v>0</v>
      </c>
      <c r="N389" s="62">
        <f ca="1">$K$389-EFEITO!$M$389*EFEITO!$Z$389</f>
        <v>19351.231830167875</v>
      </c>
      <c r="O389" s="62">
        <f>$L$389-EFEITO!$O$389*EFEITO!$AA$389</f>
        <v>6459.4386061762925</v>
      </c>
      <c r="P389" s="45"/>
      <c r="Q389" s="45"/>
      <c r="R389" s="45"/>
      <c r="S389" s="45"/>
      <c r="T389" s="45"/>
      <c r="U389" s="45"/>
      <c r="V389" s="45"/>
      <c r="W389" s="45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41" t="s">
        <v>27</v>
      </c>
      <c r="B390" s="41" t="s">
        <v>42</v>
      </c>
      <c r="C390" s="41" t="s">
        <v>23</v>
      </c>
      <c r="D390" s="41" t="s">
        <v>43</v>
      </c>
      <c r="E390" s="41" t="s">
        <v>25</v>
      </c>
      <c r="F390" s="41" t="s">
        <v>25</v>
      </c>
      <c r="G390" s="41" t="s">
        <v>25</v>
      </c>
      <c r="H390" s="41" t="s">
        <v>25</v>
      </c>
      <c r="I390" s="61">
        <v>44743</v>
      </c>
      <c r="J390" s="62">
        <f>EFEITO!$J$390*EFEITO!$Y$230</f>
        <v>0</v>
      </c>
      <c r="K390" s="62">
        <f ca="1">EFEITO!$L$390*EFEITO!$Z$230</f>
        <v>-59.136127290199795</v>
      </c>
      <c r="L390" s="62">
        <f>EFEITO!$N$390*EFEITO!$AA$230</f>
        <v>-19.739631409023172</v>
      </c>
      <c r="M390" s="62">
        <f>$J$390-EFEITO!$K$390*EFEITO!$Y$390</f>
        <v>0</v>
      </c>
      <c r="N390" s="62">
        <f ca="1">$K$390-EFEITO!$M$390*EFEITO!$Z$390</f>
        <v>-3.5481676374119928</v>
      </c>
      <c r="O390" s="62">
        <f>$L$390-EFEITO!$O$390*EFEITO!$AA$390</f>
        <v>-1.1843778845413908</v>
      </c>
      <c r="P390" s="45"/>
      <c r="Q390" s="45"/>
      <c r="R390" s="45"/>
      <c r="S390" s="45"/>
      <c r="T390" s="45"/>
      <c r="U390" s="45"/>
      <c r="V390" s="45"/>
      <c r="W390" s="45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41" t="s">
        <v>28</v>
      </c>
      <c r="B391" s="41" t="s">
        <v>42</v>
      </c>
      <c r="C391" s="41" t="s">
        <v>23</v>
      </c>
      <c r="D391" s="41" t="s">
        <v>43</v>
      </c>
      <c r="E391" s="41" t="s">
        <v>25</v>
      </c>
      <c r="F391" s="41" t="s">
        <v>25</v>
      </c>
      <c r="G391" s="41" t="s">
        <v>25</v>
      </c>
      <c r="H391" s="41" t="s">
        <v>25</v>
      </c>
      <c r="I391" s="61">
        <v>44743</v>
      </c>
      <c r="J391" s="62">
        <f>EFEITO!$J$391*EFEITO!$Y$230</f>
        <v>0</v>
      </c>
      <c r="K391" s="62">
        <f ca="1">EFEITO!$L$391*EFEITO!$Z$230</f>
        <v>12237.052572748786</v>
      </c>
      <c r="L391" s="62">
        <f>EFEITO!$N$391*EFEITO!$AA$230</f>
        <v>4084.726518081121</v>
      </c>
      <c r="M391" s="62">
        <f>$J$391-EFEITO!$K$391*EFEITO!$Y$391</f>
        <v>0</v>
      </c>
      <c r="N391" s="62">
        <f ca="1">$K$391-EFEITO!$M$391*EFEITO!$Z$391</f>
        <v>734.22315436492863</v>
      </c>
      <c r="O391" s="62">
        <f>$L$391-EFEITO!$O$391*EFEITO!$AA$391</f>
        <v>245.08359108486729</v>
      </c>
      <c r="P391" s="45"/>
      <c r="Q391" s="45"/>
      <c r="R391" s="45"/>
      <c r="S391" s="45"/>
      <c r="T391" s="45"/>
      <c r="U391" s="45"/>
      <c r="V391" s="45"/>
      <c r="W391" s="45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41" t="s">
        <v>57</v>
      </c>
      <c r="B392" s="41" t="s">
        <v>42</v>
      </c>
      <c r="C392" s="41" t="s">
        <v>23</v>
      </c>
      <c r="D392" s="41" t="s">
        <v>43</v>
      </c>
      <c r="E392" s="41" t="s">
        <v>25</v>
      </c>
      <c r="F392" s="41" t="s">
        <v>25</v>
      </c>
      <c r="G392" s="41" t="s">
        <v>25</v>
      </c>
      <c r="H392" s="41" t="s">
        <v>25</v>
      </c>
      <c r="I392" s="61">
        <v>44774</v>
      </c>
      <c r="J392" s="62">
        <f>EFEITO!$J$392*EFEITO!$Y$230</f>
        <v>0</v>
      </c>
      <c r="K392" s="62">
        <f ca="1">EFEITO!$L$392*EFEITO!$Z$230</f>
        <v>322520.53050279809</v>
      </c>
      <c r="L392" s="62">
        <f>EFEITO!$N$392*EFEITO!$AA$230</f>
        <v>107657.31010293795</v>
      </c>
      <c r="M392" s="62">
        <f>$J$392-EFEITO!$K$392*EFEITO!$Y$392</f>
        <v>0</v>
      </c>
      <c r="N392" s="62">
        <f ca="1">$K$392-EFEITO!$M$392*EFEITO!$Z$392</f>
        <v>19351.231830167875</v>
      </c>
      <c r="O392" s="62">
        <f>$L$392-EFEITO!$O$392*EFEITO!$AA$392</f>
        <v>6459.4386061762925</v>
      </c>
      <c r="P392" s="45"/>
      <c r="Q392" s="45"/>
      <c r="R392" s="45"/>
      <c r="S392" s="45"/>
      <c r="T392" s="45"/>
      <c r="U392" s="45"/>
      <c r="V392" s="45"/>
      <c r="W392" s="45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41" t="s">
        <v>57</v>
      </c>
      <c r="B393" s="41" t="s">
        <v>42</v>
      </c>
      <c r="C393" s="41" t="s">
        <v>23</v>
      </c>
      <c r="D393" s="41" t="s">
        <v>43</v>
      </c>
      <c r="E393" s="41" t="s">
        <v>25</v>
      </c>
      <c r="F393" s="41" t="s">
        <v>25</v>
      </c>
      <c r="G393" s="41" t="s">
        <v>25</v>
      </c>
      <c r="H393" s="41" t="s">
        <v>25</v>
      </c>
      <c r="I393" s="61">
        <v>44774</v>
      </c>
      <c r="J393" s="62">
        <f>EFEITO!$J$393*EFEITO!$Y$230</f>
        <v>0</v>
      </c>
      <c r="K393" s="62">
        <f ca="1">EFEITO!$L$393*EFEITO!$Z$230</f>
        <v>-59.136127290199795</v>
      </c>
      <c r="L393" s="62">
        <f>EFEITO!$N$393*EFEITO!$AA$230</f>
        <v>-19.739631409023172</v>
      </c>
      <c r="M393" s="62">
        <f>$J$393-EFEITO!$K$393*EFEITO!$Y$393</f>
        <v>0</v>
      </c>
      <c r="N393" s="62">
        <f ca="1">$K$393-EFEITO!$M$393*EFEITO!$Z$393</f>
        <v>-3.5481676374119928</v>
      </c>
      <c r="O393" s="62">
        <f>$L$393-EFEITO!$O$393*EFEITO!$AA$393</f>
        <v>-1.1843778845413908</v>
      </c>
      <c r="P393" s="45"/>
      <c r="Q393" s="45"/>
      <c r="R393" s="45"/>
      <c r="S393" s="45"/>
      <c r="T393" s="45"/>
      <c r="U393" s="45"/>
      <c r="V393" s="45"/>
      <c r="W393" s="45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41" t="s">
        <v>57</v>
      </c>
      <c r="B394" s="41" t="s">
        <v>42</v>
      </c>
      <c r="C394" s="41" t="s">
        <v>23</v>
      </c>
      <c r="D394" s="41" t="s">
        <v>43</v>
      </c>
      <c r="E394" s="41" t="s">
        <v>25</v>
      </c>
      <c r="F394" s="41" t="s">
        <v>25</v>
      </c>
      <c r="G394" s="41" t="s">
        <v>25</v>
      </c>
      <c r="H394" s="41" t="s">
        <v>25</v>
      </c>
      <c r="I394" s="61">
        <v>44774</v>
      </c>
      <c r="J394" s="62">
        <f>EFEITO!$J$394*EFEITO!$Y$230</f>
        <v>0</v>
      </c>
      <c r="K394" s="62">
        <f ca="1">EFEITO!$L$394*EFEITO!$Z$230</f>
        <v>12237.052572748786</v>
      </c>
      <c r="L394" s="62">
        <f>EFEITO!$N$394*EFEITO!$AA$230</f>
        <v>4084.726518081121</v>
      </c>
      <c r="M394" s="62">
        <f>$J$394-EFEITO!$K$394*EFEITO!$Y$394</f>
        <v>0</v>
      </c>
      <c r="N394" s="62">
        <f ca="1">$K$394-EFEITO!$M$394*EFEITO!$Z$394</f>
        <v>734.22315436492863</v>
      </c>
      <c r="O394" s="62">
        <f>$L$394-EFEITO!$O$394*EFEITO!$AA$394</f>
        <v>245.08359108486729</v>
      </c>
      <c r="P394" s="45"/>
      <c r="Q394" s="45"/>
      <c r="R394" s="45"/>
      <c r="S394" s="45"/>
      <c r="T394" s="45"/>
      <c r="U394" s="45"/>
      <c r="V394" s="45"/>
      <c r="W394" s="45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41" t="s">
        <v>21</v>
      </c>
      <c r="B395" s="41" t="s">
        <v>33</v>
      </c>
      <c r="C395" s="41" t="s">
        <v>23</v>
      </c>
      <c r="D395" s="41" t="s">
        <v>41</v>
      </c>
      <c r="E395" s="41" t="s">
        <v>25</v>
      </c>
      <c r="F395" s="41" t="s">
        <v>25</v>
      </c>
      <c r="G395" s="41" t="s">
        <v>25</v>
      </c>
      <c r="H395" s="41" t="s">
        <v>25</v>
      </c>
      <c r="I395" s="61">
        <v>44440</v>
      </c>
      <c r="J395" s="62">
        <f>EFEITO!$J$395*EFEITO!$Y$395</f>
        <v>0</v>
      </c>
      <c r="K395" s="62">
        <f ca="1">EFEITO!$L$395*EFEITO!$Z$395</f>
        <v>352188.98803841393</v>
      </c>
      <c r="L395" s="62">
        <f>EFEITO!$N$395*EFEITO!$AA$395</f>
        <v>117560.6372747253</v>
      </c>
      <c r="M395" s="62">
        <f>$J$395-EFEITO!$K$395*EFEITO!$Y$395</f>
        <v>0</v>
      </c>
      <c r="N395" s="62">
        <f ca="1">$K$395-EFEITO!$M$395*EFEITO!$Z$395</f>
        <v>0</v>
      </c>
      <c r="O395" s="62">
        <f>$L$395-EFEITO!$O$395*EFEITO!$AA$395</f>
        <v>0</v>
      </c>
      <c r="P395" s="45"/>
      <c r="Q395" s="45"/>
      <c r="R395" s="45"/>
      <c r="S395" s="45"/>
      <c r="T395" s="45"/>
      <c r="U395" s="45"/>
      <c r="V395" s="45"/>
      <c r="W395" s="45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41" t="s">
        <v>28</v>
      </c>
      <c r="B396" s="41" t="s">
        <v>33</v>
      </c>
      <c r="C396" s="41" t="s">
        <v>23</v>
      </c>
      <c r="D396" s="41" t="s">
        <v>41</v>
      </c>
      <c r="E396" s="41" t="s">
        <v>25</v>
      </c>
      <c r="F396" s="41" t="s">
        <v>25</v>
      </c>
      <c r="G396" s="41" t="s">
        <v>25</v>
      </c>
      <c r="H396" s="41" t="s">
        <v>25</v>
      </c>
      <c r="I396" s="61">
        <v>44440</v>
      </c>
      <c r="J396" s="62">
        <f>EFEITO!$J$396*EFEITO!$Y$396</f>
        <v>0</v>
      </c>
      <c r="K396" s="62">
        <f ca="1">EFEITO!$L$396*EFEITO!$Z$396</f>
        <v>168.46919983835988</v>
      </c>
      <c r="L396" s="62">
        <f>EFEITO!$N$396*EFEITO!$AA$396</f>
        <v>56.234996455938116</v>
      </c>
      <c r="M396" s="62">
        <f>$J$396-EFEITO!$K$396*EFEITO!$Y$396</f>
        <v>0</v>
      </c>
      <c r="N396" s="62">
        <f ca="1">$K$396-EFEITO!$M$396*EFEITO!$Z$396</f>
        <v>0</v>
      </c>
      <c r="O396" s="62">
        <f>$L$396-EFEITO!$O$396*EFEITO!$AA$396</f>
        <v>0</v>
      </c>
      <c r="P396" s="45"/>
      <c r="Q396" s="45"/>
      <c r="R396" s="45"/>
      <c r="S396" s="45"/>
      <c r="T396" s="45"/>
      <c r="U396" s="45"/>
      <c r="V396" s="45"/>
      <c r="W396" s="45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41" t="s">
        <v>21</v>
      </c>
      <c r="B397" s="41" t="s">
        <v>33</v>
      </c>
      <c r="C397" s="41" t="s">
        <v>23</v>
      </c>
      <c r="D397" s="41" t="s">
        <v>41</v>
      </c>
      <c r="E397" s="41" t="s">
        <v>25</v>
      </c>
      <c r="F397" s="41" t="s">
        <v>25</v>
      </c>
      <c r="G397" s="41" t="s">
        <v>25</v>
      </c>
      <c r="H397" s="41" t="s">
        <v>25</v>
      </c>
      <c r="I397" s="61">
        <v>44470</v>
      </c>
      <c r="J397" s="62">
        <f>EFEITO!$J$397*EFEITO!$Y$397</f>
        <v>0</v>
      </c>
      <c r="K397" s="62">
        <f ca="1">EFEITO!$L$397*EFEITO!$Z$397</f>
        <v>355416.03275205236</v>
      </c>
      <c r="L397" s="62">
        <f>EFEITO!$N$397*EFEITO!$AA$397</f>
        <v>118637.82437010374</v>
      </c>
      <c r="M397" s="62">
        <f>$J$397-EFEITO!$K$397*EFEITO!$Y$397</f>
        <v>0</v>
      </c>
      <c r="N397" s="62">
        <f ca="1">$K$397-EFEITO!$M$397*EFEITO!$Z$397</f>
        <v>0</v>
      </c>
      <c r="O397" s="62">
        <f>$L$397-EFEITO!$O$397*EFEITO!$AA$397</f>
        <v>0</v>
      </c>
      <c r="P397" s="45"/>
      <c r="Q397" s="45"/>
      <c r="R397" s="45"/>
      <c r="S397" s="45"/>
      <c r="T397" s="45"/>
      <c r="U397" s="45"/>
      <c r="V397" s="45"/>
      <c r="W397" s="45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41" t="s">
        <v>28</v>
      </c>
      <c r="B398" s="41" t="s">
        <v>33</v>
      </c>
      <c r="C398" s="41" t="s">
        <v>23</v>
      </c>
      <c r="D398" s="41" t="s">
        <v>41</v>
      </c>
      <c r="E398" s="41" t="s">
        <v>25</v>
      </c>
      <c r="F398" s="41" t="s">
        <v>25</v>
      </c>
      <c r="G398" s="41" t="s">
        <v>25</v>
      </c>
      <c r="H398" s="41" t="s">
        <v>25</v>
      </c>
      <c r="I398" s="61">
        <v>44470</v>
      </c>
      <c r="J398" s="62">
        <f>EFEITO!$J$398*EFEITO!$Y$398</f>
        <v>0</v>
      </c>
      <c r="K398" s="62">
        <f ca="1">EFEITO!$L$398*EFEITO!$Z$398</f>
        <v>240.32647078982359</v>
      </c>
      <c r="L398" s="62">
        <f>EFEITO!$N$398*EFEITO!$AA$398</f>
        <v>80.220943923879062</v>
      </c>
      <c r="M398" s="62">
        <f>$J$398-EFEITO!$K$398*EFEITO!$Y$398</f>
        <v>0</v>
      </c>
      <c r="N398" s="62">
        <f ca="1">$K$398-EFEITO!$M$398*EFEITO!$Z$398</f>
        <v>0</v>
      </c>
      <c r="O398" s="62">
        <f>$L$398-EFEITO!$O$398*EFEITO!$AA$398</f>
        <v>0</v>
      </c>
      <c r="P398" s="45"/>
      <c r="Q398" s="45"/>
      <c r="R398" s="45"/>
      <c r="S398" s="45"/>
      <c r="T398" s="45"/>
      <c r="U398" s="45"/>
      <c r="V398" s="45"/>
      <c r="W398" s="45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41" t="s">
        <v>21</v>
      </c>
      <c r="B399" s="41" t="s">
        <v>33</v>
      </c>
      <c r="C399" s="41" t="s">
        <v>23</v>
      </c>
      <c r="D399" s="41" t="s">
        <v>41</v>
      </c>
      <c r="E399" s="41" t="s">
        <v>25</v>
      </c>
      <c r="F399" s="41" t="s">
        <v>25</v>
      </c>
      <c r="G399" s="41" t="s">
        <v>25</v>
      </c>
      <c r="H399" s="41" t="s">
        <v>25</v>
      </c>
      <c r="I399" s="61">
        <v>44501</v>
      </c>
      <c r="J399" s="62">
        <f>EFEITO!$J$399*EFEITO!$Y$399</f>
        <v>0</v>
      </c>
      <c r="K399" s="62">
        <f ca="1">EFEITO!$L$399*EFEITO!$Z$399</f>
        <v>362229.4085340866</v>
      </c>
      <c r="L399" s="62">
        <f>EFEITO!$N$399*EFEITO!$AA$399</f>
        <v>120912.12829820032</v>
      </c>
      <c r="M399" s="62">
        <f>$J$399-EFEITO!$K$399*EFEITO!$Y$399</f>
        <v>0</v>
      </c>
      <c r="N399" s="62">
        <f ca="1">$K$399-EFEITO!$M$399*EFEITO!$Z$399</f>
        <v>0</v>
      </c>
      <c r="O399" s="62">
        <f>$L$399-EFEITO!$O$399*EFEITO!$AA$399</f>
        <v>0</v>
      </c>
      <c r="P399" s="45"/>
      <c r="Q399" s="45"/>
      <c r="R399" s="45"/>
      <c r="S399" s="45"/>
      <c r="T399" s="45"/>
      <c r="U399" s="45"/>
      <c r="V399" s="45"/>
      <c r="W399" s="45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41" t="s">
        <v>27</v>
      </c>
      <c r="B400" s="41" t="s">
        <v>33</v>
      </c>
      <c r="C400" s="41" t="s">
        <v>23</v>
      </c>
      <c r="D400" s="41" t="s">
        <v>41</v>
      </c>
      <c r="E400" s="41" t="s">
        <v>25</v>
      </c>
      <c r="F400" s="41" t="s">
        <v>25</v>
      </c>
      <c r="G400" s="41" t="s">
        <v>25</v>
      </c>
      <c r="H400" s="41" t="s">
        <v>25</v>
      </c>
      <c r="I400" s="61">
        <v>44501</v>
      </c>
      <c r="J400" s="62">
        <f>EFEITO!$J$400*EFEITO!$Y$400</f>
        <v>0</v>
      </c>
      <c r="K400" s="62">
        <f ca="1">EFEITO!$L$400*EFEITO!$Z$400</f>
        <v>27.505175483813861</v>
      </c>
      <c r="L400" s="62">
        <f>EFEITO!$N$400*EFEITO!$AA$400</f>
        <v>9.1812239111735696</v>
      </c>
      <c r="M400" s="62">
        <f>$J$400-EFEITO!$K$400*EFEITO!$Y$400</f>
        <v>0</v>
      </c>
      <c r="N400" s="62">
        <f ca="1">$K$400-EFEITO!$M$400*EFEITO!$Z$400</f>
        <v>0</v>
      </c>
      <c r="O400" s="62">
        <f>$L$400-EFEITO!$O$400*EFEITO!$AA$400</f>
        <v>0</v>
      </c>
      <c r="P400" s="45"/>
      <c r="Q400" s="45"/>
      <c r="R400" s="45"/>
      <c r="S400" s="45"/>
      <c r="T400" s="45"/>
      <c r="U400" s="45"/>
      <c r="V400" s="45"/>
      <c r="W400" s="45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41" t="s">
        <v>28</v>
      </c>
      <c r="B401" s="41" t="s">
        <v>33</v>
      </c>
      <c r="C401" s="41" t="s">
        <v>23</v>
      </c>
      <c r="D401" s="41" t="s">
        <v>41</v>
      </c>
      <c r="E401" s="41" t="s">
        <v>25</v>
      </c>
      <c r="F401" s="41" t="s">
        <v>25</v>
      </c>
      <c r="G401" s="41" t="s">
        <v>25</v>
      </c>
      <c r="H401" s="41" t="s">
        <v>25</v>
      </c>
      <c r="I401" s="61">
        <v>44501</v>
      </c>
      <c r="J401" s="62">
        <f>EFEITO!$J$401*EFEITO!$Y$401</f>
        <v>0</v>
      </c>
      <c r="K401" s="62">
        <f ca="1">EFEITO!$L$401*EFEITO!$Z$401</f>
        <v>147.84031822549949</v>
      </c>
      <c r="L401" s="62">
        <f>EFEITO!$N$401*EFEITO!$AA$401</f>
        <v>49.349078522557939</v>
      </c>
      <c r="M401" s="62">
        <f>$J$401-EFEITO!$K$401*EFEITO!$Y$401</f>
        <v>0</v>
      </c>
      <c r="N401" s="62">
        <f ca="1">$K$401-EFEITO!$M$401*EFEITO!$Z$401</f>
        <v>0</v>
      </c>
      <c r="O401" s="62">
        <f>$L$401-EFEITO!$O$401*EFEITO!$AA$401</f>
        <v>0</v>
      </c>
      <c r="P401" s="45"/>
      <c r="Q401" s="45"/>
      <c r="R401" s="45"/>
      <c r="S401" s="45"/>
      <c r="T401" s="45"/>
      <c r="U401" s="45"/>
      <c r="V401" s="45"/>
      <c r="W401" s="45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41" t="s">
        <v>21</v>
      </c>
      <c r="B402" s="41" t="s">
        <v>33</v>
      </c>
      <c r="C402" s="41" t="s">
        <v>23</v>
      </c>
      <c r="D402" s="41" t="s">
        <v>41</v>
      </c>
      <c r="E402" s="41" t="s">
        <v>25</v>
      </c>
      <c r="F402" s="41" t="s">
        <v>25</v>
      </c>
      <c r="G402" s="41" t="s">
        <v>25</v>
      </c>
      <c r="H402" s="41" t="s">
        <v>25</v>
      </c>
      <c r="I402" s="61">
        <v>44531</v>
      </c>
      <c r="J402" s="62">
        <f>EFEITO!$J$402*EFEITO!$Y$402</f>
        <v>0</v>
      </c>
      <c r="K402" s="62">
        <f ca="1">EFEITO!$L$402*EFEITO!$Z$402</f>
        <v>394382.61485997145</v>
      </c>
      <c r="L402" s="62">
        <f>EFEITO!$N$402*EFEITO!$AA$402</f>
        <v>131644.86428506335</v>
      </c>
      <c r="M402" s="62">
        <f>$J$402-EFEITO!$K$402*EFEITO!$Y$402</f>
        <v>0</v>
      </c>
      <c r="N402" s="62">
        <f ca="1">$K$402-EFEITO!$M$402*EFEITO!$Z$402</f>
        <v>0</v>
      </c>
      <c r="O402" s="62">
        <f>$L$402-EFEITO!$O$402*EFEITO!$AA$402</f>
        <v>0</v>
      </c>
      <c r="P402" s="45"/>
      <c r="Q402" s="45"/>
      <c r="R402" s="45"/>
      <c r="S402" s="45"/>
      <c r="T402" s="45"/>
      <c r="U402" s="45"/>
      <c r="V402" s="45"/>
      <c r="W402" s="45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41" t="s">
        <v>27</v>
      </c>
      <c r="B403" s="41" t="s">
        <v>33</v>
      </c>
      <c r="C403" s="41" t="s">
        <v>23</v>
      </c>
      <c r="D403" s="41" t="s">
        <v>41</v>
      </c>
      <c r="E403" s="41" t="s">
        <v>25</v>
      </c>
      <c r="F403" s="41" t="s">
        <v>25</v>
      </c>
      <c r="G403" s="41" t="s">
        <v>25</v>
      </c>
      <c r="H403" s="41" t="s">
        <v>25</v>
      </c>
      <c r="I403" s="61">
        <v>44531</v>
      </c>
      <c r="J403" s="62">
        <f>EFEITO!$J$403*EFEITO!$Y$403</f>
        <v>0</v>
      </c>
      <c r="K403" s="62">
        <f ca="1">EFEITO!$L$403*EFEITO!$Z$403</f>
        <v>-102.8005933707543</v>
      </c>
      <c r="L403" s="62">
        <f>EFEITO!$N$403*EFEITO!$AA$403</f>
        <v>-34.314824368011216</v>
      </c>
      <c r="M403" s="62">
        <f>$J$403-EFEITO!$K$403*EFEITO!$Y$403</f>
        <v>0</v>
      </c>
      <c r="N403" s="62">
        <f ca="1">$K$403-EFEITO!$M$403*EFEITO!$Z$403</f>
        <v>0</v>
      </c>
      <c r="O403" s="62">
        <f>$L$403-EFEITO!$O$403*EFEITO!$AA$403</f>
        <v>0</v>
      </c>
      <c r="P403" s="45"/>
      <c r="Q403" s="45"/>
      <c r="R403" s="45"/>
      <c r="S403" s="45"/>
      <c r="T403" s="45"/>
      <c r="U403" s="45"/>
      <c r="V403" s="45"/>
      <c r="W403" s="45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41" t="s">
        <v>28</v>
      </c>
      <c r="B404" s="41" t="s">
        <v>33</v>
      </c>
      <c r="C404" s="41" t="s">
        <v>23</v>
      </c>
      <c r="D404" s="41" t="s">
        <v>41</v>
      </c>
      <c r="E404" s="41" t="s">
        <v>25</v>
      </c>
      <c r="F404" s="41" t="s">
        <v>25</v>
      </c>
      <c r="G404" s="41" t="s">
        <v>25</v>
      </c>
      <c r="H404" s="41" t="s">
        <v>25</v>
      </c>
      <c r="I404" s="61">
        <v>44531</v>
      </c>
      <c r="J404" s="62">
        <f>EFEITO!$J$404*EFEITO!$Y$404</f>
        <v>0</v>
      </c>
      <c r="K404" s="62">
        <f ca="1">EFEITO!$L$404*EFEITO!$Z$404</f>
        <v>147.84031822549949</v>
      </c>
      <c r="L404" s="62">
        <f>EFEITO!$N$404*EFEITO!$AA$404</f>
        <v>49.349078522557939</v>
      </c>
      <c r="M404" s="62">
        <f>$J$404-EFEITO!$K$404*EFEITO!$Y$404</f>
        <v>0</v>
      </c>
      <c r="N404" s="62">
        <f ca="1">$K$404-EFEITO!$M$404*EFEITO!$Z$404</f>
        <v>0</v>
      </c>
      <c r="O404" s="62">
        <f>$L$404-EFEITO!$O$404*EFEITO!$AA$404</f>
        <v>0</v>
      </c>
      <c r="P404" s="45"/>
      <c r="Q404" s="45"/>
      <c r="R404" s="45"/>
      <c r="S404" s="45"/>
      <c r="T404" s="45"/>
      <c r="U404" s="45"/>
      <c r="V404" s="45"/>
      <c r="W404" s="45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41" t="s">
        <v>21</v>
      </c>
      <c r="B405" s="41" t="s">
        <v>33</v>
      </c>
      <c r="C405" s="41" t="s">
        <v>23</v>
      </c>
      <c r="D405" s="41" t="s">
        <v>41</v>
      </c>
      <c r="E405" s="41" t="s">
        <v>25</v>
      </c>
      <c r="F405" s="41" t="s">
        <v>25</v>
      </c>
      <c r="G405" s="41" t="s">
        <v>25</v>
      </c>
      <c r="H405" s="41" t="s">
        <v>25</v>
      </c>
      <c r="I405" s="61">
        <v>44562</v>
      </c>
      <c r="J405" s="62">
        <f>EFEITO!$J$405*EFEITO!$Y$405</f>
        <v>0</v>
      </c>
      <c r="K405" s="62">
        <f ca="1">EFEITO!$L$405*EFEITO!$Z$405</f>
        <v>456363.46492458472</v>
      </c>
      <c r="L405" s="62">
        <f>EFEITO!$N$405*EFEITO!$AA$405</f>
        <v>152334.06377709965</v>
      </c>
      <c r="M405" s="62">
        <f>$J$405-EFEITO!$K$405*EFEITO!$Y$405</f>
        <v>0</v>
      </c>
      <c r="N405" s="62">
        <f ca="1">$K$405-EFEITO!$M$405*EFEITO!$Z$405</f>
        <v>0</v>
      </c>
      <c r="O405" s="62">
        <f>$L$405-EFEITO!$O$405*EFEITO!$AA$405</f>
        <v>0</v>
      </c>
      <c r="P405" s="45"/>
      <c r="Q405" s="45"/>
      <c r="R405" s="45"/>
      <c r="S405" s="45"/>
      <c r="T405" s="45"/>
      <c r="U405" s="45"/>
      <c r="V405" s="45"/>
      <c r="W405" s="45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41" t="s">
        <v>27</v>
      </c>
      <c r="B406" s="41" t="s">
        <v>33</v>
      </c>
      <c r="C406" s="41" t="s">
        <v>23</v>
      </c>
      <c r="D406" s="41" t="s">
        <v>41</v>
      </c>
      <c r="E406" s="41" t="s">
        <v>25</v>
      </c>
      <c r="F406" s="41" t="s">
        <v>25</v>
      </c>
      <c r="G406" s="41" t="s">
        <v>25</v>
      </c>
      <c r="H406" s="41" t="s">
        <v>25</v>
      </c>
      <c r="I406" s="61">
        <v>44562</v>
      </c>
      <c r="J406" s="62">
        <f>EFEITO!$J$406*EFEITO!$Y$406</f>
        <v>0</v>
      </c>
      <c r="K406" s="62">
        <f ca="1">EFEITO!$L$406*EFEITO!$Z$406</f>
        <v>-32.318581193481286</v>
      </c>
      <c r="L406" s="62">
        <f>EFEITO!$N$406*EFEITO!$AA$406</f>
        <v>-10.787938095628945</v>
      </c>
      <c r="M406" s="62">
        <f>$J$406-EFEITO!$K$406*EFEITO!$Y$406</f>
        <v>0</v>
      </c>
      <c r="N406" s="62">
        <f ca="1">$K$406-EFEITO!$M$406*EFEITO!$Z$406</f>
        <v>0</v>
      </c>
      <c r="O406" s="62">
        <f>$L$406-EFEITO!$O$406*EFEITO!$AA$406</f>
        <v>0</v>
      </c>
      <c r="P406" s="45"/>
      <c r="Q406" s="45"/>
      <c r="R406" s="45"/>
      <c r="S406" s="45"/>
      <c r="T406" s="45"/>
      <c r="U406" s="45"/>
      <c r="V406" s="45"/>
      <c r="W406" s="45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41" t="s">
        <v>28</v>
      </c>
      <c r="B407" s="41" t="s">
        <v>33</v>
      </c>
      <c r="C407" s="41" t="s">
        <v>23</v>
      </c>
      <c r="D407" s="41" t="s">
        <v>41</v>
      </c>
      <c r="E407" s="41" t="s">
        <v>25</v>
      </c>
      <c r="F407" s="41" t="s">
        <v>25</v>
      </c>
      <c r="G407" s="41" t="s">
        <v>25</v>
      </c>
      <c r="H407" s="41" t="s">
        <v>25</v>
      </c>
      <c r="I407" s="61">
        <v>44562</v>
      </c>
      <c r="J407" s="62">
        <f>EFEITO!$J$407*EFEITO!$Y$407</f>
        <v>0</v>
      </c>
      <c r="K407" s="62">
        <f ca="1">EFEITO!$L$407*EFEITO!$Z$407</f>
        <v>182.22178758026683</v>
      </c>
      <c r="L407" s="62">
        <f>EFEITO!$N$407*EFEITO!$AA$407</f>
        <v>60.825608411524904</v>
      </c>
      <c r="M407" s="62">
        <f>$J$407-EFEITO!$K$407*EFEITO!$Y$407</f>
        <v>0</v>
      </c>
      <c r="N407" s="62">
        <f ca="1">$K$407-EFEITO!$M$407*EFEITO!$Z$407</f>
        <v>0</v>
      </c>
      <c r="O407" s="62">
        <f>$L$407-EFEITO!$O$407*EFEITO!$AA$407</f>
        <v>0</v>
      </c>
      <c r="P407" s="45"/>
      <c r="Q407" s="45"/>
      <c r="R407" s="45"/>
      <c r="S407" s="45"/>
      <c r="T407" s="45"/>
      <c r="U407" s="45"/>
      <c r="V407" s="45"/>
      <c r="W407" s="45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41" t="s">
        <v>21</v>
      </c>
      <c r="B408" s="41" t="s">
        <v>33</v>
      </c>
      <c r="C408" s="41" t="s">
        <v>23</v>
      </c>
      <c r="D408" s="41" t="s">
        <v>41</v>
      </c>
      <c r="E408" s="41" t="s">
        <v>25</v>
      </c>
      <c r="F408" s="41" t="s">
        <v>25</v>
      </c>
      <c r="G408" s="41" t="s">
        <v>25</v>
      </c>
      <c r="H408" s="41" t="s">
        <v>25</v>
      </c>
      <c r="I408" s="61">
        <v>44593</v>
      </c>
      <c r="J408" s="62">
        <f>EFEITO!$J$408*EFEITO!$Y$408</f>
        <v>0</v>
      </c>
      <c r="K408" s="62">
        <f ca="1">EFEITO!$L$408*EFEITO!$Z$408</f>
        <v>477185.91420991241</v>
      </c>
      <c r="L408" s="62">
        <f>EFEITO!$N$408*EFEITO!$AA$408</f>
        <v>159284.5945737547</v>
      </c>
      <c r="M408" s="62">
        <f>$J$408-EFEITO!$K$408*EFEITO!$Y$408</f>
        <v>0</v>
      </c>
      <c r="N408" s="62">
        <f ca="1">$K$408-EFEITO!$M$408*EFEITO!$Z$408</f>
        <v>0</v>
      </c>
      <c r="O408" s="62">
        <f>$L$408-EFEITO!$O$408*EFEITO!$AA$408</f>
        <v>0</v>
      </c>
      <c r="P408" s="45"/>
      <c r="Q408" s="45"/>
      <c r="R408" s="45"/>
      <c r="S408" s="45"/>
      <c r="T408" s="45"/>
      <c r="U408" s="45"/>
      <c r="V408" s="45"/>
      <c r="W408" s="45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41" t="s">
        <v>27</v>
      </c>
      <c r="B409" s="41" t="s">
        <v>33</v>
      </c>
      <c r="C409" s="41" t="s">
        <v>23</v>
      </c>
      <c r="D409" s="41" t="s">
        <v>41</v>
      </c>
      <c r="E409" s="41" t="s">
        <v>25</v>
      </c>
      <c r="F409" s="41" t="s">
        <v>25</v>
      </c>
      <c r="G409" s="41" t="s">
        <v>25</v>
      </c>
      <c r="H409" s="41" t="s">
        <v>25</v>
      </c>
      <c r="I409" s="61">
        <v>44593</v>
      </c>
      <c r="J409" s="62">
        <f>EFEITO!$J$409*EFEITO!$Y$409</f>
        <v>0</v>
      </c>
      <c r="K409" s="62">
        <f ca="1">EFEITO!$L$409*EFEITO!$Z$409</f>
        <v>-1641.7151616901399</v>
      </c>
      <c r="L409" s="62">
        <f>EFEITO!$N$409*EFEITO!$AA$409</f>
        <v>-548.00430219817247</v>
      </c>
      <c r="M409" s="62">
        <f>$J$409-EFEITO!$K$409*EFEITO!$Y$409</f>
        <v>0</v>
      </c>
      <c r="N409" s="62">
        <f ca="1">$K$409-EFEITO!$M$409*EFEITO!$Z$409</f>
        <v>0</v>
      </c>
      <c r="O409" s="62">
        <f>$L$409-EFEITO!$O$409*EFEITO!$AA$409</f>
        <v>0</v>
      </c>
      <c r="P409" s="45"/>
      <c r="Q409" s="45"/>
      <c r="R409" s="45"/>
      <c r="S409" s="45"/>
      <c r="T409" s="45"/>
      <c r="U409" s="45"/>
      <c r="V409" s="45"/>
      <c r="W409" s="45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41" t="s">
        <v>28</v>
      </c>
      <c r="B410" s="41" t="s">
        <v>33</v>
      </c>
      <c r="C410" s="41" t="s">
        <v>23</v>
      </c>
      <c r="D410" s="41" t="s">
        <v>41</v>
      </c>
      <c r="E410" s="41" t="s">
        <v>25</v>
      </c>
      <c r="F410" s="41" t="s">
        <v>25</v>
      </c>
      <c r="G410" s="41" t="s">
        <v>25</v>
      </c>
      <c r="H410" s="41" t="s">
        <v>25</v>
      </c>
      <c r="I410" s="61">
        <v>44593</v>
      </c>
      <c r="J410" s="62">
        <f>EFEITO!$J$410*EFEITO!$Y$410</f>
        <v>0</v>
      </c>
      <c r="K410" s="62">
        <f ca="1">EFEITO!$L$410*EFEITO!$Z$410</f>
        <v>271.6136079026619</v>
      </c>
      <c r="L410" s="62">
        <f>EFEITO!$N$410*EFEITO!$AA$410</f>
        <v>90.664586122839012</v>
      </c>
      <c r="M410" s="62">
        <f>$J$410-EFEITO!$K$410*EFEITO!$Y$410</f>
        <v>0</v>
      </c>
      <c r="N410" s="62">
        <f ca="1">$K$410-EFEITO!$M$410*EFEITO!$Z$410</f>
        <v>0</v>
      </c>
      <c r="O410" s="62">
        <f>$L$410-EFEITO!$O$410*EFEITO!$AA$410</f>
        <v>0</v>
      </c>
      <c r="P410" s="45"/>
      <c r="Q410" s="45"/>
      <c r="R410" s="45"/>
      <c r="S410" s="45"/>
      <c r="T410" s="45"/>
      <c r="U410" s="45"/>
      <c r="V410" s="45"/>
      <c r="W410" s="45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41" t="s">
        <v>21</v>
      </c>
      <c r="B411" s="41" t="s">
        <v>33</v>
      </c>
      <c r="C411" s="41" t="s">
        <v>23</v>
      </c>
      <c r="D411" s="41" t="s">
        <v>41</v>
      </c>
      <c r="E411" s="41" t="s">
        <v>25</v>
      </c>
      <c r="F411" s="41" t="s">
        <v>25</v>
      </c>
      <c r="G411" s="41" t="s">
        <v>25</v>
      </c>
      <c r="H411" s="41" t="s">
        <v>25</v>
      </c>
      <c r="I411" s="61">
        <v>44621</v>
      </c>
      <c r="J411" s="62">
        <f>EFEITO!$J$411*EFEITO!$Y$411</f>
        <v>0</v>
      </c>
      <c r="K411" s="62">
        <f ca="1">EFEITO!$L$411*EFEITO!$Z$411</f>
        <v>463595.95081805356</v>
      </c>
      <c r="L411" s="62">
        <f>EFEITO!$N$411*EFEITO!$AA$411</f>
        <v>154748.26660454273</v>
      </c>
      <c r="M411" s="62">
        <f>$J$411-EFEITO!$K$411*EFEITO!$Y$411</f>
        <v>0</v>
      </c>
      <c r="N411" s="62">
        <f ca="1">$K$411-EFEITO!$M$411*EFEITO!$Z$411</f>
        <v>0</v>
      </c>
      <c r="O411" s="62">
        <f>$L$411-EFEITO!$O$411*EFEITO!$AA$411</f>
        <v>0</v>
      </c>
      <c r="P411" s="45"/>
      <c r="Q411" s="45"/>
      <c r="R411" s="45"/>
      <c r="S411" s="45"/>
      <c r="T411" s="45"/>
      <c r="U411" s="45"/>
      <c r="V411" s="45"/>
      <c r="W411" s="45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41" t="s">
        <v>28</v>
      </c>
      <c r="B412" s="41" t="s">
        <v>33</v>
      </c>
      <c r="C412" s="41" t="s">
        <v>23</v>
      </c>
      <c r="D412" s="41" t="s">
        <v>41</v>
      </c>
      <c r="E412" s="41" t="s">
        <v>25</v>
      </c>
      <c r="F412" s="41" t="s">
        <v>25</v>
      </c>
      <c r="G412" s="41" t="s">
        <v>25</v>
      </c>
      <c r="H412" s="41" t="s">
        <v>25</v>
      </c>
      <c r="I412" s="61">
        <v>44621</v>
      </c>
      <c r="J412" s="62">
        <f>EFEITO!$J$412*EFEITO!$Y$412</f>
        <v>0</v>
      </c>
      <c r="K412" s="62">
        <f ca="1">EFEITO!$L$412*EFEITO!$Z$412</f>
        <v>536.69473662791791</v>
      </c>
      <c r="L412" s="62">
        <f>EFEITO!$N$412*EFEITO!$AA$412</f>
        <v>179.14863156677427</v>
      </c>
      <c r="M412" s="62">
        <f>$J$412-EFEITO!$K$412*EFEITO!$Y$412</f>
        <v>0</v>
      </c>
      <c r="N412" s="62">
        <f ca="1">$K$412-EFEITO!$M$412*EFEITO!$Z$412</f>
        <v>0</v>
      </c>
      <c r="O412" s="62">
        <f>$L$412-EFEITO!$O$412*EFEITO!$AA$412</f>
        <v>0</v>
      </c>
      <c r="P412" s="45"/>
      <c r="Q412" s="45"/>
      <c r="R412" s="45"/>
      <c r="S412" s="45"/>
      <c r="T412" s="45"/>
      <c r="U412" s="45"/>
      <c r="V412" s="45"/>
      <c r="W412" s="45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41" t="s">
        <v>21</v>
      </c>
      <c r="B413" s="41" t="s">
        <v>33</v>
      </c>
      <c r="C413" s="41" t="s">
        <v>23</v>
      </c>
      <c r="D413" s="41" t="s">
        <v>41</v>
      </c>
      <c r="E413" s="41" t="s">
        <v>25</v>
      </c>
      <c r="F413" s="41" t="s">
        <v>25</v>
      </c>
      <c r="G413" s="41" t="s">
        <v>25</v>
      </c>
      <c r="H413" s="41" t="s">
        <v>25</v>
      </c>
      <c r="I413" s="61">
        <v>44652</v>
      </c>
      <c r="J413" s="62">
        <f>EFEITO!$J$413*EFEITO!$Y$413</f>
        <v>0</v>
      </c>
      <c r="K413" s="62">
        <f ca="1">EFEITO!$L$413*EFEITO!$Z$413</f>
        <v>406412.34717251098</v>
      </c>
      <c r="L413" s="62">
        <f>EFEITO!$N$413*EFEITO!$AA$413</f>
        <v>135660.38732791398</v>
      </c>
      <c r="M413" s="62">
        <f>$J$413-EFEITO!$K$413*EFEITO!$Y$413</f>
        <v>0</v>
      </c>
      <c r="N413" s="62">
        <f ca="1">$K$413-EFEITO!$M$413*EFEITO!$Z$413</f>
        <v>0</v>
      </c>
      <c r="O413" s="62">
        <f>$L$413-EFEITO!$O$413*EFEITO!$AA$413</f>
        <v>0</v>
      </c>
      <c r="P413" s="45"/>
      <c r="Q413" s="45"/>
      <c r="R413" s="45"/>
      <c r="S413" s="45"/>
      <c r="T413" s="45"/>
      <c r="U413" s="45"/>
      <c r="V413" s="45"/>
      <c r="W413" s="45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41" t="s">
        <v>28</v>
      </c>
      <c r="B414" s="41" t="s">
        <v>33</v>
      </c>
      <c r="C414" s="41" t="s">
        <v>23</v>
      </c>
      <c r="D414" s="41" t="s">
        <v>41</v>
      </c>
      <c r="E414" s="41" t="s">
        <v>25</v>
      </c>
      <c r="F414" s="41" t="s">
        <v>25</v>
      </c>
      <c r="G414" s="41" t="s">
        <v>25</v>
      </c>
      <c r="H414" s="41" t="s">
        <v>25</v>
      </c>
      <c r="I414" s="61">
        <v>44652</v>
      </c>
      <c r="J414" s="62">
        <f>EFEITO!$J$414*EFEITO!$Y$414</f>
        <v>0</v>
      </c>
      <c r="K414" s="62">
        <f ca="1">EFEITO!$L$414*EFEITO!$Z$414</f>
        <v>718.57270951463704</v>
      </c>
      <c r="L414" s="62">
        <f>EFEITO!$N$414*EFEITO!$AA$414</f>
        <v>239.85947467940949</v>
      </c>
      <c r="M414" s="62">
        <f>$J$414-EFEITO!$K$414*EFEITO!$Y$414</f>
        <v>0</v>
      </c>
      <c r="N414" s="62">
        <f ca="1">$K$414-EFEITO!$M$414*EFEITO!$Z$414</f>
        <v>0</v>
      </c>
      <c r="O414" s="62">
        <f>$L$414-EFEITO!$O$414*EFEITO!$AA$414</f>
        <v>0</v>
      </c>
      <c r="P414" s="45"/>
      <c r="Q414" s="45"/>
      <c r="R414" s="45"/>
      <c r="S414" s="45"/>
      <c r="T414" s="45"/>
      <c r="U414" s="45"/>
      <c r="V414" s="45"/>
      <c r="W414" s="45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41" t="s">
        <v>21</v>
      </c>
      <c r="B415" s="41" t="s">
        <v>33</v>
      </c>
      <c r="C415" s="41" t="s">
        <v>23</v>
      </c>
      <c r="D415" s="41" t="s">
        <v>41</v>
      </c>
      <c r="E415" s="41" t="s">
        <v>25</v>
      </c>
      <c r="F415" s="41" t="s">
        <v>25</v>
      </c>
      <c r="G415" s="41" t="s">
        <v>25</v>
      </c>
      <c r="H415" s="41" t="s">
        <v>25</v>
      </c>
      <c r="I415" s="61">
        <v>44682</v>
      </c>
      <c r="J415" s="62">
        <f>EFEITO!$J$415*EFEITO!$Y$415</f>
        <v>0</v>
      </c>
      <c r="K415" s="62">
        <f ca="1">EFEITO!$L$415*EFEITO!$Z$415</f>
        <v>345183.076027993</v>
      </c>
      <c r="L415" s="62">
        <f>EFEITO!$N$415*EFEITO!$AA$415</f>
        <v>115222.0647792505</v>
      </c>
      <c r="M415" s="62">
        <f>$J$415-EFEITO!$K$415*EFEITO!$Y$415</f>
        <v>0</v>
      </c>
      <c r="N415" s="62">
        <f ca="1">$K$415-EFEITO!$M$415*EFEITO!$Z$415</f>
        <v>0</v>
      </c>
      <c r="O415" s="62">
        <f>$L$415-EFEITO!$O$415*EFEITO!$AA$415</f>
        <v>0</v>
      </c>
      <c r="P415" s="45"/>
      <c r="Q415" s="45"/>
      <c r="R415" s="45"/>
      <c r="S415" s="45"/>
      <c r="T415" s="45"/>
      <c r="U415" s="45"/>
      <c r="V415" s="45"/>
      <c r="W415" s="45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41" t="s">
        <v>27</v>
      </c>
      <c r="B416" s="41" t="s">
        <v>33</v>
      </c>
      <c r="C416" s="41" t="s">
        <v>23</v>
      </c>
      <c r="D416" s="41" t="s">
        <v>41</v>
      </c>
      <c r="E416" s="41" t="s">
        <v>25</v>
      </c>
      <c r="F416" s="41" t="s">
        <v>25</v>
      </c>
      <c r="G416" s="41" t="s">
        <v>25</v>
      </c>
      <c r="H416" s="41" t="s">
        <v>25</v>
      </c>
      <c r="I416" s="61">
        <v>44682</v>
      </c>
      <c r="J416" s="62">
        <f>EFEITO!$J$416*EFEITO!$Y$416</f>
        <v>0</v>
      </c>
      <c r="K416" s="62">
        <f ca="1">EFEITO!$L$416*EFEITO!$Z$416</f>
        <v>-191.16096961250634</v>
      </c>
      <c r="L416" s="62">
        <f>EFEITO!$N$416*EFEITO!$AA$416</f>
        <v>-63.809506182656314</v>
      </c>
      <c r="M416" s="62">
        <f>$J$416-EFEITO!$K$416*EFEITO!$Y$416</f>
        <v>0</v>
      </c>
      <c r="N416" s="62">
        <f ca="1">$K$416-EFEITO!$M$416*EFEITO!$Z$416</f>
        <v>0</v>
      </c>
      <c r="O416" s="62">
        <f>$L$416-EFEITO!$O$416*EFEITO!$AA$416</f>
        <v>0</v>
      </c>
      <c r="P416" s="45"/>
      <c r="Q416" s="45"/>
      <c r="R416" s="45"/>
      <c r="S416" s="45"/>
      <c r="T416" s="45"/>
      <c r="U416" s="45"/>
      <c r="V416" s="45"/>
      <c r="W416" s="45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41" t="s">
        <v>28</v>
      </c>
      <c r="B417" s="41" t="s">
        <v>33</v>
      </c>
      <c r="C417" s="41" t="s">
        <v>23</v>
      </c>
      <c r="D417" s="41" t="s">
        <v>41</v>
      </c>
      <c r="E417" s="41" t="s">
        <v>25</v>
      </c>
      <c r="F417" s="41" t="s">
        <v>25</v>
      </c>
      <c r="G417" s="41" t="s">
        <v>25</v>
      </c>
      <c r="H417" s="41" t="s">
        <v>25</v>
      </c>
      <c r="I417" s="61">
        <v>44682</v>
      </c>
      <c r="J417" s="62">
        <f>EFEITO!$J$417*EFEITO!$Y$417</f>
        <v>0</v>
      </c>
      <c r="K417" s="62">
        <f ca="1">EFEITO!$L$417*EFEITO!$Z$417</f>
        <v>711.35260095013598</v>
      </c>
      <c r="L417" s="62">
        <f>EFEITO!$N$417*EFEITO!$AA$417</f>
        <v>237.44940340272643</v>
      </c>
      <c r="M417" s="62">
        <f>$J$417-EFEITO!$K$417*EFEITO!$Y$417</f>
        <v>0</v>
      </c>
      <c r="N417" s="62">
        <f ca="1">$K$417-EFEITO!$M$417*EFEITO!$Z$417</f>
        <v>0</v>
      </c>
      <c r="O417" s="62">
        <f>$L$417-EFEITO!$O$417*EFEITO!$AA$417</f>
        <v>0</v>
      </c>
      <c r="P417" s="45"/>
      <c r="Q417" s="45"/>
      <c r="R417" s="45"/>
      <c r="S417" s="45"/>
      <c r="T417" s="45"/>
      <c r="U417" s="45"/>
      <c r="V417" s="45"/>
      <c r="W417" s="45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41" t="s">
        <v>21</v>
      </c>
      <c r="B418" s="41" t="s">
        <v>33</v>
      </c>
      <c r="C418" s="41" t="s">
        <v>23</v>
      </c>
      <c r="D418" s="41" t="s">
        <v>41</v>
      </c>
      <c r="E418" s="41" t="s">
        <v>25</v>
      </c>
      <c r="F418" s="41" t="s">
        <v>25</v>
      </c>
      <c r="G418" s="41" t="s">
        <v>25</v>
      </c>
      <c r="H418" s="41" t="s">
        <v>25</v>
      </c>
      <c r="I418" s="61">
        <v>44713</v>
      </c>
      <c r="J418" s="62">
        <f>EFEITO!$J$418*EFEITO!$Y$418</f>
        <v>0</v>
      </c>
      <c r="K418" s="62">
        <f ca="1">EFEITO!$L$418*EFEITO!$Z$418</f>
        <v>340159.59954056796</v>
      </c>
      <c r="L418" s="62">
        <f>EFEITO!$N$418*EFEITO!$AA$418</f>
        <v>113545.22899717354</v>
      </c>
      <c r="M418" s="62">
        <f>$J$418-EFEITO!$K$418*EFEITO!$Y$418</f>
        <v>0</v>
      </c>
      <c r="N418" s="62">
        <f ca="1">$K$418-EFEITO!$M$418*EFEITO!$Z$418</f>
        <v>0</v>
      </c>
      <c r="O418" s="62">
        <f>$L$418-EFEITO!$O$418*EFEITO!$AA$418</f>
        <v>0</v>
      </c>
      <c r="P418" s="45"/>
      <c r="Q418" s="45"/>
      <c r="R418" s="45"/>
      <c r="S418" s="45"/>
      <c r="T418" s="45"/>
      <c r="U418" s="45"/>
      <c r="V418" s="45"/>
      <c r="W418" s="45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41" t="s">
        <v>27</v>
      </c>
      <c r="B419" s="41" t="s">
        <v>33</v>
      </c>
      <c r="C419" s="41" t="s">
        <v>23</v>
      </c>
      <c r="D419" s="41" t="s">
        <v>41</v>
      </c>
      <c r="E419" s="41" t="s">
        <v>25</v>
      </c>
      <c r="F419" s="41" t="s">
        <v>25</v>
      </c>
      <c r="G419" s="41" t="s">
        <v>25</v>
      </c>
      <c r="H419" s="41" t="s">
        <v>25</v>
      </c>
      <c r="I419" s="61">
        <v>44713</v>
      </c>
      <c r="J419" s="62">
        <f>EFEITO!$J$419*EFEITO!$Y$419</f>
        <v>0</v>
      </c>
      <c r="K419" s="62">
        <f ca="1">EFEITO!$L$419*EFEITO!$Z$419</f>
        <v>-714.79074788561275</v>
      </c>
      <c r="L419" s="62">
        <f>EFEITO!$N$419*EFEITO!$AA$419</f>
        <v>-238.59705639162317</v>
      </c>
      <c r="M419" s="62">
        <f>$J$419-EFEITO!$K$419*EFEITO!$Y$419</f>
        <v>0</v>
      </c>
      <c r="N419" s="62">
        <f ca="1">$K$419-EFEITO!$M$419*EFEITO!$Z$419</f>
        <v>0</v>
      </c>
      <c r="O419" s="62">
        <f>$L$419-EFEITO!$O$419*EFEITO!$AA$419</f>
        <v>0</v>
      </c>
      <c r="P419" s="45"/>
      <c r="Q419" s="45"/>
      <c r="R419" s="45"/>
      <c r="S419" s="45"/>
      <c r="T419" s="45"/>
      <c r="U419" s="45"/>
      <c r="V419" s="45"/>
      <c r="W419" s="45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41" t="s">
        <v>28</v>
      </c>
      <c r="B420" s="41" t="s">
        <v>33</v>
      </c>
      <c r="C420" s="41" t="s">
        <v>23</v>
      </c>
      <c r="D420" s="41" t="s">
        <v>41</v>
      </c>
      <c r="E420" s="41" t="s">
        <v>25</v>
      </c>
      <c r="F420" s="41" t="s">
        <v>25</v>
      </c>
      <c r="G420" s="41" t="s">
        <v>25</v>
      </c>
      <c r="H420" s="41" t="s">
        <v>25</v>
      </c>
      <c r="I420" s="61">
        <v>44713</v>
      </c>
      <c r="J420" s="62">
        <f>EFEITO!$J$420*EFEITO!$Y$420</f>
        <v>0</v>
      </c>
      <c r="K420" s="62">
        <f ca="1">EFEITO!$L$420*EFEITO!$Z$420</f>
        <v>2847.1294772682822</v>
      </c>
      <c r="L420" s="62">
        <f>EFEITO!$N$420*EFEITO!$AA$420</f>
        <v>950.37144010535417</v>
      </c>
      <c r="M420" s="62">
        <f>$J$420-EFEITO!$K$420*EFEITO!$Y$420</f>
        <v>0</v>
      </c>
      <c r="N420" s="62">
        <f ca="1">$K$420-EFEITO!$M$420*EFEITO!$Z$420</f>
        <v>0</v>
      </c>
      <c r="O420" s="62">
        <f>$L$420-EFEITO!$O$420*EFEITO!$AA$420</f>
        <v>0</v>
      </c>
      <c r="P420" s="45"/>
      <c r="Q420" s="45"/>
      <c r="R420" s="45"/>
      <c r="S420" s="45"/>
      <c r="T420" s="45"/>
      <c r="U420" s="45"/>
      <c r="V420" s="45"/>
      <c r="W420" s="45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41" t="s">
        <v>21</v>
      </c>
      <c r="B421" s="41" t="s">
        <v>33</v>
      </c>
      <c r="C421" s="41" t="s">
        <v>23</v>
      </c>
      <c r="D421" s="41" t="s">
        <v>41</v>
      </c>
      <c r="E421" s="41" t="s">
        <v>25</v>
      </c>
      <c r="F421" s="41" t="s">
        <v>25</v>
      </c>
      <c r="G421" s="41" t="s">
        <v>25</v>
      </c>
      <c r="H421" s="41" t="s">
        <v>25</v>
      </c>
      <c r="I421" s="61">
        <v>44743</v>
      </c>
      <c r="J421" s="62">
        <f>EFEITO!$J$421*EFEITO!$Y$421</f>
        <v>0</v>
      </c>
      <c r="K421" s="62">
        <f ca="1">EFEITO!$L$421*EFEITO!$Z$421</f>
        <v>337861.54212889523</v>
      </c>
      <c r="L421" s="62">
        <f>EFEITO!$N$421*EFEITO!$AA$421</f>
        <v>112778.13773939498</v>
      </c>
      <c r="M421" s="62">
        <f>$J$421-EFEITO!$K$421*EFEITO!$Y$421</f>
        <v>0</v>
      </c>
      <c r="N421" s="62">
        <f ca="1">$K$421-EFEITO!$M$421*EFEITO!$Z$421</f>
        <v>0</v>
      </c>
      <c r="O421" s="62">
        <f>$L$421-EFEITO!$O$421*EFEITO!$AA$421</f>
        <v>0</v>
      </c>
      <c r="P421" s="45"/>
      <c r="Q421" s="45"/>
      <c r="R421" s="45"/>
      <c r="S421" s="45"/>
      <c r="T421" s="45"/>
      <c r="U421" s="45"/>
      <c r="V421" s="45"/>
      <c r="W421" s="45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41" t="s">
        <v>28</v>
      </c>
      <c r="B422" s="41" t="s">
        <v>33</v>
      </c>
      <c r="C422" s="41" t="s">
        <v>23</v>
      </c>
      <c r="D422" s="41" t="s">
        <v>41</v>
      </c>
      <c r="E422" s="41" t="s">
        <v>25</v>
      </c>
      <c r="F422" s="41" t="s">
        <v>25</v>
      </c>
      <c r="G422" s="41" t="s">
        <v>25</v>
      </c>
      <c r="H422" s="41" t="s">
        <v>25</v>
      </c>
      <c r="I422" s="61">
        <v>44743</v>
      </c>
      <c r="J422" s="62">
        <f>EFEITO!$J$422*EFEITO!$Y$422</f>
        <v>0</v>
      </c>
      <c r="K422" s="62">
        <f ca="1">EFEITO!$L$422*EFEITO!$Z$422</f>
        <v>3065.4518076710547</v>
      </c>
      <c r="L422" s="62">
        <f>EFEITO!$N$422*EFEITO!$AA$422</f>
        <v>1023.2474049002944</v>
      </c>
      <c r="M422" s="62">
        <f>$J$422-EFEITO!$K$422*EFEITO!$Y$422</f>
        <v>0</v>
      </c>
      <c r="N422" s="62">
        <f ca="1">$K$422-EFEITO!$M$422*EFEITO!$Z$422</f>
        <v>0</v>
      </c>
      <c r="O422" s="62">
        <f>$L$422-EFEITO!$O$422*EFEITO!$AA$422</f>
        <v>0</v>
      </c>
      <c r="P422" s="45"/>
      <c r="Q422" s="45"/>
      <c r="R422" s="45"/>
      <c r="S422" s="45"/>
      <c r="T422" s="45"/>
      <c r="U422" s="45"/>
      <c r="V422" s="45"/>
      <c r="W422" s="45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41" t="s">
        <v>57</v>
      </c>
      <c r="B423" s="41" t="s">
        <v>33</v>
      </c>
      <c r="C423" s="41" t="s">
        <v>23</v>
      </c>
      <c r="D423" s="41" t="s">
        <v>41</v>
      </c>
      <c r="E423" s="41" t="s">
        <v>25</v>
      </c>
      <c r="F423" s="41" t="s">
        <v>25</v>
      </c>
      <c r="G423" s="41" t="s">
        <v>25</v>
      </c>
      <c r="H423" s="41" t="s">
        <v>25</v>
      </c>
      <c r="I423" s="61">
        <v>44774</v>
      </c>
      <c r="J423" s="62">
        <f>EFEITO!$J$423*EFEITO!$Y$423</f>
        <v>0</v>
      </c>
      <c r="K423" s="62">
        <f ca="1">EFEITO!$L$423*EFEITO!$Z$423</f>
        <v>337861.54212889523</v>
      </c>
      <c r="L423" s="62">
        <f>EFEITO!$N$423*EFEITO!$AA$423</f>
        <v>112778.13773939498</v>
      </c>
      <c r="M423" s="62">
        <f>$J$423-EFEITO!$K$423*EFEITO!$Y$423</f>
        <v>0</v>
      </c>
      <c r="N423" s="62">
        <f ca="1">$K$423-EFEITO!$M$423*EFEITO!$Z$423</f>
        <v>0</v>
      </c>
      <c r="O423" s="62">
        <f>$L$423-EFEITO!$O$423*EFEITO!$AA$423</f>
        <v>0</v>
      </c>
      <c r="P423" s="45"/>
      <c r="Q423" s="45"/>
      <c r="R423" s="45"/>
      <c r="S423" s="45"/>
      <c r="T423" s="45"/>
      <c r="U423" s="45"/>
      <c r="V423" s="45"/>
      <c r="W423" s="45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41" t="s">
        <v>57</v>
      </c>
      <c r="B424" s="41" t="s">
        <v>33</v>
      </c>
      <c r="C424" s="41" t="s">
        <v>23</v>
      </c>
      <c r="D424" s="41" t="s">
        <v>41</v>
      </c>
      <c r="E424" s="41" t="s">
        <v>25</v>
      </c>
      <c r="F424" s="41" t="s">
        <v>25</v>
      </c>
      <c r="G424" s="41" t="s">
        <v>25</v>
      </c>
      <c r="H424" s="41" t="s">
        <v>25</v>
      </c>
      <c r="I424" s="61">
        <v>44774</v>
      </c>
      <c r="J424" s="62">
        <f>EFEITO!$J$424*EFEITO!$Y$424</f>
        <v>0</v>
      </c>
      <c r="K424" s="62">
        <f ca="1">EFEITO!$L$424*EFEITO!$Z$424</f>
        <v>3065.4518076710547</v>
      </c>
      <c r="L424" s="62">
        <f>EFEITO!$N$424*EFEITO!$AA$424</f>
        <v>1023.2474049002944</v>
      </c>
      <c r="M424" s="62">
        <f>$J$424-EFEITO!$K$424*EFEITO!$Y$424</f>
        <v>0</v>
      </c>
      <c r="N424" s="62">
        <f ca="1">$K$424-EFEITO!$M$424*EFEITO!$Z$424</f>
        <v>0</v>
      </c>
      <c r="O424" s="62">
        <f>$L$424-EFEITO!$O$424*EFEITO!$AA$424</f>
        <v>0</v>
      </c>
      <c r="P424" s="45"/>
      <c r="Q424" s="45"/>
      <c r="R424" s="45"/>
      <c r="S424" s="45"/>
      <c r="T424" s="45"/>
      <c r="U424" s="45"/>
      <c r="V424" s="45"/>
      <c r="W424" s="45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41" t="s">
        <v>21</v>
      </c>
      <c r="B425" s="41" t="s">
        <v>33</v>
      </c>
      <c r="C425" s="41" t="s">
        <v>23</v>
      </c>
      <c r="D425" s="41" t="s">
        <v>50</v>
      </c>
      <c r="E425" s="41" t="s">
        <v>25</v>
      </c>
      <c r="F425" s="41" t="s">
        <v>25</v>
      </c>
      <c r="G425" s="41" t="s">
        <v>25</v>
      </c>
      <c r="H425" s="41" t="s">
        <v>25</v>
      </c>
      <c r="I425" s="61">
        <v>44440</v>
      </c>
      <c r="J425" s="62">
        <f>EFEITO!$J$425*EFEITO!$Y$425</f>
        <v>0</v>
      </c>
      <c r="K425" s="62">
        <f ca="1">EFEITO!$L$425*EFEITO!$Z$425</f>
        <v>178.7836406447901</v>
      </c>
      <c r="L425" s="62">
        <f>EFEITO!$N$425*EFEITO!$AA$425</f>
        <v>59.677955422628209</v>
      </c>
      <c r="M425" s="62">
        <f>$J$425-EFEITO!$K$425*EFEITO!$Y$425</f>
        <v>0</v>
      </c>
      <c r="N425" s="62">
        <f ca="1">$K$425-EFEITO!$M$425*EFEITO!$Z$425</f>
        <v>0</v>
      </c>
      <c r="O425" s="62">
        <f>$L$425-EFEITO!$O$425*EFEITO!$AA$425</f>
        <v>0</v>
      </c>
      <c r="P425" s="45"/>
      <c r="Q425" s="45"/>
      <c r="R425" s="45"/>
      <c r="S425" s="45"/>
      <c r="T425" s="45"/>
      <c r="U425" s="45"/>
      <c r="V425" s="45"/>
      <c r="W425" s="45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41" t="s">
        <v>21</v>
      </c>
      <c r="B426" s="41" t="s">
        <v>33</v>
      </c>
      <c r="C426" s="41" t="s">
        <v>23</v>
      </c>
      <c r="D426" s="41" t="s">
        <v>50</v>
      </c>
      <c r="E426" s="41" t="s">
        <v>25</v>
      </c>
      <c r="F426" s="41" t="s">
        <v>25</v>
      </c>
      <c r="G426" s="41" t="s">
        <v>25</v>
      </c>
      <c r="H426" s="41" t="s">
        <v>25</v>
      </c>
      <c r="I426" s="61">
        <v>44470</v>
      </c>
      <c r="J426" s="62">
        <f>EFEITO!$J$426*EFEITO!$Y$426</f>
        <v>0</v>
      </c>
      <c r="K426" s="62">
        <f ca="1">EFEITO!$L$426*EFEITO!$Z$426</f>
        <v>178.09601125769476</v>
      </c>
      <c r="L426" s="62">
        <f>EFEITO!$N$426*EFEITO!$AA$426</f>
        <v>59.448424824848864</v>
      </c>
      <c r="M426" s="62">
        <f>$J$426-EFEITO!$K$426*EFEITO!$Y$426</f>
        <v>0</v>
      </c>
      <c r="N426" s="62">
        <f ca="1">$K$426-EFEITO!$M$426*EFEITO!$Z$426</f>
        <v>0</v>
      </c>
      <c r="O426" s="62">
        <f>$L$426-EFEITO!$O$426*EFEITO!$AA$426</f>
        <v>0</v>
      </c>
      <c r="P426" s="45"/>
      <c r="Q426" s="45"/>
      <c r="R426" s="45"/>
      <c r="S426" s="45"/>
      <c r="T426" s="45"/>
      <c r="U426" s="45"/>
      <c r="V426" s="45"/>
      <c r="W426" s="45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41" t="s">
        <v>21</v>
      </c>
      <c r="B427" s="41" t="s">
        <v>33</v>
      </c>
      <c r="C427" s="41" t="s">
        <v>23</v>
      </c>
      <c r="D427" s="41" t="s">
        <v>50</v>
      </c>
      <c r="E427" s="41" t="s">
        <v>25</v>
      </c>
      <c r="F427" s="41" t="s">
        <v>25</v>
      </c>
      <c r="G427" s="41" t="s">
        <v>25</v>
      </c>
      <c r="H427" s="41" t="s">
        <v>25</v>
      </c>
      <c r="I427" s="61">
        <v>44501</v>
      </c>
      <c r="J427" s="62">
        <f>EFEITO!$J$427*EFEITO!$Y$427</f>
        <v>0</v>
      </c>
      <c r="K427" s="62">
        <f ca="1">EFEITO!$L$427*EFEITO!$Z$427</f>
        <v>162.28053535450175</v>
      </c>
      <c r="L427" s="62">
        <f>EFEITO!$N$427*EFEITO!$AA$427</f>
        <v>54.169221075924057</v>
      </c>
      <c r="M427" s="62">
        <f>$J$427-EFEITO!$K$427*EFEITO!$Y$427</f>
        <v>0</v>
      </c>
      <c r="N427" s="62">
        <f ca="1">$K$427-EFEITO!$M$427*EFEITO!$Z$427</f>
        <v>0</v>
      </c>
      <c r="O427" s="62">
        <f>$L$427-EFEITO!$O$427*EFEITO!$AA$427</f>
        <v>0</v>
      </c>
      <c r="P427" s="45"/>
      <c r="Q427" s="45"/>
      <c r="R427" s="45"/>
      <c r="S427" s="45"/>
      <c r="T427" s="45"/>
      <c r="U427" s="45"/>
      <c r="V427" s="45"/>
      <c r="W427" s="45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41" t="s">
        <v>21</v>
      </c>
      <c r="B428" s="41" t="s">
        <v>33</v>
      </c>
      <c r="C428" s="41" t="s">
        <v>23</v>
      </c>
      <c r="D428" s="41" t="s">
        <v>50</v>
      </c>
      <c r="E428" s="41" t="s">
        <v>25</v>
      </c>
      <c r="F428" s="41" t="s">
        <v>25</v>
      </c>
      <c r="G428" s="41" t="s">
        <v>25</v>
      </c>
      <c r="H428" s="41" t="s">
        <v>25</v>
      </c>
      <c r="I428" s="61">
        <v>44531</v>
      </c>
      <c r="J428" s="62">
        <f>EFEITO!$J$428*EFEITO!$Y$428</f>
        <v>0</v>
      </c>
      <c r="K428" s="62">
        <f ca="1">EFEITO!$L$428*EFEITO!$Z$428</f>
        <v>262.67442587042234</v>
      </c>
      <c r="L428" s="62">
        <f>EFEITO!$N$428*EFEITO!$AA$428</f>
        <v>87.680688351707587</v>
      </c>
      <c r="M428" s="62">
        <f>$J$428-EFEITO!$K$428*EFEITO!$Y$428</f>
        <v>0</v>
      </c>
      <c r="N428" s="62">
        <f ca="1">$K$428-EFEITO!$M$428*EFEITO!$Z$428</f>
        <v>0</v>
      </c>
      <c r="O428" s="62">
        <f>$L$428-EFEITO!$O$428*EFEITO!$AA$428</f>
        <v>0</v>
      </c>
      <c r="P428" s="45"/>
      <c r="Q428" s="45"/>
      <c r="R428" s="45"/>
      <c r="S428" s="45"/>
      <c r="T428" s="45"/>
      <c r="U428" s="45"/>
      <c r="V428" s="45"/>
      <c r="W428" s="45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41" t="s">
        <v>21</v>
      </c>
      <c r="B429" s="41" t="s">
        <v>33</v>
      </c>
      <c r="C429" s="41" t="s">
        <v>23</v>
      </c>
      <c r="D429" s="41" t="s">
        <v>50</v>
      </c>
      <c r="E429" s="41" t="s">
        <v>25</v>
      </c>
      <c r="F429" s="41" t="s">
        <v>25</v>
      </c>
      <c r="G429" s="41" t="s">
        <v>25</v>
      </c>
      <c r="H429" s="41" t="s">
        <v>25</v>
      </c>
      <c r="I429" s="61">
        <v>44562</v>
      </c>
      <c r="J429" s="62">
        <f>EFEITO!$J$429*EFEITO!$Y$429</f>
        <v>0</v>
      </c>
      <c r="K429" s="62">
        <f ca="1">EFEITO!$L$429*EFEITO!$Z$429</f>
        <v>270.23834912847116</v>
      </c>
      <c r="L429" s="62">
        <f>EFEITO!$N$429*EFEITO!$AA$429</f>
        <v>90.205524927280322</v>
      </c>
      <c r="M429" s="62">
        <f>$J$429-EFEITO!$K$429*EFEITO!$Y$429</f>
        <v>0</v>
      </c>
      <c r="N429" s="62">
        <f ca="1">$K$429-EFEITO!$M$429*EFEITO!$Z$429</f>
        <v>0</v>
      </c>
      <c r="O429" s="62">
        <f>$L$429-EFEITO!$O$429*EFEITO!$AA$429</f>
        <v>0</v>
      </c>
      <c r="P429" s="45"/>
      <c r="Q429" s="45"/>
      <c r="R429" s="45"/>
      <c r="S429" s="45"/>
      <c r="T429" s="45"/>
      <c r="U429" s="45"/>
      <c r="V429" s="45"/>
      <c r="W429" s="45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41" t="s">
        <v>21</v>
      </c>
      <c r="B430" s="41" t="s">
        <v>33</v>
      </c>
      <c r="C430" s="41" t="s">
        <v>23</v>
      </c>
      <c r="D430" s="41" t="s">
        <v>50</v>
      </c>
      <c r="E430" s="41" t="s">
        <v>25</v>
      </c>
      <c r="F430" s="41" t="s">
        <v>25</v>
      </c>
      <c r="G430" s="41" t="s">
        <v>25</v>
      </c>
      <c r="H430" s="41" t="s">
        <v>25</v>
      </c>
      <c r="I430" s="61">
        <v>44593</v>
      </c>
      <c r="J430" s="62">
        <f>EFEITO!$J$430*EFEITO!$Y$430</f>
        <v>0</v>
      </c>
      <c r="K430" s="62">
        <f ca="1">EFEITO!$L$430*EFEITO!$Z$430</f>
        <v>302.90074501550015</v>
      </c>
      <c r="L430" s="62">
        <f>EFEITO!$N$430*EFEITO!$AA$430</f>
        <v>101.10822832179893</v>
      </c>
      <c r="M430" s="62">
        <f>$J$430-EFEITO!$K$430*EFEITO!$Y$430</f>
        <v>0</v>
      </c>
      <c r="N430" s="62">
        <f ca="1">$K$430-EFEITO!$M$430*EFEITO!$Z$430</f>
        <v>0</v>
      </c>
      <c r="O430" s="62">
        <f>$L$430-EFEITO!$O$430*EFEITO!$AA$430</f>
        <v>0</v>
      </c>
      <c r="P430" s="45"/>
      <c r="Q430" s="45"/>
      <c r="R430" s="45"/>
      <c r="S430" s="45"/>
      <c r="T430" s="45"/>
      <c r="U430" s="45"/>
      <c r="V430" s="45"/>
      <c r="W430" s="45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41" t="s">
        <v>21</v>
      </c>
      <c r="B431" s="41" t="s">
        <v>33</v>
      </c>
      <c r="C431" s="41" t="s">
        <v>23</v>
      </c>
      <c r="D431" s="41" t="s">
        <v>50</v>
      </c>
      <c r="E431" s="41" t="s">
        <v>25</v>
      </c>
      <c r="F431" s="41" t="s">
        <v>25</v>
      </c>
      <c r="G431" s="41" t="s">
        <v>25</v>
      </c>
      <c r="H431" s="41" t="s">
        <v>25</v>
      </c>
      <c r="I431" s="61">
        <v>44621</v>
      </c>
      <c r="J431" s="62">
        <f>EFEITO!$J$431*EFEITO!$Y$431</f>
        <v>0</v>
      </c>
      <c r="K431" s="62">
        <f ca="1">EFEITO!$L$431*EFEITO!$Z$431</f>
        <v>350.34717272507902</v>
      </c>
      <c r="L431" s="62">
        <f>EFEITO!$N$431*EFEITO!$AA$431</f>
        <v>116.94583956857333</v>
      </c>
      <c r="M431" s="62">
        <f>$J$431-EFEITO!$K$431*EFEITO!$Y$431</f>
        <v>0</v>
      </c>
      <c r="N431" s="62">
        <f ca="1">$K$431-EFEITO!$M$431*EFEITO!$Z$431</f>
        <v>0</v>
      </c>
      <c r="O431" s="62">
        <f>$L$431-EFEITO!$O$431*EFEITO!$AA$431</f>
        <v>0</v>
      </c>
      <c r="P431" s="45"/>
      <c r="Q431" s="45"/>
      <c r="R431" s="45"/>
      <c r="S431" s="45"/>
      <c r="T431" s="45"/>
      <c r="U431" s="45"/>
      <c r="V431" s="45"/>
      <c r="W431" s="45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41" t="s">
        <v>21</v>
      </c>
      <c r="B432" s="41" t="s">
        <v>33</v>
      </c>
      <c r="C432" s="41" t="s">
        <v>23</v>
      </c>
      <c r="D432" s="41" t="s">
        <v>50</v>
      </c>
      <c r="E432" s="41" t="s">
        <v>25</v>
      </c>
      <c r="F432" s="41" t="s">
        <v>25</v>
      </c>
      <c r="G432" s="41" t="s">
        <v>25</v>
      </c>
      <c r="H432" s="41" t="s">
        <v>25</v>
      </c>
      <c r="I432" s="61">
        <v>44652</v>
      </c>
      <c r="J432" s="62">
        <f>EFEITO!$J$432*EFEITO!$Y$432</f>
        <v>0</v>
      </c>
      <c r="K432" s="62">
        <f ca="1">EFEITO!$L$432*EFEITO!$Z$432</f>
        <v>482.02820035383786</v>
      </c>
      <c r="L432" s="62">
        <f>EFEITO!$N$432*EFEITO!$AA$432</f>
        <v>160.90094904331681</v>
      </c>
      <c r="M432" s="62">
        <f>$J$432-EFEITO!$K$432*EFEITO!$Y$432</f>
        <v>0</v>
      </c>
      <c r="N432" s="62">
        <f ca="1">$K$432-EFEITO!$M$432*EFEITO!$Z$432</f>
        <v>0</v>
      </c>
      <c r="O432" s="62">
        <f>$L$432-EFEITO!$O$432*EFEITO!$AA$432</f>
        <v>0</v>
      </c>
      <c r="P432" s="45"/>
      <c r="Q432" s="45"/>
      <c r="R432" s="45"/>
      <c r="S432" s="45"/>
      <c r="T432" s="45"/>
      <c r="U432" s="45"/>
      <c r="V432" s="45"/>
      <c r="W432" s="45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41" t="s">
        <v>28</v>
      </c>
      <c r="B433" s="41" t="s">
        <v>33</v>
      </c>
      <c r="C433" s="41" t="s">
        <v>23</v>
      </c>
      <c r="D433" s="41" t="s">
        <v>50</v>
      </c>
      <c r="E433" s="41" t="s">
        <v>25</v>
      </c>
      <c r="F433" s="41" t="s">
        <v>25</v>
      </c>
      <c r="G433" s="41" t="s">
        <v>25</v>
      </c>
      <c r="H433" s="41" t="s">
        <v>25</v>
      </c>
      <c r="I433" s="61">
        <v>44652</v>
      </c>
      <c r="J433" s="62">
        <f>EFEITO!$J$433*EFEITO!$Y$433</f>
        <v>0</v>
      </c>
      <c r="K433" s="62">
        <f ca="1">EFEITO!$L$433*EFEITO!$Z$433</f>
        <v>10.314440806430197</v>
      </c>
      <c r="L433" s="62">
        <f>EFEITO!$N$433*EFEITO!$AA$433</f>
        <v>3.4429589666900884</v>
      </c>
      <c r="M433" s="62">
        <f>$J$433-EFEITO!$K$433*EFEITO!$Y$433</f>
        <v>0</v>
      </c>
      <c r="N433" s="62">
        <f ca="1">$K$433-EFEITO!$M$433*EFEITO!$Z$433</f>
        <v>0</v>
      </c>
      <c r="O433" s="62">
        <f>$L$433-EFEITO!$O$433*EFEITO!$AA$433</f>
        <v>0</v>
      </c>
      <c r="P433" s="45"/>
      <c r="Q433" s="45"/>
      <c r="R433" s="45"/>
      <c r="S433" s="45"/>
      <c r="T433" s="45"/>
      <c r="U433" s="45"/>
      <c r="V433" s="45"/>
      <c r="W433" s="45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41" t="s">
        <v>21</v>
      </c>
      <c r="B434" s="41" t="s">
        <v>33</v>
      </c>
      <c r="C434" s="41" t="s">
        <v>23</v>
      </c>
      <c r="D434" s="41" t="s">
        <v>50</v>
      </c>
      <c r="E434" s="41" t="s">
        <v>25</v>
      </c>
      <c r="F434" s="41" t="s">
        <v>25</v>
      </c>
      <c r="G434" s="41" t="s">
        <v>25</v>
      </c>
      <c r="H434" s="41" t="s">
        <v>25</v>
      </c>
      <c r="I434" s="61">
        <v>44682</v>
      </c>
      <c r="J434" s="62">
        <f>EFEITO!$J$434*EFEITO!$Y$434</f>
        <v>0</v>
      </c>
      <c r="K434" s="62">
        <f ca="1">EFEITO!$L$434*EFEITO!$Z$434</f>
        <v>344.50232293476859</v>
      </c>
      <c r="L434" s="62">
        <f>EFEITO!$N$434*EFEITO!$AA$434</f>
        <v>114.99482948744897</v>
      </c>
      <c r="M434" s="62">
        <f>$J$434-EFEITO!$K$434*EFEITO!$Y$434</f>
        <v>0</v>
      </c>
      <c r="N434" s="62">
        <f ca="1">$K$434-EFEITO!$M$434*EFEITO!$Z$434</f>
        <v>0</v>
      </c>
      <c r="O434" s="62">
        <f>$L$434-EFEITO!$O$434*EFEITO!$AA$434</f>
        <v>0</v>
      </c>
      <c r="P434" s="45"/>
      <c r="Q434" s="45"/>
      <c r="R434" s="45"/>
      <c r="S434" s="45"/>
      <c r="T434" s="45"/>
      <c r="U434" s="45"/>
      <c r="V434" s="45"/>
      <c r="W434" s="45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41" t="s">
        <v>28</v>
      </c>
      <c r="B435" s="41" t="s">
        <v>33</v>
      </c>
      <c r="C435" s="41" t="s">
        <v>23</v>
      </c>
      <c r="D435" s="41" t="s">
        <v>50</v>
      </c>
      <c r="E435" s="41" t="s">
        <v>25</v>
      </c>
      <c r="F435" s="41" t="s">
        <v>25</v>
      </c>
      <c r="G435" s="41" t="s">
        <v>25</v>
      </c>
      <c r="H435" s="41" t="s">
        <v>25</v>
      </c>
      <c r="I435" s="61">
        <v>44682</v>
      </c>
      <c r="J435" s="62">
        <f>EFEITO!$J$435*EFEITO!$Y$435</f>
        <v>0</v>
      </c>
      <c r="K435" s="62">
        <f ca="1">EFEITO!$L$435*EFEITO!$Z$435</f>
        <v>10.314440806430197</v>
      </c>
      <c r="L435" s="62">
        <f>EFEITO!$N$435*EFEITO!$AA$435</f>
        <v>3.4429589666900884</v>
      </c>
      <c r="M435" s="62">
        <f>$J$435-EFEITO!$K$435*EFEITO!$Y$435</f>
        <v>0</v>
      </c>
      <c r="N435" s="62">
        <f ca="1">$K$435-EFEITO!$M$435*EFEITO!$Z$435</f>
        <v>0</v>
      </c>
      <c r="O435" s="62">
        <f>$L$435-EFEITO!$O$435*EFEITO!$AA$435</f>
        <v>0</v>
      </c>
      <c r="P435" s="45"/>
      <c r="Q435" s="45"/>
      <c r="R435" s="45"/>
      <c r="S435" s="45"/>
      <c r="T435" s="45"/>
      <c r="U435" s="45"/>
      <c r="V435" s="45"/>
      <c r="W435" s="45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41" t="s">
        <v>21</v>
      </c>
      <c r="B436" s="41" t="s">
        <v>33</v>
      </c>
      <c r="C436" s="41" t="s">
        <v>23</v>
      </c>
      <c r="D436" s="41" t="s">
        <v>50</v>
      </c>
      <c r="E436" s="41" t="s">
        <v>25</v>
      </c>
      <c r="F436" s="41" t="s">
        <v>25</v>
      </c>
      <c r="G436" s="41" t="s">
        <v>25</v>
      </c>
      <c r="H436" s="41" t="s">
        <v>25</v>
      </c>
      <c r="I436" s="61">
        <v>44713</v>
      </c>
      <c r="J436" s="62">
        <f>EFEITO!$J$436*EFEITO!$Y$436</f>
        <v>0</v>
      </c>
      <c r="K436" s="62">
        <f ca="1">EFEITO!$L$436*EFEITO!$Z$436</f>
        <v>343.47087885412554</v>
      </c>
      <c r="L436" s="62">
        <f>EFEITO!$N$436*EFEITO!$AA$436</f>
        <v>114.65053359077996</v>
      </c>
      <c r="M436" s="62">
        <f>$J$436-EFEITO!$K$436*EFEITO!$Y$436</f>
        <v>0</v>
      </c>
      <c r="N436" s="62">
        <f ca="1">$K$436-EFEITO!$M$436*EFEITO!$Z$436</f>
        <v>0</v>
      </c>
      <c r="O436" s="62">
        <f>$L$436-EFEITO!$O$436*EFEITO!$AA$436</f>
        <v>0</v>
      </c>
      <c r="P436" s="45"/>
      <c r="Q436" s="45"/>
      <c r="R436" s="45"/>
      <c r="S436" s="45"/>
      <c r="T436" s="45"/>
      <c r="U436" s="45"/>
      <c r="V436" s="45"/>
      <c r="W436" s="45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41" t="s">
        <v>28</v>
      </c>
      <c r="B437" s="41" t="s">
        <v>33</v>
      </c>
      <c r="C437" s="41" t="s">
        <v>23</v>
      </c>
      <c r="D437" s="41" t="s">
        <v>50</v>
      </c>
      <c r="E437" s="41" t="s">
        <v>25</v>
      </c>
      <c r="F437" s="41" t="s">
        <v>25</v>
      </c>
      <c r="G437" s="41" t="s">
        <v>25</v>
      </c>
      <c r="H437" s="41" t="s">
        <v>25</v>
      </c>
      <c r="I437" s="61">
        <v>44713</v>
      </c>
      <c r="J437" s="62">
        <f>EFEITO!$J$437*EFEITO!$Y$437</f>
        <v>0</v>
      </c>
      <c r="K437" s="62">
        <f ca="1">EFEITO!$L$437*EFEITO!$Z$437</f>
        <v>10.314440806430197</v>
      </c>
      <c r="L437" s="62">
        <f>EFEITO!$N$437*EFEITO!$AA$437</f>
        <v>3.4429589666900884</v>
      </c>
      <c r="M437" s="62">
        <f>$J$437-EFEITO!$K$437*EFEITO!$Y$437</f>
        <v>0</v>
      </c>
      <c r="N437" s="62">
        <f ca="1">$K$437-EFEITO!$M$437*EFEITO!$Z$437</f>
        <v>0</v>
      </c>
      <c r="O437" s="62">
        <f>$L$437-EFEITO!$O$437*EFEITO!$AA$437</f>
        <v>0</v>
      </c>
      <c r="P437" s="45"/>
      <c r="Q437" s="45"/>
      <c r="R437" s="45"/>
      <c r="S437" s="45"/>
      <c r="T437" s="45"/>
      <c r="U437" s="45"/>
      <c r="V437" s="45"/>
      <c r="W437" s="45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41" t="s">
        <v>21</v>
      </c>
      <c r="B438" s="41" t="s">
        <v>33</v>
      </c>
      <c r="C438" s="41" t="s">
        <v>23</v>
      </c>
      <c r="D438" s="41" t="s">
        <v>50</v>
      </c>
      <c r="E438" s="41" t="s">
        <v>25</v>
      </c>
      <c r="F438" s="41" t="s">
        <v>25</v>
      </c>
      <c r="G438" s="41" t="s">
        <v>25</v>
      </c>
      <c r="H438" s="41" t="s">
        <v>25</v>
      </c>
      <c r="I438" s="61">
        <v>44743</v>
      </c>
      <c r="J438" s="62">
        <f>EFEITO!$J$438*EFEITO!$Y$438</f>
        <v>0</v>
      </c>
      <c r="K438" s="62">
        <f ca="1">EFEITO!$L$438*EFEITO!$Z$438</f>
        <v>343.1270641605779</v>
      </c>
      <c r="L438" s="62">
        <f>EFEITO!$N$438*EFEITO!$AA$438</f>
        <v>114.53576829189028</v>
      </c>
      <c r="M438" s="62">
        <f>$J$438-EFEITO!$K$438*EFEITO!$Y$438</f>
        <v>0</v>
      </c>
      <c r="N438" s="62">
        <f ca="1">$K$438-EFEITO!$M$438*EFEITO!$Z$438</f>
        <v>0</v>
      </c>
      <c r="O438" s="62">
        <f>$L$438-EFEITO!$O$438*EFEITO!$AA$438</f>
        <v>0</v>
      </c>
      <c r="P438" s="45"/>
      <c r="Q438" s="45"/>
      <c r="R438" s="45"/>
      <c r="S438" s="45"/>
      <c r="T438" s="45"/>
      <c r="U438" s="45"/>
      <c r="V438" s="45"/>
      <c r="W438" s="45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41" t="s">
        <v>28</v>
      </c>
      <c r="B439" s="41" t="s">
        <v>33</v>
      </c>
      <c r="C439" s="41" t="s">
        <v>23</v>
      </c>
      <c r="D439" s="41" t="s">
        <v>50</v>
      </c>
      <c r="E439" s="41" t="s">
        <v>25</v>
      </c>
      <c r="F439" s="41" t="s">
        <v>25</v>
      </c>
      <c r="G439" s="41" t="s">
        <v>25</v>
      </c>
      <c r="H439" s="41" t="s">
        <v>25</v>
      </c>
      <c r="I439" s="61">
        <v>44743</v>
      </c>
      <c r="J439" s="62">
        <f>EFEITO!$J$439*EFEITO!$Y$439</f>
        <v>0</v>
      </c>
      <c r="K439" s="62">
        <f ca="1">EFEITO!$L$439*EFEITO!$Z$439</f>
        <v>10.314440806430197</v>
      </c>
      <c r="L439" s="62">
        <f>EFEITO!$N$439*EFEITO!$AA$439</f>
        <v>3.4429589666900884</v>
      </c>
      <c r="M439" s="62">
        <f>$J$439-EFEITO!$K$439*EFEITO!$Y$439</f>
        <v>0</v>
      </c>
      <c r="N439" s="62">
        <f ca="1">$K$439-EFEITO!$M$439*EFEITO!$Z$439</f>
        <v>0</v>
      </c>
      <c r="O439" s="62">
        <f>$L$439-EFEITO!$O$439*EFEITO!$AA$439</f>
        <v>0</v>
      </c>
      <c r="P439" s="45"/>
      <c r="Q439" s="45"/>
      <c r="R439" s="45"/>
      <c r="S439" s="45"/>
      <c r="T439" s="45"/>
      <c r="U439" s="45"/>
      <c r="V439" s="45"/>
      <c r="W439" s="45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41" t="s">
        <v>57</v>
      </c>
      <c r="B440" s="41" t="s">
        <v>33</v>
      </c>
      <c r="C440" s="41" t="s">
        <v>23</v>
      </c>
      <c r="D440" s="41" t="s">
        <v>50</v>
      </c>
      <c r="E440" s="41" t="s">
        <v>25</v>
      </c>
      <c r="F440" s="41" t="s">
        <v>25</v>
      </c>
      <c r="G440" s="41" t="s">
        <v>25</v>
      </c>
      <c r="H440" s="41" t="s">
        <v>25</v>
      </c>
      <c r="I440" s="61">
        <v>44774</v>
      </c>
      <c r="J440" s="62">
        <f>EFEITO!$J$440*EFEITO!$Y$440</f>
        <v>0</v>
      </c>
      <c r="K440" s="62">
        <f ca="1">EFEITO!$L$440*EFEITO!$Z$440</f>
        <v>343.1270641605779</v>
      </c>
      <c r="L440" s="62">
        <f>EFEITO!$N$440*EFEITO!$AA$440</f>
        <v>114.53576829189028</v>
      </c>
      <c r="M440" s="62">
        <f>$J$440-EFEITO!$K$440*EFEITO!$Y$440</f>
        <v>0</v>
      </c>
      <c r="N440" s="62">
        <f ca="1">$K$440-EFEITO!$M$440*EFEITO!$Z$440</f>
        <v>0</v>
      </c>
      <c r="O440" s="62">
        <f>$L$440-EFEITO!$O$440*EFEITO!$AA$440</f>
        <v>0</v>
      </c>
      <c r="P440" s="45"/>
      <c r="Q440" s="45"/>
      <c r="R440" s="45"/>
      <c r="S440" s="45"/>
      <c r="T440" s="45"/>
      <c r="U440" s="45"/>
      <c r="V440" s="45"/>
      <c r="W440" s="45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41" t="s">
        <v>57</v>
      </c>
      <c r="B441" s="41" t="s">
        <v>33</v>
      </c>
      <c r="C441" s="41" t="s">
        <v>23</v>
      </c>
      <c r="D441" s="41" t="s">
        <v>50</v>
      </c>
      <c r="E441" s="41" t="s">
        <v>25</v>
      </c>
      <c r="F441" s="41" t="s">
        <v>25</v>
      </c>
      <c r="G441" s="41" t="s">
        <v>25</v>
      </c>
      <c r="H441" s="41" t="s">
        <v>25</v>
      </c>
      <c r="I441" s="61">
        <v>44774</v>
      </c>
      <c r="J441" s="62">
        <f>EFEITO!$J$441*EFEITO!$Y$441</f>
        <v>0</v>
      </c>
      <c r="K441" s="62">
        <f ca="1">EFEITO!$L$441*EFEITO!$Z$441</f>
        <v>10.314440806430197</v>
      </c>
      <c r="L441" s="62">
        <f>EFEITO!$N$441*EFEITO!$AA$441</f>
        <v>3.4429589666900884</v>
      </c>
      <c r="M441" s="62">
        <f>$J$441-EFEITO!$K$441*EFEITO!$Y$441</f>
        <v>0</v>
      </c>
      <c r="N441" s="62">
        <f ca="1">$K$441-EFEITO!$M$441*EFEITO!$Z$441</f>
        <v>0</v>
      </c>
      <c r="O441" s="62">
        <f>$L$441-EFEITO!$O$441*EFEITO!$AA$441</f>
        <v>0</v>
      </c>
      <c r="P441" s="45"/>
      <c r="Q441" s="45"/>
      <c r="R441" s="45"/>
      <c r="S441" s="45"/>
      <c r="T441" s="45"/>
      <c r="U441" s="45"/>
      <c r="V441" s="45"/>
      <c r="W441" s="45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41" t="s">
        <v>21</v>
      </c>
      <c r="B442" s="41" t="s">
        <v>33</v>
      </c>
      <c r="C442" s="41" t="s">
        <v>23</v>
      </c>
      <c r="D442" s="41" t="s">
        <v>34</v>
      </c>
      <c r="E442" s="41" t="s">
        <v>25</v>
      </c>
      <c r="F442" s="41" t="s">
        <v>25</v>
      </c>
      <c r="G442" s="41" t="s">
        <v>25</v>
      </c>
      <c r="H442" s="41" t="s">
        <v>25</v>
      </c>
      <c r="I442" s="61">
        <v>44440</v>
      </c>
      <c r="J442" s="62">
        <f>EFEITO!$J$442*EFEITO!$Y$442</f>
        <v>0</v>
      </c>
      <c r="K442" s="62">
        <f ca="1">EFEITO!$L$442*EFEITO!$Z$442</f>
        <v>144858.75720305406</v>
      </c>
      <c r="L442" s="62">
        <f>EFEITO!$N$442*EFEITO!$AA$442</f>
        <v>48353.833850586721</v>
      </c>
      <c r="M442" s="62">
        <f>$J$442-EFEITO!$K$442*EFEITO!$Y$442</f>
        <v>0</v>
      </c>
      <c r="N442" s="62">
        <f ca="1">$K$442-EFEITO!$M$442*EFEITO!$Z$442</f>
        <v>0</v>
      </c>
      <c r="O442" s="62">
        <f>$L$442-EFEITO!$O$442*EFEITO!$AA$442</f>
        <v>0</v>
      </c>
      <c r="P442" s="45"/>
      <c r="Q442" s="45"/>
      <c r="R442" s="45"/>
      <c r="S442" s="45"/>
      <c r="T442" s="45"/>
      <c r="U442" s="45"/>
      <c r="V442" s="45"/>
      <c r="W442" s="45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41" t="s">
        <v>28</v>
      </c>
      <c r="B443" s="41" t="s">
        <v>33</v>
      </c>
      <c r="C443" s="41" t="s">
        <v>23</v>
      </c>
      <c r="D443" s="41" t="s">
        <v>34</v>
      </c>
      <c r="E443" s="41" t="s">
        <v>25</v>
      </c>
      <c r="F443" s="41" t="s">
        <v>25</v>
      </c>
      <c r="G443" s="41" t="s">
        <v>25</v>
      </c>
      <c r="H443" s="41" t="s">
        <v>25</v>
      </c>
      <c r="I443" s="61">
        <v>44440</v>
      </c>
      <c r="J443" s="62">
        <f>EFEITO!$J$443*EFEITO!$Y$443</f>
        <v>0</v>
      </c>
      <c r="K443" s="62">
        <f ca="1">EFEITO!$L$443*EFEITO!$Z$443</f>
        <v>2913.4857131229833</v>
      </c>
      <c r="L443" s="62">
        <f>EFEITO!$N$443*EFEITO!$AA$443</f>
        <v>972.52114279106036</v>
      </c>
      <c r="M443" s="62">
        <f>$J$443-EFEITO!$K$443*EFEITO!$Y$443</f>
        <v>0</v>
      </c>
      <c r="N443" s="62">
        <f ca="1">$K$443-EFEITO!$M$443*EFEITO!$Z$443</f>
        <v>0</v>
      </c>
      <c r="O443" s="62">
        <f>$L$443-EFEITO!$O$443*EFEITO!$AA$443</f>
        <v>0</v>
      </c>
      <c r="P443" s="45"/>
      <c r="Q443" s="45"/>
      <c r="R443" s="45"/>
      <c r="S443" s="45"/>
      <c r="T443" s="45"/>
      <c r="U443" s="45"/>
      <c r="V443" s="45"/>
      <c r="W443" s="45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41" t="s">
        <v>21</v>
      </c>
      <c r="B444" s="41" t="s">
        <v>33</v>
      </c>
      <c r="C444" s="41" t="s">
        <v>23</v>
      </c>
      <c r="D444" s="41" t="s">
        <v>34</v>
      </c>
      <c r="E444" s="41" t="s">
        <v>25</v>
      </c>
      <c r="F444" s="41" t="s">
        <v>25</v>
      </c>
      <c r="G444" s="41" t="s">
        <v>25</v>
      </c>
      <c r="H444" s="41" t="s">
        <v>25</v>
      </c>
      <c r="I444" s="61">
        <v>44470</v>
      </c>
      <c r="J444" s="62">
        <f>EFEITO!$J$444*EFEITO!$Y$444</f>
        <v>0</v>
      </c>
      <c r="K444" s="62">
        <f ca="1">EFEITO!$L$444*EFEITO!$Z$444</f>
        <v>138710.66285303459</v>
      </c>
      <c r="L444" s="62">
        <f>EFEITO!$N$444*EFEITO!$AA$444</f>
        <v>46301.600775841653</v>
      </c>
      <c r="M444" s="62">
        <f>$J$444-EFEITO!$K$444*EFEITO!$Y$444</f>
        <v>0</v>
      </c>
      <c r="N444" s="62">
        <f ca="1">$K$444-EFEITO!$M$444*EFEITO!$Z$444</f>
        <v>0</v>
      </c>
      <c r="O444" s="62">
        <f>$L$444-EFEITO!$O$444*EFEITO!$AA$444</f>
        <v>0</v>
      </c>
      <c r="P444" s="45"/>
      <c r="Q444" s="45"/>
      <c r="R444" s="45"/>
      <c r="S444" s="45"/>
      <c r="T444" s="45"/>
      <c r="U444" s="45"/>
      <c r="V444" s="45"/>
      <c r="W444" s="45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41" t="s">
        <v>28</v>
      </c>
      <c r="B445" s="41" t="s">
        <v>33</v>
      </c>
      <c r="C445" s="41" t="s">
        <v>23</v>
      </c>
      <c r="D445" s="41" t="s">
        <v>34</v>
      </c>
      <c r="E445" s="41" t="s">
        <v>25</v>
      </c>
      <c r="F445" s="41" t="s">
        <v>25</v>
      </c>
      <c r="G445" s="41" t="s">
        <v>25</v>
      </c>
      <c r="H445" s="41" t="s">
        <v>25</v>
      </c>
      <c r="I445" s="61">
        <v>44470</v>
      </c>
      <c r="J445" s="62">
        <f>EFEITO!$J$445*EFEITO!$Y$445</f>
        <v>0</v>
      </c>
      <c r="K445" s="62">
        <f ca="1">EFEITO!$L$445*EFEITO!$Z$445</f>
        <v>2665.2515043815629</v>
      </c>
      <c r="L445" s="62">
        <f>EFEITO!$N$445*EFEITO!$AA$445</f>
        <v>889.66059699271887</v>
      </c>
      <c r="M445" s="62">
        <f>$J$445-EFEITO!$K$445*EFEITO!$Y$445</f>
        <v>0</v>
      </c>
      <c r="N445" s="62">
        <f ca="1">$K$445-EFEITO!$M$445*EFEITO!$Z$445</f>
        <v>0</v>
      </c>
      <c r="O445" s="62">
        <f>$L$445-EFEITO!$O$445*EFEITO!$AA$445</f>
        <v>0</v>
      </c>
      <c r="P445" s="45"/>
      <c r="Q445" s="45"/>
      <c r="R445" s="45"/>
      <c r="S445" s="45"/>
      <c r="T445" s="45"/>
      <c r="U445" s="45"/>
      <c r="V445" s="45"/>
      <c r="W445" s="45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41" t="s">
        <v>21</v>
      </c>
      <c r="B446" s="41" t="s">
        <v>33</v>
      </c>
      <c r="C446" s="41" t="s">
        <v>23</v>
      </c>
      <c r="D446" s="41" t="s">
        <v>34</v>
      </c>
      <c r="E446" s="41" t="s">
        <v>25</v>
      </c>
      <c r="F446" s="41" t="s">
        <v>25</v>
      </c>
      <c r="G446" s="41" t="s">
        <v>25</v>
      </c>
      <c r="H446" s="41" t="s">
        <v>25</v>
      </c>
      <c r="I446" s="61">
        <v>44501</v>
      </c>
      <c r="J446" s="62">
        <f>EFEITO!$J$446*EFEITO!$Y$446</f>
        <v>0</v>
      </c>
      <c r="K446" s="62">
        <f ca="1">EFEITO!$L$446*EFEITO!$Z$446</f>
        <v>136250.32490600744</v>
      </c>
      <c r="L446" s="62">
        <f>EFEITO!$N$446*EFEITO!$AA$446</f>
        <v>45480.340296987175</v>
      </c>
      <c r="M446" s="62">
        <f>$J$446-EFEITO!$K$446*EFEITO!$Y$446</f>
        <v>0</v>
      </c>
      <c r="N446" s="62">
        <f ca="1">$K$446-EFEITO!$M$446*EFEITO!$Z$446</f>
        <v>0</v>
      </c>
      <c r="O446" s="62">
        <f>$L$446-EFEITO!$O$446*EFEITO!$AA$446</f>
        <v>0</v>
      </c>
      <c r="P446" s="45"/>
      <c r="Q446" s="45"/>
      <c r="R446" s="45"/>
      <c r="S446" s="45"/>
      <c r="T446" s="45"/>
      <c r="U446" s="45"/>
      <c r="V446" s="45"/>
      <c r="W446" s="45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41" t="s">
        <v>28</v>
      </c>
      <c r="B447" s="41" t="s">
        <v>33</v>
      </c>
      <c r="C447" s="41" t="s">
        <v>23</v>
      </c>
      <c r="D447" s="41" t="s">
        <v>34</v>
      </c>
      <c r="E447" s="41" t="s">
        <v>25</v>
      </c>
      <c r="F447" s="41" t="s">
        <v>25</v>
      </c>
      <c r="G447" s="41" t="s">
        <v>25</v>
      </c>
      <c r="H447" s="41" t="s">
        <v>25</v>
      </c>
      <c r="I447" s="61">
        <v>44501</v>
      </c>
      <c r="J447" s="62">
        <f>EFEITO!$J$447*EFEITO!$Y$447</f>
        <v>0</v>
      </c>
      <c r="K447" s="62">
        <f ca="1">EFEITO!$L$447*EFEITO!$Z$447</f>
        <v>1001.1883876108244</v>
      </c>
      <c r="L447" s="62">
        <f>EFEITO!$N$447*EFEITO!$AA$447</f>
        <v>334.19655036671793</v>
      </c>
      <c r="M447" s="62">
        <f>$J$447-EFEITO!$K$447*EFEITO!$Y$447</f>
        <v>0</v>
      </c>
      <c r="N447" s="62">
        <f ca="1">$K$447-EFEITO!$M$447*EFEITO!$Z$447</f>
        <v>0</v>
      </c>
      <c r="O447" s="62">
        <f>$L$447-EFEITO!$O$447*EFEITO!$AA$447</f>
        <v>0</v>
      </c>
      <c r="P447" s="45"/>
      <c r="Q447" s="45"/>
      <c r="R447" s="45"/>
      <c r="S447" s="45"/>
      <c r="T447" s="45"/>
      <c r="U447" s="45"/>
      <c r="V447" s="45"/>
      <c r="W447" s="45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41" t="s">
        <v>21</v>
      </c>
      <c r="B448" s="41" t="s">
        <v>33</v>
      </c>
      <c r="C448" s="41" t="s">
        <v>23</v>
      </c>
      <c r="D448" s="41" t="s">
        <v>34</v>
      </c>
      <c r="E448" s="41" t="s">
        <v>25</v>
      </c>
      <c r="F448" s="41" t="s">
        <v>25</v>
      </c>
      <c r="G448" s="41" t="s">
        <v>25</v>
      </c>
      <c r="H448" s="41" t="s">
        <v>25</v>
      </c>
      <c r="I448" s="61">
        <v>44531</v>
      </c>
      <c r="J448" s="62">
        <f>EFEITO!$J$448*EFEITO!$Y$448</f>
        <v>0</v>
      </c>
      <c r="K448" s="62">
        <f ca="1">EFEITO!$L$448*EFEITO!$Z$448</f>
        <v>140367.50586124082</v>
      </c>
      <c r="L448" s="62">
        <f>EFEITO!$N$448*EFEITO!$AA$448</f>
        <v>46854.654751190967</v>
      </c>
      <c r="M448" s="62">
        <f>$J$448-EFEITO!$K$448*EFEITO!$Y$448</f>
        <v>0</v>
      </c>
      <c r="N448" s="62">
        <f ca="1">$K$448-EFEITO!$M$448*EFEITO!$Z$448</f>
        <v>0</v>
      </c>
      <c r="O448" s="62">
        <f>$L$448-EFEITO!$O$448*EFEITO!$AA$448</f>
        <v>0</v>
      </c>
      <c r="P448" s="45"/>
      <c r="Q448" s="45"/>
      <c r="R448" s="45"/>
      <c r="S448" s="45"/>
      <c r="T448" s="45"/>
      <c r="U448" s="45"/>
      <c r="V448" s="45"/>
      <c r="W448" s="45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41" t="s">
        <v>28</v>
      </c>
      <c r="B449" s="41" t="s">
        <v>33</v>
      </c>
      <c r="C449" s="41" t="s">
        <v>23</v>
      </c>
      <c r="D449" s="41" t="s">
        <v>34</v>
      </c>
      <c r="E449" s="41" t="s">
        <v>25</v>
      </c>
      <c r="F449" s="41" t="s">
        <v>25</v>
      </c>
      <c r="G449" s="41" t="s">
        <v>25</v>
      </c>
      <c r="H449" s="41" t="s">
        <v>25</v>
      </c>
      <c r="I449" s="61">
        <v>44531</v>
      </c>
      <c r="J449" s="62">
        <f>EFEITO!$J$449*EFEITO!$Y$449</f>
        <v>0</v>
      </c>
      <c r="K449" s="62">
        <f ca="1">EFEITO!$L$449*EFEITO!$Z$449</f>
        <v>758.79902865971485</v>
      </c>
      <c r="L449" s="62">
        <f>EFEITO!$N$449*EFEITO!$AA$449</f>
        <v>253.28701464950083</v>
      </c>
      <c r="M449" s="62">
        <f>$J$449-EFEITO!$K$449*EFEITO!$Y$449</f>
        <v>0</v>
      </c>
      <c r="N449" s="62">
        <f ca="1">$K$449-EFEITO!$M$449*EFEITO!$Z$449</f>
        <v>0</v>
      </c>
      <c r="O449" s="62">
        <f>$L$449-EFEITO!$O$449*EFEITO!$AA$449</f>
        <v>0</v>
      </c>
      <c r="P449" s="45"/>
      <c r="Q449" s="45"/>
      <c r="R449" s="45"/>
      <c r="S449" s="45"/>
      <c r="T449" s="45"/>
      <c r="U449" s="45"/>
      <c r="V449" s="45"/>
      <c r="W449" s="45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41" t="s">
        <v>21</v>
      </c>
      <c r="B450" s="41" t="s">
        <v>33</v>
      </c>
      <c r="C450" s="41" t="s">
        <v>23</v>
      </c>
      <c r="D450" s="41" t="s">
        <v>34</v>
      </c>
      <c r="E450" s="41" t="s">
        <v>25</v>
      </c>
      <c r="F450" s="41" t="s">
        <v>25</v>
      </c>
      <c r="G450" s="41" t="s">
        <v>25</v>
      </c>
      <c r="H450" s="41" t="s">
        <v>25</v>
      </c>
      <c r="I450" s="61">
        <v>44562</v>
      </c>
      <c r="J450" s="62">
        <f>EFEITO!$J$450*EFEITO!$Y$450</f>
        <v>0</v>
      </c>
      <c r="K450" s="62">
        <f ca="1">EFEITO!$L$450*EFEITO!$Z$450</f>
        <v>124030.46306793603</v>
      </c>
      <c r="L450" s="62">
        <f>EFEITO!$N$450*EFEITO!$AA$450</f>
        <v>41401.352043850537</v>
      </c>
      <c r="M450" s="62">
        <f>$J$450-EFEITO!$K$450*EFEITO!$Y$450</f>
        <v>0</v>
      </c>
      <c r="N450" s="62">
        <f ca="1">$K$450-EFEITO!$M$450*EFEITO!$Z$450</f>
        <v>0</v>
      </c>
      <c r="O450" s="62">
        <f>$L$450-EFEITO!$O$450*EFEITO!$AA$450</f>
        <v>0</v>
      </c>
      <c r="P450" s="45"/>
      <c r="Q450" s="45"/>
      <c r="R450" s="45"/>
      <c r="S450" s="45"/>
      <c r="T450" s="45"/>
      <c r="U450" s="45"/>
      <c r="V450" s="45"/>
      <c r="W450" s="45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41" t="s">
        <v>28</v>
      </c>
      <c r="B451" s="41" t="s">
        <v>33</v>
      </c>
      <c r="C451" s="41" t="s">
        <v>23</v>
      </c>
      <c r="D451" s="41" t="s">
        <v>34</v>
      </c>
      <c r="E451" s="41" t="s">
        <v>25</v>
      </c>
      <c r="F451" s="41" t="s">
        <v>25</v>
      </c>
      <c r="G451" s="41" t="s">
        <v>25</v>
      </c>
      <c r="H451" s="41" t="s">
        <v>25</v>
      </c>
      <c r="I451" s="61">
        <v>44562</v>
      </c>
      <c r="J451" s="62">
        <f>EFEITO!$J$451*EFEITO!$Y$451</f>
        <v>0</v>
      </c>
      <c r="K451" s="62">
        <f ca="1">EFEITO!$L$451*EFEITO!$Z$451</f>
        <v>68.762938709534652</v>
      </c>
      <c r="L451" s="62">
        <f>EFEITO!$N$451*EFEITO!$AA$451</f>
        <v>22.953059777933927</v>
      </c>
      <c r="M451" s="62">
        <f>$J$451-EFEITO!$K$451*EFEITO!$Y$451</f>
        <v>0</v>
      </c>
      <c r="N451" s="62">
        <f ca="1">$K$451-EFEITO!$M$451*EFEITO!$Z$451</f>
        <v>0</v>
      </c>
      <c r="O451" s="62">
        <f>$L$451-EFEITO!$O$451*EFEITO!$AA$451</f>
        <v>0</v>
      </c>
      <c r="P451" s="45"/>
      <c r="Q451" s="45"/>
      <c r="R451" s="45"/>
      <c r="S451" s="45"/>
      <c r="T451" s="45"/>
      <c r="U451" s="45"/>
      <c r="V451" s="45"/>
      <c r="W451" s="45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41" t="s">
        <v>21</v>
      </c>
      <c r="B452" s="41" t="s">
        <v>33</v>
      </c>
      <c r="C452" s="41" t="s">
        <v>23</v>
      </c>
      <c r="D452" s="41" t="s">
        <v>34</v>
      </c>
      <c r="E452" s="41" t="s">
        <v>25</v>
      </c>
      <c r="F452" s="41" t="s">
        <v>25</v>
      </c>
      <c r="G452" s="41" t="s">
        <v>25</v>
      </c>
      <c r="H452" s="41" t="s">
        <v>25</v>
      </c>
      <c r="I452" s="61">
        <v>44593</v>
      </c>
      <c r="J452" s="62">
        <f>EFEITO!$J$452*EFEITO!$Y$452</f>
        <v>0</v>
      </c>
      <c r="K452" s="62">
        <f ca="1">EFEITO!$L$452*EFEITO!$Z$452</f>
        <v>155547.95602545125</v>
      </c>
      <c r="L452" s="62">
        <f>EFEITO!$N$452*EFEITO!$AA$452</f>
        <v>51921.886993066553</v>
      </c>
      <c r="M452" s="62">
        <f>$J$452-EFEITO!$K$452*EFEITO!$Y$452</f>
        <v>0</v>
      </c>
      <c r="N452" s="62">
        <f ca="1">$K$452-EFEITO!$M$452*EFEITO!$Z$452</f>
        <v>0</v>
      </c>
      <c r="O452" s="62">
        <f>$L$452-EFEITO!$O$452*EFEITO!$AA$452</f>
        <v>0</v>
      </c>
      <c r="P452" s="45"/>
      <c r="Q452" s="45"/>
      <c r="R452" s="45"/>
      <c r="S452" s="45"/>
      <c r="T452" s="45"/>
      <c r="U452" s="45"/>
      <c r="V452" s="45"/>
      <c r="W452" s="45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41" t="s">
        <v>28</v>
      </c>
      <c r="B453" s="41" t="s">
        <v>33</v>
      </c>
      <c r="C453" s="41" t="s">
        <v>23</v>
      </c>
      <c r="D453" s="41" t="s">
        <v>34</v>
      </c>
      <c r="E453" s="41" t="s">
        <v>25</v>
      </c>
      <c r="F453" s="41" t="s">
        <v>25</v>
      </c>
      <c r="G453" s="41" t="s">
        <v>25</v>
      </c>
      <c r="H453" s="41" t="s">
        <v>25</v>
      </c>
      <c r="I453" s="61">
        <v>44593</v>
      </c>
      <c r="J453" s="62">
        <f>EFEITO!$J$453*EFEITO!$Y$453</f>
        <v>0</v>
      </c>
      <c r="K453" s="62">
        <f ca="1">EFEITO!$L$453*EFEITO!$Z$453</f>
        <v>68.762938709534652</v>
      </c>
      <c r="L453" s="62">
        <f>EFEITO!$N$453*EFEITO!$AA$453</f>
        <v>22.953059777933927</v>
      </c>
      <c r="M453" s="62">
        <f>$J$453-EFEITO!$K$453*EFEITO!$Y$453</f>
        <v>0</v>
      </c>
      <c r="N453" s="62">
        <f ca="1">$K$453-EFEITO!$M$453*EFEITO!$Z$453</f>
        <v>0</v>
      </c>
      <c r="O453" s="62">
        <f>$L$453-EFEITO!$O$453*EFEITO!$AA$453</f>
        <v>0</v>
      </c>
      <c r="P453" s="45"/>
      <c r="Q453" s="45"/>
      <c r="R453" s="45"/>
      <c r="S453" s="45"/>
      <c r="T453" s="45"/>
      <c r="U453" s="45"/>
      <c r="V453" s="45"/>
      <c r="W453" s="45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41" t="s">
        <v>21</v>
      </c>
      <c r="B454" s="41" t="s">
        <v>33</v>
      </c>
      <c r="C454" s="41" t="s">
        <v>23</v>
      </c>
      <c r="D454" s="41" t="s">
        <v>34</v>
      </c>
      <c r="E454" s="41" t="s">
        <v>25</v>
      </c>
      <c r="F454" s="41" t="s">
        <v>25</v>
      </c>
      <c r="G454" s="41" t="s">
        <v>25</v>
      </c>
      <c r="H454" s="41" t="s">
        <v>25</v>
      </c>
      <c r="I454" s="61">
        <v>44621</v>
      </c>
      <c r="J454" s="62">
        <f>EFEITO!$J$454*EFEITO!$Y$454</f>
        <v>0</v>
      </c>
      <c r="K454" s="62">
        <f ca="1">EFEITO!$L$454*EFEITO!$Z$454</f>
        <v>156922.18335556128</v>
      </c>
      <c r="L454" s="62">
        <f>EFEITO!$N$454*EFEITO!$AA$454</f>
        <v>52380.603892728563</v>
      </c>
      <c r="M454" s="62">
        <f>$J$454-EFEITO!$K$454*EFEITO!$Y$454</f>
        <v>0</v>
      </c>
      <c r="N454" s="62">
        <f ca="1">$K$454-EFEITO!$M$454*EFEITO!$Z$454</f>
        <v>0</v>
      </c>
      <c r="O454" s="62">
        <f>$L$454-EFEITO!$O$454*EFEITO!$AA$454</f>
        <v>0</v>
      </c>
      <c r="P454" s="45"/>
      <c r="Q454" s="45"/>
      <c r="R454" s="45"/>
      <c r="S454" s="45"/>
      <c r="T454" s="45"/>
      <c r="U454" s="45"/>
      <c r="V454" s="45"/>
      <c r="W454" s="45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41" t="s">
        <v>28</v>
      </c>
      <c r="B455" s="41" t="s">
        <v>33</v>
      </c>
      <c r="C455" s="41" t="s">
        <v>23</v>
      </c>
      <c r="D455" s="41" t="s">
        <v>34</v>
      </c>
      <c r="E455" s="41" t="s">
        <v>25</v>
      </c>
      <c r="F455" s="41" t="s">
        <v>25</v>
      </c>
      <c r="G455" s="41" t="s">
        <v>25</v>
      </c>
      <c r="H455" s="41" t="s">
        <v>25</v>
      </c>
      <c r="I455" s="61">
        <v>44621</v>
      </c>
      <c r="J455" s="62">
        <f>EFEITO!$J$455*EFEITO!$Y$455</f>
        <v>0</v>
      </c>
      <c r="K455" s="62">
        <f ca="1">EFEITO!$L$455*EFEITO!$Z$455</f>
        <v>68.762938709534652</v>
      </c>
      <c r="L455" s="62">
        <f>EFEITO!$N$455*EFEITO!$AA$455</f>
        <v>22.953059777933927</v>
      </c>
      <c r="M455" s="62">
        <f>$J$455-EFEITO!$K$455*EFEITO!$Y$455</f>
        <v>0</v>
      </c>
      <c r="N455" s="62">
        <f ca="1">$K$455-EFEITO!$M$455*EFEITO!$Z$455</f>
        <v>0</v>
      </c>
      <c r="O455" s="62">
        <f>$L$455-EFEITO!$O$455*EFEITO!$AA$455</f>
        <v>0</v>
      </c>
      <c r="P455" s="45"/>
      <c r="Q455" s="45"/>
      <c r="R455" s="45"/>
      <c r="S455" s="45"/>
      <c r="T455" s="45"/>
      <c r="U455" s="45"/>
      <c r="V455" s="45"/>
      <c r="W455" s="45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41" t="s">
        <v>21</v>
      </c>
      <c r="B456" s="41" t="s">
        <v>33</v>
      </c>
      <c r="C456" s="41" t="s">
        <v>23</v>
      </c>
      <c r="D456" s="41" t="s">
        <v>34</v>
      </c>
      <c r="E456" s="41" t="s">
        <v>25</v>
      </c>
      <c r="F456" s="41" t="s">
        <v>25</v>
      </c>
      <c r="G456" s="41" t="s">
        <v>25</v>
      </c>
      <c r="H456" s="41" t="s">
        <v>25</v>
      </c>
      <c r="I456" s="61">
        <v>44652</v>
      </c>
      <c r="J456" s="62">
        <f>EFEITO!$J$456*EFEITO!$Y$456</f>
        <v>0</v>
      </c>
      <c r="K456" s="62">
        <f ca="1">EFEITO!$L$456*EFEITO!$Z$456</f>
        <v>151141.28309825071</v>
      </c>
      <c r="L456" s="62">
        <f>EFEITO!$N$456*EFEITO!$AA$456</f>
        <v>50450.940157197656</v>
      </c>
      <c r="M456" s="62">
        <f>$J$456-EFEITO!$K$456*EFEITO!$Y$456</f>
        <v>0</v>
      </c>
      <c r="N456" s="62">
        <f ca="1">$K$456-EFEITO!$M$456*EFEITO!$Z$456</f>
        <v>0</v>
      </c>
      <c r="O456" s="62">
        <f>$L$456-EFEITO!$O$456*EFEITO!$AA$456</f>
        <v>0</v>
      </c>
      <c r="P456" s="45"/>
      <c r="Q456" s="45"/>
      <c r="R456" s="45"/>
      <c r="S456" s="45"/>
      <c r="T456" s="45"/>
      <c r="U456" s="45"/>
      <c r="V456" s="45"/>
      <c r="W456" s="45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41" t="s">
        <v>28</v>
      </c>
      <c r="B457" s="41" t="s">
        <v>33</v>
      </c>
      <c r="C457" s="41" t="s">
        <v>23</v>
      </c>
      <c r="D457" s="41" t="s">
        <v>34</v>
      </c>
      <c r="E457" s="41" t="s">
        <v>25</v>
      </c>
      <c r="F457" s="41" t="s">
        <v>25</v>
      </c>
      <c r="G457" s="41" t="s">
        <v>25</v>
      </c>
      <c r="H457" s="41" t="s">
        <v>25</v>
      </c>
      <c r="I457" s="61">
        <v>44652</v>
      </c>
      <c r="J457" s="62">
        <f>EFEITO!$J$457*EFEITO!$Y$457</f>
        <v>0</v>
      </c>
      <c r="K457" s="62">
        <f ca="1">EFEITO!$L$457*EFEITO!$Z$457</f>
        <v>1001.8760169979199</v>
      </c>
      <c r="L457" s="62">
        <f>EFEITO!$N$457*EFEITO!$AA$457</f>
        <v>334.42608096449732</v>
      </c>
      <c r="M457" s="62">
        <f>$J$457-EFEITO!$K$457*EFEITO!$Y$457</f>
        <v>0</v>
      </c>
      <c r="N457" s="62">
        <f ca="1">$K$457-EFEITO!$M$457*EFEITO!$Z$457</f>
        <v>0</v>
      </c>
      <c r="O457" s="62">
        <f>$L$457-EFEITO!$O$457*EFEITO!$AA$457</f>
        <v>0</v>
      </c>
      <c r="P457" s="45"/>
      <c r="Q457" s="45"/>
      <c r="R457" s="45"/>
      <c r="S457" s="45"/>
      <c r="T457" s="45"/>
      <c r="U457" s="45"/>
      <c r="V457" s="45"/>
      <c r="W457" s="45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41" t="s">
        <v>21</v>
      </c>
      <c r="B458" s="41" t="s">
        <v>33</v>
      </c>
      <c r="C458" s="41" t="s">
        <v>23</v>
      </c>
      <c r="D458" s="41" t="s">
        <v>34</v>
      </c>
      <c r="E458" s="41" t="s">
        <v>25</v>
      </c>
      <c r="F458" s="41" t="s">
        <v>25</v>
      </c>
      <c r="G458" s="41" t="s">
        <v>25</v>
      </c>
      <c r="H458" s="41" t="s">
        <v>25</v>
      </c>
      <c r="I458" s="61">
        <v>44682</v>
      </c>
      <c r="J458" s="62">
        <f>EFEITO!$J$458*EFEITO!$Y$458</f>
        <v>0</v>
      </c>
      <c r="K458" s="62">
        <f ca="1">EFEITO!$L$458*EFEITO!$Z$458</f>
        <v>137986.58910842318</v>
      </c>
      <c r="L458" s="62">
        <f>EFEITO!$N$458*EFEITO!$AA$458</f>
        <v>46059.905056380005</v>
      </c>
      <c r="M458" s="62">
        <f>$J$458-EFEITO!$K$458*EFEITO!$Y$458</f>
        <v>0</v>
      </c>
      <c r="N458" s="62">
        <f ca="1">$K$458-EFEITO!$M$458*EFEITO!$Z$458</f>
        <v>0</v>
      </c>
      <c r="O458" s="62">
        <f>$L$458-EFEITO!$O$458*EFEITO!$AA$458</f>
        <v>0</v>
      </c>
      <c r="P458" s="45"/>
      <c r="Q458" s="45"/>
      <c r="R458" s="45"/>
      <c r="S458" s="45"/>
      <c r="T458" s="45"/>
      <c r="U458" s="45"/>
      <c r="V458" s="45"/>
      <c r="W458" s="45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41" t="s">
        <v>28</v>
      </c>
      <c r="B459" s="41" t="s">
        <v>33</v>
      </c>
      <c r="C459" s="41" t="s">
        <v>23</v>
      </c>
      <c r="D459" s="41" t="s">
        <v>34</v>
      </c>
      <c r="E459" s="41" t="s">
        <v>25</v>
      </c>
      <c r="F459" s="41" t="s">
        <v>25</v>
      </c>
      <c r="G459" s="41" t="s">
        <v>25</v>
      </c>
      <c r="H459" s="41" t="s">
        <v>25</v>
      </c>
      <c r="I459" s="61">
        <v>44682</v>
      </c>
      <c r="J459" s="62">
        <f>EFEITO!$J$459*EFEITO!$Y$459</f>
        <v>0</v>
      </c>
      <c r="K459" s="62">
        <f ca="1">EFEITO!$L$459*EFEITO!$Z$459</f>
        <v>2168.4392722051753</v>
      </c>
      <c r="L459" s="62">
        <f>EFEITO!$N$459*EFEITO!$AA$459</f>
        <v>723.82474009714633</v>
      </c>
      <c r="M459" s="62">
        <f>$J$459-EFEITO!$K$459*EFEITO!$Y$459</f>
        <v>0</v>
      </c>
      <c r="N459" s="62">
        <f ca="1">$K$459-EFEITO!$M$459*EFEITO!$Z$459</f>
        <v>0</v>
      </c>
      <c r="O459" s="62">
        <f>$L$459-EFEITO!$O$459*EFEITO!$AA$459</f>
        <v>0</v>
      </c>
      <c r="P459" s="45"/>
      <c r="Q459" s="45"/>
      <c r="R459" s="45"/>
      <c r="S459" s="45"/>
      <c r="T459" s="45"/>
      <c r="U459" s="45"/>
      <c r="V459" s="45"/>
      <c r="W459" s="45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41" t="s">
        <v>21</v>
      </c>
      <c r="B460" s="41" t="s">
        <v>33</v>
      </c>
      <c r="C460" s="41" t="s">
        <v>23</v>
      </c>
      <c r="D460" s="41" t="s">
        <v>34</v>
      </c>
      <c r="E460" s="41" t="s">
        <v>25</v>
      </c>
      <c r="F460" s="41" t="s">
        <v>25</v>
      </c>
      <c r="G460" s="41" t="s">
        <v>25</v>
      </c>
      <c r="H460" s="41" t="s">
        <v>25</v>
      </c>
      <c r="I460" s="61">
        <v>44713</v>
      </c>
      <c r="J460" s="62">
        <f>EFEITO!$J$460*EFEITO!$Y$460</f>
        <v>0</v>
      </c>
      <c r="K460" s="62">
        <f ca="1">EFEITO!$L$460*EFEITO!$Z$460</f>
        <v>134610.32881778502</v>
      </c>
      <c r="L460" s="62">
        <f>EFEITO!$N$460*EFEITO!$AA$460</f>
        <v>44932.909821283451</v>
      </c>
      <c r="M460" s="62">
        <f>$J$460-EFEITO!$K$460*EFEITO!$Y$460</f>
        <v>0</v>
      </c>
      <c r="N460" s="62">
        <f ca="1">$K$460-EFEITO!$M$460*EFEITO!$Z$460</f>
        <v>0</v>
      </c>
      <c r="O460" s="62">
        <f>$L$460-EFEITO!$O$460*EFEITO!$AA$460</f>
        <v>0</v>
      </c>
      <c r="P460" s="45"/>
      <c r="Q460" s="45"/>
      <c r="R460" s="45"/>
      <c r="S460" s="45"/>
      <c r="T460" s="45"/>
      <c r="U460" s="45"/>
      <c r="V460" s="45"/>
      <c r="W460" s="45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41" t="s">
        <v>28</v>
      </c>
      <c r="B461" s="41" t="s">
        <v>33</v>
      </c>
      <c r="C461" s="41" t="s">
        <v>23</v>
      </c>
      <c r="D461" s="41" t="s">
        <v>34</v>
      </c>
      <c r="E461" s="41" t="s">
        <v>25</v>
      </c>
      <c r="F461" s="41" t="s">
        <v>25</v>
      </c>
      <c r="G461" s="41" t="s">
        <v>25</v>
      </c>
      <c r="H461" s="41" t="s">
        <v>25</v>
      </c>
      <c r="I461" s="61">
        <v>44713</v>
      </c>
      <c r="J461" s="62">
        <f>EFEITO!$J$461*EFEITO!$Y$461</f>
        <v>0</v>
      </c>
      <c r="K461" s="62">
        <f ca="1">EFEITO!$L$461*EFEITO!$Z$461</f>
        <v>4211.7299959589973</v>
      </c>
      <c r="L461" s="62">
        <f>EFEITO!$N$461*EFEITO!$AA$461</f>
        <v>1405.8749113984529</v>
      </c>
      <c r="M461" s="62">
        <f>$J$461-EFEITO!$K$461*EFEITO!$Y$461</f>
        <v>0</v>
      </c>
      <c r="N461" s="62">
        <f ca="1">$K$461-EFEITO!$M$461*EFEITO!$Z$461</f>
        <v>0</v>
      </c>
      <c r="O461" s="62">
        <f>$L$461-EFEITO!$O$461*EFEITO!$AA$461</f>
        <v>0</v>
      </c>
      <c r="P461" s="45"/>
      <c r="Q461" s="45"/>
      <c r="R461" s="45"/>
      <c r="S461" s="45"/>
      <c r="T461" s="45"/>
      <c r="U461" s="45"/>
      <c r="V461" s="45"/>
      <c r="W461" s="45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41" t="s">
        <v>21</v>
      </c>
      <c r="B462" s="41" t="s">
        <v>33</v>
      </c>
      <c r="C462" s="41" t="s">
        <v>23</v>
      </c>
      <c r="D462" s="41" t="s">
        <v>34</v>
      </c>
      <c r="E462" s="41" t="s">
        <v>25</v>
      </c>
      <c r="F462" s="41" t="s">
        <v>25</v>
      </c>
      <c r="G462" s="41" t="s">
        <v>25</v>
      </c>
      <c r="H462" s="41" t="s">
        <v>25</v>
      </c>
      <c r="I462" s="61">
        <v>44743</v>
      </c>
      <c r="J462" s="62">
        <f>EFEITO!$J$462*EFEITO!$Y$462</f>
        <v>0</v>
      </c>
      <c r="K462" s="62">
        <f ca="1">EFEITO!$L$462*EFEITO!$Z$462</f>
        <v>129672.8060037469</v>
      </c>
      <c r="L462" s="62">
        <f>EFEITO!$N$462*EFEITO!$AA$462</f>
        <v>43284.765363928906</v>
      </c>
      <c r="M462" s="62">
        <f>$J$462-EFEITO!$K$462*EFEITO!$Y$462</f>
        <v>0</v>
      </c>
      <c r="N462" s="62">
        <f ca="1">$K$462-EFEITO!$M$462*EFEITO!$Z$462</f>
        <v>0</v>
      </c>
      <c r="O462" s="62">
        <f>$L$462-EFEITO!$O$462*EFEITO!$AA$462</f>
        <v>0</v>
      </c>
      <c r="P462" s="45"/>
      <c r="Q462" s="45"/>
      <c r="R462" s="45"/>
      <c r="S462" s="45"/>
      <c r="T462" s="45"/>
      <c r="U462" s="45"/>
      <c r="V462" s="45"/>
      <c r="W462" s="45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41" t="s">
        <v>28</v>
      </c>
      <c r="B463" s="41" t="s">
        <v>33</v>
      </c>
      <c r="C463" s="41" t="s">
        <v>23</v>
      </c>
      <c r="D463" s="41" t="s">
        <v>34</v>
      </c>
      <c r="E463" s="41" t="s">
        <v>25</v>
      </c>
      <c r="F463" s="41" t="s">
        <v>25</v>
      </c>
      <c r="G463" s="41" t="s">
        <v>25</v>
      </c>
      <c r="H463" s="41" t="s">
        <v>25</v>
      </c>
      <c r="I463" s="61">
        <v>44743</v>
      </c>
      <c r="J463" s="62">
        <f>EFEITO!$J$463*EFEITO!$Y$463</f>
        <v>0</v>
      </c>
      <c r="K463" s="62">
        <f ca="1">EFEITO!$L$463*EFEITO!$Z$463</f>
        <v>3499.6897656217661</v>
      </c>
      <c r="L463" s="62">
        <f>EFEITO!$N$463*EFEITO!$AA$463</f>
        <v>1168.1959773979472</v>
      </c>
      <c r="M463" s="62">
        <f>$J$463-EFEITO!$K$463*EFEITO!$Y$463</f>
        <v>0</v>
      </c>
      <c r="N463" s="62">
        <f ca="1">$K$463-EFEITO!$M$463*EFEITO!$Z$463</f>
        <v>0</v>
      </c>
      <c r="O463" s="62">
        <f>$L$463-EFEITO!$O$463*EFEITO!$AA$463</f>
        <v>0</v>
      </c>
      <c r="P463" s="45"/>
      <c r="Q463" s="45"/>
      <c r="R463" s="45"/>
      <c r="S463" s="45"/>
      <c r="T463" s="45"/>
      <c r="U463" s="45"/>
      <c r="V463" s="45"/>
      <c r="W463" s="45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41" t="s">
        <v>57</v>
      </c>
      <c r="B464" s="41" t="s">
        <v>33</v>
      </c>
      <c r="C464" s="41" t="s">
        <v>23</v>
      </c>
      <c r="D464" s="41" t="s">
        <v>34</v>
      </c>
      <c r="E464" s="41" t="s">
        <v>25</v>
      </c>
      <c r="F464" s="41" t="s">
        <v>25</v>
      </c>
      <c r="G464" s="41" t="s">
        <v>25</v>
      </c>
      <c r="H464" s="41" t="s">
        <v>25</v>
      </c>
      <c r="I464" s="61">
        <v>44774</v>
      </c>
      <c r="J464" s="62">
        <f>EFEITO!$J$464*EFEITO!$Y$464</f>
        <v>0</v>
      </c>
      <c r="K464" s="62">
        <f ca="1">EFEITO!$L$464*EFEITO!$Z$464</f>
        <v>129672.8060037469</v>
      </c>
      <c r="L464" s="62">
        <f>EFEITO!$N$464*EFEITO!$AA$464</f>
        <v>43284.765363928906</v>
      </c>
      <c r="M464" s="62">
        <f>$J$464-EFEITO!$K$464*EFEITO!$Y$464</f>
        <v>0</v>
      </c>
      <c r="N464" s="62">
        <f ca="1">$K$464-EFEITO!$M$464*EFEITO!$Z$464</f>
        <v>0</v>
      </c>
      <c r="O464" s="62">
        <f>$L$464-EFEITO!$O$464*EFEITO!$AA$464</f>
        <v>0</v>
      </c>
      <c r="P464" s="45"/>
      <c r="Q464" s="45"/>
      <c r="R464" s="45"/>
      <c r="S464" s="45"/>
      <c r="T464" s="45"/>
      <c r="U464" s="45"/>
      <c r="V464" s="45"/>
      <c r="W464" s="45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41" t="s">
        <v>57</v>
      </c>
      <c r="B465" s="41" t="s">
        <v>33</v>
      </c>
      <c r="C465" s="41" t="s">
        <v>23</v>
      </c>
      <c r="D465" s="41" t="s">
        <v>34</v>
      </c>
      <c r="E465" s="41" t="s">
        <v>25</v>
      </c>
      <c r="F465" s="41" t="s">
        <v>25</v>
      </c>
      <c r="G465" s="41" t="s">
        <v>25</v>
      </c>
      <c r="H465" s="41" t="s">
        <v>25</v>
      </c>
      <c r="I465" s="61">
        <v>44774</v>
      </c>
      <c r="J465" s="62">
        <f>EFEITO!$J$465*EFEITO!$Y$465</f>
        <v>0</v>
      </c>
      <c r="K465" s="62">
        <f ca="1">EFEITO!$L$465*EFEITO!$Z$465</f>
        <v>3499.6897656217661</v>
      </c>
      <c r="L465" s="62">
        <f>EFEITO!$N$465*EFEITO!$AA$465</f>
        <v>1168.1959773979472</v>
      </c>
      <c r="M465" s="62">
        <f>$J$465-EFEITO!$K$465*EFEITO!$Y$465</f>
        <v>0</v>
      </c>
      <c r="N465" s="62">
        <f ca="1">$K$465-EFEITO!$M$465*EFEITO!$Z$465</f>
        <v>0</v>
      </c>
      <c r="O465" s="62">
        <f>$L$465-EFEITO!$O$465*EFEITO!$AA$465</f>
        <v>0</v>
      </c>
      <c r="P465" s="45"/>
      <c r="Q465" s="45"/>
      <c r="R465" s="45"/>
      <c r="S465" s="45"/>
      <c r="T465" s="45"/>
      <c r="U465" s="45"/>
      <c r="V465" s="45"/>
      <c r="W465" s="45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41" t="s">
        <v>21</v>
      </c>
      <c r="B466" s="41" t="s">
        <v>33</v>
      </c>
      <c r="C466" s="41" t="s">
        <v>23</v>
      </c>
      <c r="D466" s="41" t="s">
        <v>44</v>
      </c>
      <c r="E466" s="41" t="s">
        <v>25</v>
      </c>
      <c r="F466" s="41" t="s">
        <v>25</v>
      </c>
      <c r="G466" s="41" t="s">
        <v>25</v>
      </c>
      <c r="H466" s="41" t="s">
        <v>25</v>
      </c>
      <c r="I466" s="61">
        <v>44440</v>
      </c>
      <c r="J466" s="62">
        <f>EFEITO!$J$466*EFEITO!$Y$466</f>
        <v>0</v>
      </c>
      <c r="K466" s="62">
        <f ca="1">EFEITO!$L$466*EFEITO!$Z$466</f>
        <v>56481.190226624662</v>
      </c>
      <c r="L466" s="62">
        <f>EFEITO!$N$466*EFEITO!$AA$466</f>
        <v>18853.413770997144</v>
      </c>
      <c r="M466" s="62">
        <f>$J$466-EFEITO!$K$466*EFEITO!$Y$466</f>
        <v>0</v>
      </c>
      <c r="N466" s="62">
        <f ca="1">$K$466-EFEITO!$M$466*EFEITO!$Z$466</f>
        <v>0</v>
      </c>
      <c r="O466" s="62">
        <f>$L$466-EFEITO!$O$466*EFEITO!$AA$466</f>
        <v>0</v>
      </c>
      <c r="P466" s="45"/>
      <c r="Q466" s="45"/>
      <c r="R466" s="45"/>
      <c r="S466" s="45"/>
      <c r="T466" s="45"/>
      <c r="U466" s="45"/>
      <c r="V466" s="45"/>
      <c r="W466" s="45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41" t="s">
        <v>21</v>
      </c>
      <c r="B467" s="41" t="s">
        <v>33</v>
      </c>
      <c r="C467" s="41" t="s">
        <v>23</v>
      </c>
      <c r="D467" s="41" t="s">
        <v>44</v>
      </c>
      <c r="E467" s="41" t="s">
        <v>25</v>
      </c>
      <c r="F467" s="41" t="s">
        <v>25</v>
      </c>
      <c r="G467" s="41" t="s">
        <v>25</v>
      </c>
      <c r="H467" s="41" t="s">
        <v>25</v>
      </c>
      <c r="I467" s="61">
        <v>44470</v>
      </c>
      <c r="J467" s="62">
        <f>EFEITO!$J$467*EFEITO!$Y$467</f>
        <v>0</v>
      </c>
      <c r="K467" s="62">
        <f ca="1">EFEITO!$L$467*EFEITO!$Z$467</f>
        <v>55333.536779562528</v>
      </c>
      <c r="L467" s="62">
        <f>EFEITO!$N$467*EFEITO!$AA$467</f>
        <v>18470.32720330343</v>
      </c>
      <c r="M467" s="62">
        <f>$J$467-EFEITO!$K$467*EFEITO!$Y$467</f>
        <v>0</v>
      </c>
      <c r="N467" s="62">
        <f ca="1">$K$467-EFEITO!$M$467*EFEITO!$Z$467</f>
        <v>0</v>
      </c>
      <c r="O467" s="62">
        <f>$L$467-EFEITO!$O$467*EFEITO!$AA$467</f>
        <v>0</v>
      </c>
      <c r="P467" s="45"/>
      <c r="Q467" s="45"/>
      <c r="R467" s="45"/>
      <c r="S467" s="45"/>
      <c r="T467" s="45"/>
      <c r="U467" s="45"/>
      <c r="V467" s="45"/>
      <c r="W467" s="45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41" t="s">
        <v>21</v>
      </c>
      <c r="B468" s="41" t="s">
        <v>33</v>
      </c>
      <c r="C468" s="41" t="s">
        <v>23</v>
      </c>
      <c r="D468" s="41" t="s">
        <v>44</v>
      </c>
      <c r="E468" s="41" t="s">
        <v>25</v>
      </c>
      <c r="F468" s="41" t="s">
        <v>25</v>
      </c>
      <c r="G468" s="41" t="s">
        <v>25</v>
      </c>
      <c r="H468" s="41" t="s">
        <v>25</v>
      </c>
      <c r="I468" s="61">
        <v>44501</v>
      </c>
      <c r="J468" s="62">
        <f>EFEITO!$J$468*EFEITO!$Y$468</f>
        <v>0</v>
      </c>
      <c r="K468" s="62">
        <f ca="1">EFEITO!$L$468*EFEITO!$Z$468</f>
        <v>63006.449295465958</v>
      </c>
      <c r="L468" s="62">
        <f>EFEITO!$N$468*EFEITO!$AA$468</f>
        <v>21031.544378624185</v>
      </c>
      <c r="M468" s="62">
        <f>$J$468-EFEITO!$K$468*EFEITO!$Y$468</f>
        <v>0</v>
      </c>
      <c r="N468" s="62">
        <f ca="1">$K$468-EFEITO!$M$468*EFEITO!$Z$468</f>
        <v>0</v>
      </c>
      <c r="O468" s="62">
        <f>$L$468-EFEITO!$O$468*EFEITO!$AA$468</f>
        <v>0</v>
      </c>
      <c r="P468" s="45"/>
      <c r="Q468" s="45"/>
      <c r="R468" s="45"/>
      <c r="S468" s="45"/>
      <c r="T468" s="45"/>
      <c r="U468" s="45"/>
      <c r="V468" s="45"/>
      <c r="W468" s="45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41" t="s">
        <v>21</v>
      </c>
      <c r="B469" s="41" t="s">
        <v>33</v>
      </c>
      <c r="C469" s="41" t="s">
        <v>23</v>
      </c>
      <c r="D469" s="41" t="s">
        <v>44</v>
      </c>
      <c r="E469" s="41" t="s">
        <v>25</v>
      </c>
      <c r="F469" s="41" t="s">
        <v>25</v>
      </c>
      <c r="G469" s="41" t="s">
        <v>25</v>
      </c>
      <c r="H469" s="41" t="s">
        <v>25</v>
      </c>
      <c r="I469" s="61">
        <v>44531</v>
      </c>
      <c r="J469" s="62">
        <f>EFEITO!$J$469*EFEITO!$Y$469</f>
        <v>0</v>
      </c>
      <c r="K469" s="62">
        <f ca="1">EFEITO!$L$469*EFEITO!$Z$469</f>
        <v>69951.849919822504</v>
      </c>
      <c r="L469" s="62">
        <f>EFEITO!$N$469*EFEITO!$AA$469</f>
        <v>23349.918181494402</v>
      </c>
      <c r="M469" s="62">
        <f>$J$469-EFEITO!$K$469*EFEITO!$Y$469</f>
        <v>0</v>
      </c>
      <c r="N469" s="62">
        <f ca="1">$K$469-EFEITO!$M$469*EFEITO!$Z$469</f>
        <v>0</v>
      </c>
      <c r="O469" s="62">
        <f>$L$469-EFEITO!$O$469*EFEITO!$AA$469</f>
        <v>0</v>
      </c>
      <c r="P469" s="45"/>
      <c r="Q469" s="45"/>
      <c r="R469" s="45"/>
      <c r="S469" s="45"/>
      <c r="T469" s="45"/>
      <c r="U469" s="45"/>
      <c r="V469" s="45"/>
      <c r="W469" s="45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41" t="s">
        <v>21</v>
      </c>
      <c r="B470" s="41" t="s">
        <v>33</v>
      </c>
      <c r="C470" s="41" t="s">
        <v>23</v>
      </c>
      <c r="D470" s="41" t="s">
        <v>44</v>
      </c>
      <c r="E470" s="41" t="s">
        <v>25</v>
      </c>
      <c r="F470" s="41" t="s">
        <v>25</v>
      </c>
      <c r="G470" s="41" t="s">
        <v>25</v>
      </c>
      <c r="H470" s="41" t="s">
        <v>25</v>
      </c>
      <c r="I470" s="61">
        <v>44562</v>
      </c>
      <c r="J470" s="62">
        <f>EFEITO!$J$470*EFEITO!$Y$470</f>
        <v>0</v>
      </c>
      <c r="K470" s="62">
        <f ca="1">EFEITO!$L$470*EFEITO!$Z$470</f>
        <v>57852.323224492786</v>
      </c>
      <c r="L470" s="62">
        <f>EFEITO!$N$470*EFEITO!$AA$470</f>
        <v>19311.097782969147</v>
      </c>
      <c r="M470" s="62">
        <f>$J$470-EFEITO!$K$470*EFEITO!$Y$470</f>
        <v>0</v>
      </c>
      <c r="N470" s="62">
        <f ca="1">$K$470-EFEITO!$M$470*EFEITO!$Z$470</f>
        <v>0</v>
      </c>
      <c r="O470" s="62">
        <f>$L$470-EFEITO!$O$470*EFEITO!$AA$470</f>
        <v>0</v>
      </c>
      <c r="P470" s="45"/>
      <c r="Q470" s="45"/>
      <c r="R470" s="45"/>
      <c r="S470" s="45"/>
      <c r="T470" s="45"/>
      <c r="U470" s="45"/>
      <c r="V470" s="45"/>
      <c r="W470" s="45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41" t="s">
        <v>21</v>
      </c>
      <c r="B471" s="41" t="s">
        <v>33</v>
      </c>
      <c r="C471" s="41" t="s">
        <v>23</v>
      </c>
      <c r="D471" s="41" t="s">
        <v>44</v>
      </c>
      <c r="E471" s="41" t="s">
        <v>25</v>
      </c>
      <c r="F471" s="41" t="s">
        <v>25</v>
      </c>
      <c r="G471" s="41" t="s">
        <v>25</v>
      </c>
      <c r="H471" s="41" t="s">
        <v>25</v>
      </c>
      <c r="I471" s="61">
        <v>44593</v>
      </c>
      <c r="J471" s="62">
        <f>EFEITO!$J$471*EFEITO!$Y$471</f>
        <v>0</v>
      </c>
      <c r="K471" s="62">
        <f ca="1">EFEITO!$L$471*EFEITO!$Z$471</f>
        <v>65398.368118477119</v>
      </c>
      <c r="L471" s="62">
        <f>EFEITO!$N$471*EFEITO!$AA$471</f>
        <v>21829.966562999616</v>
      </c>
      <c r="M471" s="62">
        <f>$J$471-EFEITO!$K$471*EFEITO!$Y$471</f>
        <v>0</v>
      </c>
      <c r="N471" s="62">
        <f ca="1">$K$471-EFEITO!$M$471*EFEITO!$Z$471</f>
        <v>0</v>
      </c>
      <c r="O471" s="62">
        <f>$L$471-EFEITO!$O$471*EFEITO!$AA$471</f>
        <v>0</v>
      </c>
      <c r="P471" s="45"/>
      <c r="Q471" s="45"/>
      <c r="R471" s="45"/>
      <c r="S471" s="45"/>
      <c r="T471" s="45"/>
      <c r="U471" s="45"/>
      <c r="V471" s="45"/>
      <c r="W471" s="45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41" t="s">
        <v>21</v>
      </c>
      <c r="B472" s="41" t="s">
        <v>33</v>
      </c>
      <c r="C472" s="41" t="s">
        <v>23</v>
      </c>
      <c r="D472" s="41" t="s">
        <v>44</v>
      </c>
      <c r="E472" s="41" t="s">
        <v>25</v>
      </c>
      <c r="F472" s="41" t="s">
        <v>25</v>
      </c>
      <c r="G472" s="41" t="s">
        <v>25</v>
      </c>
      <c r="H472" s="41" t="s">
        <v>25</v>
      </c>
      <c r="I472" s="61">
        <v>44621</v>
      </c>
      <c r="J472" s="62">
        <f>EFEITO!$J$472*EFEITO!$Y$472</f>
        <v>0</v>
      </c>
      <c r="K472" s="62">
        <f ca="1">EFEITO!$L$472*EFEITO!$Z$472</f>
        <v>93247.014481145117</v>
      </c>
      <c r="L472" s="62">
        <f>EFEITO!$N$472*EFEITO!$AA$472</f>
        <v>31125.841007763971</v>
      </c>
      <c r="M472" s="62">
        <f>$J$472-EFEITO!$K$472*EFEITO!$Y$472</f>
        <v>0</v>
      </c>
      <c r="N472" s="62">
        <f ca="1">$K$472-EFEITO!$M$472*EFEITO!$Z$472</f>
        <v>0</v>
      </c>
      <c r="O472" s="62">
        <f>$L$472-EFEITO!$O$472*EFEITO!$AA$472</f>
        <v>0</v>
      </c>
      <c r="P472" s="45"/>
      <c r="Q472" s="45"/>
      <c r="R472" s="45"/>
      <c r="S472" s="45"/>
      <c r="T472" s="45"/>
      <c r="U472" s="45"/>
      <c r="V472" s="45"/>
      <c r="W472" s="45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41" t="s">
        <v>21</v>
      </c>
      <c r="B473" s="41" t="s">
        <v>33</v>
      </c>
      <c r="C473" s="41" t="s">
        <v>23</v>
      </c>
      <c r="D473" s="41" t="s">
        <v>44</v>
      </c>
      <c r="E473" s="41" t="s">
        <v>25</v>
      </c>
      <c r="F473" s="41" t="s">
        <v>25</v>
      </c>
      <c r="G473" s="41" t="s">
        <v>25</v>
      </c>
      <c r="H473" s="41" t="s">
        <v>25</v>
      </c>
      <c r="I473" s="61">
        <v>44652</v>
      </c>
      <c r="J473" s="62">
        <f>EFEITO!$J$473*EFEITO!$Y$473</f>
        <v>0</v>
      </c>
      <c r="K473" s="62">
        <f ca="1">EFEITO!$L$473*EFEITO!$Z$473</f>
        <v>69842.516847274339</v>
      </c>
      <c r="L473" s="62">
        <f>EFEITO!$N$473*EFEITO!$AA$473</f>
        <v>23313.422816447484</v>
      </c>
      <c r="M473" s="62">
        <f>$J$473-EFEITO!$K$473*EFEITO!$Y$473</f>
        <v>0</v>
      </c>
      <c r="N473" s="62">
        <f ca="1">$K$473-EFEITO!$M$473*EFEITO!$Z$473</f>
        <v>0</v>
      </c>
      <c r="O473" s="62">
        <f>$L$473-EFEITO!$O$473*EFEITO!$AA$473</f>
        <v>0</v>
      </c>
      <c r="P473" s="45"/>
      <c r="Q473" s="45"/>
      <c r="R473" s="45"/>
      <c r="S473" s="45"/>
      <c r="T473" s="45"/>
      <c r="U473" s="45"/>
      <c r="V473" s="45"/>
      <c r="W473" s="45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41" t="s">
        <v>21</v>
      </c>
      <c r="B474" s="41" t="s">
        <v>33</v>
      </c>
      <c r="C474" s="41" t="s">
        <v>23</v>
      </c>
      <c r="D474" s="41" t="s">
        <v>44</v>
      </c>
      <c r="E474" s="41" t="s">
        <v>25</v>
      </c>
      <c r="F474" s="41" t="s">
        <v>25</v>
      </c>
      <c r="G474" s="41" t="s">
        <v>25</v>
      </c>
      <c r="H474" s="41" t="s">
        <v>25</v>
      </c>
      <c r="I474" s="61">
        <v>44682</v>
      </c>
      <c r="J474" s="62">
        <f>EFEITO!$J$474*EFEITO!$Y$474</f>
        <v>0</v>
      </c>
      <c r="K474" s="62">
        <f ca="1">EFEITO!$L$474*EFEITO!$Z$474</f>
        <v>52393.23352034283</v>
      </c>
      <c r="L474" s="62">
        <f>EFEITO!$N$474*EFEITO!$AA$474</f>
        <v>17488.854367198976</v>
      </c>
      <c r="M474" s="62">
        <f>$J$474-EFEITO!$K$474*EFEITO!$Y$474</f>
        <v>0</v>
      </c>
      <c r="N474" s="62">
        <f ca="1">$K$474-EFEITO!$M$474*EFEITO!$Z$474</f>
        <v>0</v>
      </c>
      <c r="O474" s="62">
        <f>$L$474-EFEITO!$O$474*EFEITO!$AA$474</f>
        <v>0</v>
      </c>
      <c r="P474" s="45"/>
      <c r="Q474" s="45"/>
      <c r="R474" s="45"/>
      <c r="S474" s="45"/>
      <c r="T474" s="45"/>
      <c r="U474" s="45"/>
      <c r="V474" s="45"/>
      <c r="W474" s="45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41" t="s">
        <v>28</v>
      </c>
      <c r="B475" s="41" t="s">
        <v>33</v>
      </c>
      <c r="C475" s="41" t="s">
        <v>23</v>
      </c>
      <c r="D475" s="41" t="s">
        <v>44</v>
      </c>
      <c r="E475" s="41" t="s">
        <v>25</v>
      </c>
      <c r="F475" s="41" t="s">
        <v>25</v>
      </c>
      <c r="G475" s="41" t="s">
        <v>25</v>
      </c>
      <c r="H475" s="41" t="s">
        <v>25</v>
      </c>
      <c r="I475" s="61">
        <v>44682</v>
      </c>
      <c r="J475" s="62">
        <f>EFEITO!$J$475*EFEITO!$Y$475</f>
        <v>0</v>
      </c>
      <c r="K475" s="62">
        <f ca="1">EFEITO!$L$475*EFEITO!$Z$475</f>
        <v>68.762938709534652</v>
      </c>
      <c r="L475" s="62">
        <f>EFEITO!$N$475*EFEITO!$AA$475</f>
        <v>22.953059777933927</v>
      </c>
      <c r="M475" s="62">
        <f>$J$475-EFEITO!$K$475*EFEITO!$Y$475</f>
        <v>0</v>
      </c>
      <c r="N475" s="62">
        <f ca="1">$K$475-EFEITO!$M$475*EFEITO!$Z$475</f>
        <v>0</v>
      </c>
      <c r="O475" s="62">
        <f>$L$475-EFEITO!$O$475*EFEITO!$AA$475</f>
        <v>0</v>
      </c>
      <c r="P475" s="45"/>
      <c r="Q475" s="45"/>
      <c r="R475" s="45"/>
      <c r="S475" s="45"/>
      <c r="T475" s="45"/>
      <c r="U475" s="45"/>
      <c r="V475" s="45"/>
      <c r="W475" s="45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41" t="s">
        <v>21</v>
      </c>
      <c r="B476" s="41" t="s">
        <v>33</v>
      </c>
      <c r="C476" s="41" t="s">
        <v>23</v>
      </c>
      <c r="D476" s="41" t="s">
        <v>44</v>
      </c>
      <c r="E476" s="41" t="s">
        <v>25</v>
      </c>
      <c r="F476" s="41" t="s">
        <v>25</v>
      </c>
      <c r="G476" s="41" t="s">
        <v>25</v>
      </c>
      <c r="H476" s="41" t="s">
        <v>25</v>
      </c>
      <c r="I476" s="61">
        <v>44713</v>
      </c>
      <c r="J476" s="62">
        <f>EFEITO!$J$476*EFEITO!$Y$476</f>
        <v>0</v>
      </c>
      <c r="K476" s="62">
        <f ca="1">EFEITO!$L$476*EFEITO!$Z$476</f>
        <v>52143.967867520769</v>
      </c>
      <c r="L476" s="62">
        <f>EFEITO!$N$476*EFEITO!$AA$476</f>
        <v>17405.649525503966</v>
      </c>
      <c r="M476" s="62">
        <f>$J$476-EFEITO!$K$476*EFEITO!$Y$476</f>
        <v>0</v>
      </c>
      <c r="N476" s="62">
        <f ca="1">$K$476-EFEITO!$M$476*EFEITO!$Z$476</f>
        <v>0</v>
      </c>
      <c r="O476" s="62">
        <f>$L$476-EFEITO!$O$476*EFEITO!$AA$476</f>
        <v>0</v>
      </c>
      <c r="P476" s="45"/>
      <c r="Q476" s="45"/>
      <c r="R476" s="45"/>
      <c r="S476" s="45"/>
      <c r="T476" s="45"/>
      <c r="U476" s="45"/>
      <c r="V476" s="45"/>
      <c r="W476" s="45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41" t="s">
        <v>28</v>
      </c>
      <c r="B477" s="41" t="s">
        <v>33</v>
      </c>
      <c r="C477" s="41" t="s">
        <v>23</v>
      </c>
      <c r="D477" s="41" t="s">
        <v>44</v>
      </c>
      <c r="E477" s="41" t="s">
        <v>25</v>
      </c>
      <c r="F477" s="41" t="s">
        <v>25</v>
      </c>
      <c r="G477" s="41" t="s">
        <v>25</v>
      </c>
      <c r="H477" s="41" t="s">
        <v>25</v>
      </c>
      <c r="I477" s="61">
        <v>44713</v>
      </c>
      <c r="J477" s="62">
        <f>EFEITO!$J$477*EFEITO!$Y$477</f>
        <v>0</v>
      </c>
      <c r="K477" s="62">
        <f ca="1">EFEITO!$L$477*EFEITO!$Z$477</f>
        <v>68.762938709534652</v>
      </c>
      <c r="L477" s="62">
        <f>EFEITO!$N$477*EFEITO!$AA$477</f>
        <v>22.953059777933927</v>
      </c>
      <c r="M477" s="62">
        <f>$J$477-EFEITO!$K$477*EFEITO!$Y$477</f>
        <v>0</v>
      </c>
      <c r="N477" s="62">
        <f ca="1">$K$477-EFEITO!$M$477*EFEITO!$Z$477</f>
        <v>0</v>
      </c>
      <c r="O477" s="62">
        <f>$L$477-EFEITO!$O$477*EFEITO!$AA$477</f>
        <v>0</v>
      </c>
      <c r="P477" s="45"/>
      <c r="Q477" s="45"/>
      <c r="R477" s="45"/>
      <c r="S477" s="45"/>
      <c r="T477" s="45"/>
      <c r="U477" s="45"/>
      <c r="V477" s="45"/>
      <c r="W477" s="45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41" t="s">
        <v>21</v>
      </c>
      <c r="B478" s="41" t="s">
        <v>33</v>
      </c>
      <c r="C478" s="41" t="s">
        <v>23</v>
      </c>
      <c r="D478" s="41" t="s">
        <v>44</v>
      </c>
      <c r="E478" s="41" t="s">
        <v>25</v>
      </c>
      <c r="F478" s="41" t="s">
        <v>25</v>
      </c>
      <c r="G478" s="41" t="s">
        <v>25</v>
      </c>
      <c r="H478" s="41" t="s">
        <v>25</v>
      </c>
      <c r="I478" s="61">
        <v>44743</v>
      </c>
      <c r="J478" s="62">
        <f>EFEITO!$J$478*EFEITO!$Y$478</f>
        <v>0</v>
      </c>
      <c r="K478" s="62">
        <f ca="1">EFEITO!$L$478*EFEITO!$Z$478</f>
        <v>53518.539012324363</v>
      </c>
      <c r="L478" s="62">
        <f>EFEITO!$N$478*EFEITO!$AA$478</f>
        <v>17864.481190464863</v>
      </c>
      <c r="M478" s="62">
        <f>$J$478-EFEITO!$K$478*EFEITO!$Y$478</f>
        <v>0</v>
      </c>
      <c r="N478" s="62">
        <f ca="1">$K$478-EFEITO!$M$478*EFEITO!$Z$478</f>
        <v>0</v>
      </c>
      <c r="O478" s="62">
        <f>$L$478-EFEITO!$O$478*EFEITO!$AA$478</f>
        <v>0</v>
      </c>
      <c r="P478" s="45"/>
      <c r="Q478" s="45"/>
      <c r="R478" s="45"/>
      <c r="S478" s="45"/>
      <c r="T478" s="45"/>
      <c r="U478" s="45"/>
      <c r="V478" s="45"/>
      <c r="W478" s="45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41" t="s">
        <v>28</v>
      </c>
      <c r="B479" s="41" t="s">
        <v>33</v>
      </c>
      <c r="C479" s="41" t="s">
        <v>23</v>
      </c>
      <c r="D479" s="41" t="s">
        <v>44</v>
      </c>
      <c r="E479" s="41" t="s">
        <v>25</v>
      </c>
      <c r="F479" s="41" t="s">
        <v>25</v>
      </c>
      <c r="G479" s="41" t="s">
        <v>25</v>
      </c>
      <c r="H479" s="41" t="s">
        <v>25</v>
      </c>
      <c r="I479" s="61">
        <v>44743</v>
      </c>
      <c r="J479" s="62">
        <f>EFEITO!$J$479*EFEITO!$Y$479</f>
        <v>0</v>
      </c>
      <c r="K479" s="62">
        <f ca="1">EFEITO!$L$479*EFEITO!$Z$479</f>
        <v>68.762938709534652</v>
      </c>
      <c r="L479" s="62">
        <f>EFEITO!$N$479*EFEITO!$AA$479</f>
        <v>22.953059777933927</v>
      </c>
      <c r="M479" s="62">
        <f>$J$479-EFEITO!$K$479*EFEITO!$Y$479</f>
        <v>0</v>
      </c>
      <c r="N479" s="62">
        <f ca="1">$K$479-EFEITO!$M$479*EFEITO!$Z$479</f>
        <v>0</v>
      </c>
      <c r="O479" s="62">
        <f>$L$479-EFEITO!$O$479*EFEITO!$AA$479</f>
        <v>0</v>
      </c>
      <c r="P479" s="45"/>
      <c r="Q479" s="45"/>
      <c r="R479" s="45"/>
      <c r="S479" s="45"/>
      <c r="T479" s="45"/>
      <c r="U479" s="45"/>
      <c r="V479" s="45"/>
      <c r="W479" s="45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41" t="s">
        <v>57</v>
      </c>
      <c r="B480" s="41" t="s">
        <v>33</v>
      </c>
      <c r="C480" s="41" t="s">
        <v>23</v>
      </c>
      <c r="D480" s="41" t="s">
        <v>44</v>
      </c>
      <c r="E480" s="41" t="s">
        <v>25</v>
      </c>
      <c r="F480" s="41" t="s">
        <v>25</v>
      </c>
      <c r="G480" s="41" t="s">
        <v>25</v>
      </c>
      <c r="H480" s="41" t="s">
        <v>25</v>
      </c>
      <c r="I480" s="61">
        <v>44774</v>
      </c>
      <c r="J480" s="62">
        <f>EFEITO!$J$480*EFEITO!$Y$480</f>
        <v>0</v>
      </c>
      <c r="K480" s="62">
        <f ca="1">EFEITO!$L$480*EFEITO!$Z$480</f>
        <v>53518.539012324363</v>
      </c>
      <c r="L480" s="62">
        <f>EFEITO!$N$480*EFEITO!$AA$480</f>
        <v>17864.481190464863</v>
      </c>
      <c r="M480" s="62">
        <f>$J$480-EFEITO!$K$480*EFEITO!$Y$480</f>
        <v>0</v>
      </c>
      <c r="N480" s="62">
        <f ca="1">$K$480-EFEITO!$M$480*EFEITO!$Z$480</f>
        <v>0</v>
      </c>
      <c r="O480" s="62">
        <f>$L$480-EFEITO!$O$480*EFEITO!$AA$480</f>
        <v>0</v>
      </c>
      <c r="P480" s="45"/>
      <c r="Q480" s="45"/>
      <c r="R480" s="45"/>
      <c r="S480" s="45"/>
      <c r="T480" s="45"/>
      <c r="U480" s="45"/>
      <c r="V480" s="45"/>
      <c r="W480" s="45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41" t="s">
        <v>57</v>
      </c>
      <c r="B481" s="41" t="s">
        <v>33</v>
      </c>
      <c r="C481" s="41" t="s">
        <v>23</v>
      </c>
      <c r="D481" s="41" t="s">
        <v>44</v>
      </c>
      <c r="E481" s="41" t="s">
        <v>25</v>
      </c>
      <c r="F481" s="41" t="s">
        <v>25</v>
      </c>
      <c r="G481" s="41" t="s">
        <v>25</v>
      </c>
      <c r="H481" s="41" t="s">
        <v>25</v>
      </c>
      <c r="I481" s="61">
        <v>44774</v>
      </c>
      <c r="J481" s="62">
        <f>EFEITO!$J$481*EFEITO!$Y$481</f>
        <v>0</v>
      </c>
      <c r="K481" s="62">
        <f ca="1">EFEITO!$L$481*EFEITO!$Z$481</f>
        <v>68.762938709534652</v>
      </c>
      <c r="L481" s="62">
        <f>EFEITO!$N$481*EFEITO!$AA$481</f>
        <v>22.953059777933927</v>
      </c>
      <c r="M481" s="62">
        <f>$J$481-EFEITO!$K$481*EFEITO!$Y$481</f>
        <v>0</v>
      </c>
      <c r="N481" s="62">
        <f ca="1">$K$481-EFEITO!$M$481*EFEITO!$Z$481</f>
        <v>0</v>
      </c>
      <c r="O481" s="62">
        <f>$L$481-EFEITO!$O$481*EFEITO!$AA$481</f>
        <v>0</v>
      </c>
      <c r="P481" s="45"/>
      <c r="Q481" s="45"/>
      <c r="R481" s="45"/>
      <c r="S481" s="45"/>
      <c r="T481" s="45"/>
      <c r="U481" s="45"/>
      <c r="V481" s="45"/>
      <c r="W481" s="45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41" t="s">
        <v>21</v>
      </c>
      <c r="B482" s="41" t="s">
        <v>33</v>
      </c>
      <c r="C482" s="41" t="s">
        <v>23</v>
      </c>
      <c r="D482" s="41" t="s">
        <v>48</v>
      </c>
      <c r="E482" s="41" t="s">
        <v>49</v>
      </c>
      <c r="F482" s="41" t="s">
        <v>25</v>
      </c>
      <c r="G482" s="41" t="s">
        <v>25</v>
      </c>
      <c r="H482" s="41" t="s">
        <v>25</v>
      </c>
      <c r="I482" s="61">
        <v>44440</v>
      </c>
      <c r="J482" s="62">
        <f>EFEITO!$J$482*EFEITO!$Y$481</f>
        <v>0</v>
      </c>
      <c r="K482" s="62">
        <f ca="1">EFEITO!$L$482*EFEITO!$Z$481</f>
        <v>26256.784331542258</v>
      </c>
      <c r="L482" s="62">
        <f>EFEITO!$N$482*EFEITO!$AA$481</f>
        <v>8764.5111109051795</v>
      </c>
      <c r="M482" s="62">
        <f>$J$482-EFEITO!$K$482*EFEITO!$Y$482</f>
        <v>0</v>
      </c>
      <c r="N482" s="62">
        <f ca="1">$K$482-EFEITO!$M$482*EFEITO!$Z$482</f>
        <v>787.70352994626592</v>
      </c>
      <c r="O482" s="62">
        <f>$L$482-EFEITO!$O$482*EFEITO!$AA$482</f>
        <v>262.9353333271556</v>
      </c>
      <c r="P482" s="45"/>
      <c r="Q482" s="45"/>
      <c r="R482" s="45"/>
      <c r="S482" s="45"/>
      <c r="T482" s="45"/>
      <c r="U482" s="45"/>
      <c r="V482" s="45"/>
      <c r="W482" s="45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41" t="s">
        <v>21</v>
      </c>
      <c r="B483" s="41" t="s">
        <v>33</v>
      </c>
      <c r="C483" s="41" t="s">
        <v>23</v>
      </c>
      <c r="D483" s="41" t="s">
        <v>48</v>
      </c>
      <c r="E483" s="41" t="s">
        <v>49</v>
      </c>
      <c r="F483" s="41" t="s">
        <v>25</v>
      </c>
      <c r="G483" s="41" t="s">
        <v>25</v>
      </c>
      <c r="H483" s="41" t="s">
        <v>25</v>
      </c>
      <c r="I483" s="61">
        <v>44470</v>
      </c>
      <c r="J483" s="62">
        <f>EFEITO!$J$483*EFEITO!$Y$481</f>
        <v>0</v>
      </c>
      <c r="K483" s="62">
        <f ca="1">EFEITO!$L$483*EFEITO!$Z$481</f>
        <v>26546.276303509399</v>
      </c>
      <c r="L483" s="62">
        <f>EFEITO!$N$483*EFEITO!$AA$481</f>
        <v>8861.1434925702815</v>
      </c>
      <c r="M483" s="62">
        <f>$J$483-EFEITO!$K$483*EFEITO!$Y$483</f>
        <v>0</v>
      </c>
      <c r="N483" s="62">
        <f ca="1">$K$483-EFEITO!$M$483*EFEITO!$Z$483</f>
        <v>796.38828910528173</v>
      </c>
      <c r="O483" s="62">
        <f>$L$483-EFEITO!$O$483*EFEITO!$AA$483</f>
        <v>265.83430477710863</v>
      </c>
      <c r="P483" s="45"/>
      <c r="Q483" s="45"/>
      <c r="R483" s="45"/>
      <c r="S483" s="45"/>
      <c r="T483" s="45"/>
      <c r="U483" s="45"/>
      <c r="V483" s="45"/>
      <c r="W483" s="45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41" t="s">
        <v>21</v>
      </c>
      <c r="B484" s="41" t="s">
        <v>33</v>
      </c>
      <c r="C484" s="41" t="s">
        <v>23</v>
      </c>
      <c r="D484" s="41" t="s">
        <v>48</v>
      </c>
      <c r="E484" s="41" t="s">
        <v>49</v>
      </c>
      <c r="F484" s="41" t="s">
        <v>25</v>
      </c>
      <c r="G484" s="41" t="s">
        <v>25</v>
      </c>
      <c r="H484" s="41" t="s">
        <v>25</v>
      </c>
      <c r="I484" s="61">
        <v>44501</v>
      </c>
      <c r="J484" s="62">
        <f>EFEITO!$J$484*EFEITO!$Y$481</f>
        <v>0</v>
      </c>
      <c r="K484" s="62">
        <f ca="1">EFEITO!$L$484*EFEITO!$Z$481</f>
        <v>25496.610044108354</v>
      </c>
      <c r="L484" s="62">
        <f>EFEITO!$N$484*EFEITO!$AA$481</f>
        <v>8510.7650350601198</v>
      </c>
      <c r="M484" s="62">
        <f>$J$484-EFEITO!$K$484*EFEITO!$Y$484</f>
        <v>0</v>
      </c>
      <c r="N484" s="62">
        <f ca="1">$K$484-EFEITO!$M$484*EFEITO!$Z$484</f>
        <v>764.89830132325005</v>
      </c>
      <c r="O484" s="62">
        <f>$L$484-EFEITO!$O$484*EFEITO!$AA$484</f>
        <v>255.3229510518031</v>
      </c>
      <c r="P484" s="45"/>
      <c r="Q484" s="45"/>
      <c r="R484" s="45"/>
      <c r="S484" s="45"/>
      <c r="T484" s="45"/>
      <c r="U484" s="45"/>
      <c r="V484" s="45"/>
      <c r="W484" s="45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41" t="s">
        <v>21</v>
      </c>
      <c r="B485" s="41" t="s">
        <v>33</v>
      </c>
      <c r="C485" s="41" t="s">
        <v>23</v>
      </c>
      <c r="D485" s="41" t="s">
        <v>48</v>
      </c>
      <c r="E485" s="41" t="s">
        <v>49</v>
      </c>
      <c r="F485" s="41" t="s">
        <v>25</v>
      </c>
      <c r="G485" s="41" t="s">
        <v>25</v>
      </c>
      <c r="H485" s="41" t="s">
        <v>25</v>
      </c>
      <c r="I485" s="61">
        <v>44531</v>
      </c>
      <c r="J485" s="62">
        <f>EFEITO!$J$485*EFEITO!$Y$481</f>
        <v>0</v>
      </c>
      <c r="K485" s="62">
        <f ca="1">EFEITO!$L$485*EFEITO!$Z$481</f>
        <v>25189.927337463829</v>
      </c>
      <c r="L485" s="62">
        <f>EFEITO!$N$485*EFEITO!$AA$481</f>
        <v>8408.3943884505352</v>
      </c>
      <c r="M485" s="62">
        <f>$J$485-EFEITO!$K$485*EFEITO!$Y$485</f>
        <v>0</v>
      </c>
      <c r="N485" s="62">
        <f ca="1">$K$485-EFEITO!$M$485*EFEITO!$Z$485</f>
        <v>755.69782012391443</v>
      </c>
      <c r="O485" s="62">
        <f>$L$485-EFEITO!$O$485*EFEITO!$AA$485</f>
        <v>252.25183165351609</v>
      </c>
      <c r="P485" s="45"/>
      <c r="Q485" s="45"/>
      <c r="R485" s="45"/>
      <c r="S485" s="45"/>
      <c r="T485" s="45"/>
      <c r="U485" s="45"/>
      <c r="V485" s="45"/>
      <c r="W485" s="45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41" t="s">
        <v>21</v>
      </c>
      <c r="B486" s="41" t="s">
        <v>33</v>
      </c>
      <c r="C486" s="41" t="s">
        <v>23</v>
      </c>
      <c r="D486" s="41" t="s">
        <v>48</v>
      </c>
      <c r="E486" s="41" t="s">
        <v>49</v>
      </c>
      <c r="F486" s="41" t="s">
        <v>25</v>
      </c>
      <c r="G486" s="41" t="s">
        <v>25</v>
      </c>
      <c r="H486" s="41" t="s">
        <v>25</v>
      </c>
      <c r="I486" s="61">
        <v>44562</v>
      </c>
      <c r="J486" s="62">
        <f>EFEITO!$J$486*EFEITO!$Y$481</f>
        <v>0</v>
      </c>
      <c r="K486" s="62">
        <f ca="1">EFEITO!$L$486*EFEITO!$Z$481</f>
        <v>26491.265952541773</v>
      </c>
      <c r="L486" s="62">
        <f>EFEITO!$N$486*EFEITO!$AA$481</f>
        <v>8842.7810447479351</v>
      </c>
      <c r="M486" s="62">
        <f>$J$486-EFEITO!$K$486*EFEITO!$Y$486</f>
        <v>0</v>
      </c>
      <c r="N486" s="62">
        <f ca="1">$K$486-EFEITO!$M$486*EFEITO!$Z$486</f>
        <v>794.73797857625323</v>
      </c>
      <c r="O486" s="62">
        <f>$L$486-EFEITO!$O$486*EFEITO!$AA$486</f>
        <v>265.28343134243914</v>
      </c>
      <c r="P486" s="45"/>
      <c r="Q486" s="45"/>
      <c r="R486" s="45"/>
      <c r="S486" s="45"/>
      <c r="T486" s="45"/>
      <c r="U486" s="45"/>
      <c r="V486" s="45"/>
      <c r="W486" s="45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41" t="s">
        <v>21</v>
      </c>
      <c r="B487" s="41" t="s">
        <v>33</v>
      </c>
      <c r="C487" s="41" t="s">
        <v>23</v>
      </c>
      <c r="D487" s="41" t="s">
        <v>48</v>
      </c>
      <c r="E487" s="41" t="s">
        <v>49</v>
      </c>
      <c r="F487" s="41" t="s">
        <v>25</v>
      </c>
      <c r="G487" s="41" t="s">
        <v>25</v>
      </c>
      <c r="H487" s="41" t="s">
        <v>25</v>
      </c>
      <c r="I487" s="61">
        <v>44593</v>
      </c>
      <c r="J487" s="62">
        <f>EFEITO!$J$487*EFEITO!$Y$481</f>
        <v>0</v>
      </c>
      <c r="K487" s="62">
        <f ca="1">EFEITO!$L$487*EFEITO!$Z$481</f>
        <v>24218.65082819165</v>
      </c>
      <c r="L487" s="62">
        <f>EFEITO!$N$487*EFEITO!$AA$481</f>
        <v>8084.1824190872185</v>
      </c>
      <c r="M487" s="62">
        <f>$J$487-EFEITO!$K$487*EFEITO!$Y$487</f>
        <v>0</v>
      </c>
      <c r="N487" s="62">
        <f ca="1">$K$487-EFEITO!$M$487*EFEITO!$Z$487</f>
        <v>726.55952484574664</v>
      </c>
      <c r="O487" s="62">
        <f>$L$487-EFEITO!$O$487*EFEITO!$AA$487</f>
        <v>242.52547257261631</v>
      </c>
      <c r="P487" s="45"/>
      <c r="Q487" s="45"/>
      <c r="R487" s="45"/>
      <c r="S487" s="45"/>
      <c r="T487" s="45"/>
      <c r="U487" s="45"/>
      <c r="V487" s="45"/>
      <c r="W487" s="45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41" t="s">
        <v>21</v>
      </c>
      <c r="B488" s="41" t="s">
        <v>33</v>
      </c>
      <c r="C488" s="41" t="s">
        <v>23</v>
      </c>
      <c r="D488" s="41" t="s">
        <v>48</v>
      </c>
      <c r="E488" s="41" t="s">
        <v>49</v>
      </c>
      <c r="F488" s="41" t="s">
        <v>25</v>
      </c>
      <c r="G488" s="41" t="s">
        <v>25</v>
      </c>
      <c r="H488" s="41" t="s">
        <v>25</v>
      </c>
      <c r="I488" s="61">
        <v>44621</v>
      </c>
      <c r="J488" s="62">
        <f>EFEITO!$J$488*EFEITO!$Y$481</f>
        <v>0</v>
      </c>
      <c r="K488" s="62">
        <f ca="1">EFEITO!$L$488*EFEITO!$Z$481</f>
        <v>25422.346070302054</v>
      </c>
      <c r="L488" s="62">
        <f>EFEITO!$N$488*EFEITO!$AA$481</f>
        <v>8485.9757304999512</v>
      </c>
      <c r="M488" s="62">
        <f>$J$488-EFEITO!$K$488*EFEITO!$Y$488</f>
        <v>0</v>
      </c>
      <c r="N488" s="62">
        <f ca="1">$K$488-EFEITO!$M$488*EFEITO!$Z$488</f>
        <v>762.67038210906321</v>
      </c>
      <c r="O488" s="62">
        <f>$L$488-EFEITO!$O$488*EFEITO!$AA$488</f>
        <v>254.57927191499948</v>
      </c>
      <c r="P488" s="45"/>
      <c r="Q488" s="45"/>
      <c r="R488" s="45"/>
      <c r="S488" s="45"/>
      <c r="T488" s="45"/>
      <c r="U488" s="45"/>
      <c r="V488" s="45"/>
      <c r="W488" s="45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41" t="s">
        <v>21</v>
      </c>
      <c r="B489" s="41" t="s">
        <v>33</v>
      </c>
      <c r="C489" s="41" t="s">
        <v>23</v>
      </c>
      <c r="D489" s="41" t="s">
        <v>48</v>
      </c>
      <c r="E489" s="41" t="s">
        <v>49</v>
      </c>
      <c r="F489" s="41" t="s">
        <v>25</v>
      </c>
      <c r="G489" s="41" t="s">
        <v>25</v>
      </c>
      <c r="H489" s="41" t="s">
        <v>25</v>
      </c>
      <c r="I489" s="61">
        <v>44652</v>
      </c>
      <c r="J489" s="62">
        <f>EFEITO!$J$489*EFEITO!$Y$481</f>
        <v>0</v>
      </c>
      <c r="K489" s="62">
        <f ca="1">EFEITO!$L$489*EFEITO!$Z$481</f>
        <v>26099.317201897426</v>
      </c>
      <c r="L489" s="62">
        <f>EFEITO!$N$489*EFEITO!$AA$481</f>
        <v>8711.9486040137108</v>
      </c>
      <c r="M489" s="62">
        <f>$J$489-EFEITO!$K$489*EFEITO!$Y$489</f>
        <v>0</v>
      </c>
      <c r="N489" s="62">
        <f ca="1">$K$489-EFEITO!$M$489*EFEITO!$Z$489</f>
        <v>782.97951605692288</v>
      </c>
      <c r="O489" s="62">
        <f>$L$489-EFEITO!$O$489*EFEITO!$AA$489</f>
        <v>261.35845812041043</v>
      </c>
      <c r="P489" s="45"/>
      <c r="Q489" s="45"/>
      <c r="R489" s="45"/>
      <c r="S489" s="45"/>
      <c r="T489" s="45"/>
      <c r="U489" s="45"/>
      <c r="V489" s="45"/>
      <c r="W489" s="45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41" t="s">
        <v>21</v>
      </c>
      <c r="B490" s="41" t="s">
        <v>33</v>
      </c>
      <c r="C490" s="41" t="s">
        <v>23</v>
      </c>
      <c r="D490" s="41" t="s">
        <v>48</v>
      </c>
      <c r="E490" s="41" t="s">
        <v>49</v>
      </c>
      <c r="F490" s="41" t="s">
        <v>25</v>
      </c>
      <c r="G490" s="41" t="s">
        <v>25</v>
      </c>
      <c r="H490" s="41" t="s">
        <v>25</v>
      </c>
      <c r="I490" s="61">
        <v>44682</v>
      </c>
      <c r="J490" s="62">
        <f>EFEITO!$J$490*EFEITO!$Y$481</f>
        <v>0</v>
      </c>
      <c r="K490" s="62">
        <f ca="1">EFEITO!$L$490*EFEITO!$Z$481</f>
        <v>24832.016241480698</v>
      </c>
      <c r="L490" s="62">
        <f>EFEITO!$N$490*EFEITO!$AA$481</f>
        <v>8288.9237123063886</v>
      </c>
      <c r="M490" s="62">
        <f>$J$490-EFEITO!$K$490*EFEITO!$Y$490</f>
        <v>0</v>
      </c>
      <c r="N490" s="62">
        <f ca="1">$K$490-EFEITO!$M$490*EFEITO!$Z$490</f>
        <v>744.96048724442153</v>
      </c>
      <c r="O490" s="62">
        <f>$L$490-EFEITO!$O$490*EFEITO!$AA$490</f>
        <v>248.66771136919215</v>
      </c>
      <c r="P490" s="45"/>
      <c r="Q490" s="45"/>
      <c r="R490" s="45"/>
      <c r="S490" s="45"/>
      <c r="T490" s="45"/>
      <c r="U490" s="45"/>
      <c r="V490" s="45"/>
      <c r="W490" s="45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41" t="s">
        <v>21</v>
      </c>
      <c r="B491" s="41" t="s">
        <v>33</v>
      </c>
      <c r="C491" s="41" t="s">
        <v>23</v>
      </c>
      <c r="D491" s="41" t="s">
        <v>48</v>
      </c>
      <c r="E491" s="41" t="s">
        <v>49</v>
      </c>
      <c r="F491" s="41" t="s">
        <v>25</v>
      </c>
      <c r="G491" s="41" t="s">
        <v>25</v>
      </c>
      <c r="H491" s="41" t="s">
        <v>25</v>
      </c>
      <c r="I491" s="61">
        <v>44713</v>
      </c>
      <c r="J491" s="62">
        <f>EFEITO!$J$491*EFEITO!$Y$481</f>
        <v>0</v>
      </c>
      <c r="K491" s="62">
        <f ca="1">EFEITO!$L$491*EFEITO!$Z$481</f>
        <v>26049.120256639464</v>
      </c>
      <c r="L491" s="62">
        <f>EFEITO!$N$491*EFEITO!$AA$481</f>
        <v>8695.1928703758185</v>
      </c>
      <c r="M491" s="62">
        <f>$J$491-EFEITO!$K$491*EFEITO!$Y$491</f>
        <v>0</v>
      </c>
      <c r="N491" s="62">
        <f ca="1">$K$491-EFEITO!$M$491*EFEITO!$Z$491</f>
        <v>781.47360769918305</v>
      </c>
      <c r="O491" s="62">
        <f>$L$491-EFEITO!$O$491*EFEITO!$AA$491</f>
        <v>260.85578611127312</v>
      </c>
      <c r="P491" s="45"/>
      <c r="Q491" s="45"/>
      <c r="R491" s="45"/>
      <c r="S491" s="45"/>
      <c r="T491" s="45"/>
      <c r="U491" s="45"/>
      <c r="V491" s="45"/>
      <c r="W491" s="45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41" t="s">
        <v>21</v>
      </c>
      <c r="B492" s="41" t="s">
        <v>33</v>
      </c>
      <c r="C492" s="41" t="s">
        <v>23</v>
      </c>
      <c r="D492" s="41" t="s">
        <v>48</v>
      </c>
      <c r="E492" s="41" t="s">
        <v>49</v>
      </c>
      <c r="F492" s="41" t="s">
        <v>25</v>
      </c>
      <c r="G492" s="41" t="s">
        <v>25</v>
      </c>
      <c r="H492" s="41" t="s">
        <v>25</v>
      </c>
      <c r="I492" s="61">
        <v>44743</v>
      </c>
      <c r="J492" s="62">
        <f>EFEITO!$J$492*EFEITO!$Y$481</f>
        <v>0</v>
      </c>
      <c r="K492" s="62">
        <f ca="1">EFEITO!$L$492*EFEITO!$Z$481</f>
        <v>24610.25576414245</v>
      </c>
      <c r="L492" s="62">
        <f>EFEITO!$N$492*EFEITO!$AA$481</f>
        <v>8214.9000945225507</v>
      </c>
      <c r="M492" s="62">
        <f>$J$492-EFEITO!$K$492*EFEITO!$Y$492</f>
        <v>0</v>
      </c>
      <c r="N492" s="62">
        <f ca="1">$K$492-EFEITO!$M$492*EFEITO!$Z$492</f>
        <v>738.30767292427117</v>
      </c>
      <c r="O492" s="62">
        <f>$L$492-EFEITO!$O$492*EFEITO!$AA$492</f>
        <v>246.44700283567545</v>
      </c>
      <c r="P492" s="45"/>
      <c r="Q492" s="45"/>
      <c r="R492" s="45"/>
      <c r="S492" s="45"/>
      <c r="T492" s="45"/>
      <c r="U492" s="45"/>
      <c r="V492" s="45"/>
      <c r="W492" s="45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41" t="s">
        <v>57</v>
      </c>
      <c r="B493" s="41" t="s">
        <v>33</v>
      </c>
      <c r="C493" s="41" t="s">
        <v>23</v>
      </c>
      <c r="D493" s="41" t="s">
        <v>48</v>
      </c>
      <c r="E493" s="41" t="s">
        <v>49</v>
      </c>
      <c r="F493" s="41" t="s">
        <v>25</v>
      </c>
      <c r="G493" s="41" t="s">
        <v>25</v>
      </c>
      <c r="H493" s="41" t="s">
        <v>25</v>
      </c>
      <c r="I493" s="61">
        <v>44774</v>
      </c>
      <c r="J493" s="62">
        <f>EFEITO!$J$493*EFEITO!$Y$481</f>
        <v>0</v>
      </c>
      <c r="K493" s="62">
        <f ca="1">EFEITO!$L$493*EFEITO!$Z$481</f>
        <v>24610.25576414245</v>
      </c>
      <c r="L493" s="62">
        <f>EFEITO!$N$493*EFEITO!$AA$481</f>
        <v>8214.9000945225507</v>
      </c>
      <c r="M493" s="62">
        <f>$J$493-EFEITO!$K$493*EFEITO!$Y$493</f>
        <v>0</v>
      </c>
      <c r="N493" s="62">
        <f ca="1">$K$493-EFEITO!$M$493*EFEITO!$Z$493</f>
        <v>738.30767292427117</v>
      </c>
      <c r="O493" s="62">
        <f>$L$493-EFEITO!$O$493*EFEITO!$AA$493</f>
        <v>246.44700283567545</v>
      </c>
      <c r="P493" s="45"/>
      <c r="Q493" s="45"/>
      <c r="R493" s="45"/>
      <c r="S493" s="45"/>
      <c r="T493" s="45"/>
      <c r="U493" s="45"/>
      <c r="V493" s="45"/>
      <c r="W493" s="45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41" t="s">
        <v>21</v>
      </c>
      <c r="B494" s="41" t="s">
        <v>45</v>
      </c>
      <c r="C494" s="41" t="s">
        <v>23</v>
      </c>
      <c r="D494" s="41" t="s">
        <v>46</v>
      </c>
      <c r="E494" s="41" t="s">
        <v>47</v>
      </c>
      <c r="F494" s="41" t="s">
        <v>25</v>
      </c>
      <c r="G494" s="41" t="s">
        <v>25</v>
      </c>
      <c r="H494" s="41" t="s">
        <v>25</v>
      </c>
      <c r="I494" s="61">
        <v>44440</v>
      </c>
      <c r="J494" s="62">
        <f>EFEITO!$J$494*EFEITO!$Y$494</f>
        <v>0</v>
      </c>
      <c r="K494" s="62">
        <f ca="1">EFEITO!$L$494*EFEITO!$Z$494</f>
        <v>162479.31181957634</v>
      </c>
      <c r="L494" s="62">
        <f>EFEITO!$N$494*EFEITO!$AA$494</f>
        <v>54235.572633477132</v>
      </c>
      <c r="M494" s="62">
        <f>$J$494-EFEITO!$K$494*EFEITO!$Y$494</f>
        <v>0</v>
      </c>
      <c r="N494" s="62">
        <f ca="1">$K$494-EFEITO!$M$494*EFEITO!$Z$494</f>
        <v>0</v>
      </c>
      <c r="O494" s="62">
        <f>$L$494-EFEITO!$O$494*EFEITO!$AA$494</f>
        <v>0</v>
      </c>
      <c r="P494" s="45"/>
      <c r="Q494" s="45"/>
      <c r="R494" s="45"/>
      <c r="S494" s="45"/>
      <c r="T494" s="45"/>
      <c r="U494" s="45"/>
      <c r="V494" s="45"/>
      <c r="W494" s="45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41" t="s">
        <v>21</v>
      </c>
      <c r="B495" s="41" t="s">
        <v>45</v>
      </c>
      <c r="C495" s="41" t="s">
        <v>23</v>
      </c>
      <c r="D495" s="41" t="s">
        <v>46</v>
      </c>
      <c r="E495" s="41" t="s">
        <v>47</v>
      </c>
      <c r="F495" s="41" t="s">
        <v>25</v>
      </c>
      <c r="G495" s="41" t="s">
        <v>25</v>
      </c>
      <c r="H495" s="41" t="s">
        <v>25</v>
      </c>
      <c r="I495" s="61">
        <v>44470</v>
      </c>
      <c r="J495" s="62">
        <f>EFEITO!$J$495*EFEITO!$Y$495</f>
        <v>0</v>
      </c>
      <c r="K495" s="62">
        <f ca="1">EFEITO!$L$495*EFEITO!$Z$495</f>
        <v>154621.3410448709</v>
      </c>
      <c r="L495" s="62">
        <f>EFEITO!$N$495*EFEITO!$AA$495</f>
        <v>51612.583036029013</v>
      </c>
      <c r="M495" s="62">
        <f>$J$495-EFEITO!$K$495*EFEITO!$Y$495</f>
        <v>0</v>
      </c>
      <c r="N495" s="62">
        <f ca="1">$K$495-EFEITO!$M$495*EFEITO!$Z$495</f>
        <v>0</v>
      </c>
      <c r="O495" s="62">
        <f>$L$495-EFEITO!$O$495*EFEITO!$AA$495</f>
        <v>0</v>
      </c>
      <c r="P495" s="45"/>
      <c r="Q495" s="45"/>
      <c r="R495" s="45"/>
      <c r="S495" s="45"/>
      <c r="T495" s="45"/>
      <c r="U495" s="45"/>
      <c r="V495" s="45"/>
      <c r="W495" s="45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41" t="s">
        <v>21</v>
      </c>
      <c r="B496" s="41" t="s">
        <v>45</v>
      </c>
      <c r="C496" s="41" t="s">
        <v>23</v>
      </c>
      <c r="D496" s="41" t="s">
        <v>46</v>
      </c>
      <c r="E496" s="41" t="s">
        <v>47</v>
      </c>
      <c r="F496" s="41" t="s">
        <v>25</v>
      </c>
      <c r="G496" s="41" t="s">
        <v>25</v>
      </c>
      <c r="H496" s="41" t="s">
        <v>25</v>
      </c>
      <c r="I496" s="61">
        <v>44501</v>
      </c>
      <c r="J496" s="62">
        <f>EFEITO!$J$496*EFEITO!$Y$496</f>
        <v>0</v>
      </c>
      <c r="K496" s="62">
        <f ca="1">EFEITO!$L$496*EFEITO!$Z$496</f>
        <v>139333.70664994698</v>
      </c>
      <c r="L496" s="62">
        <f>EFEITO!$N$496*EFEITO!$AA$496</f>
        <v>46509.572712224573</v>
      </c>
      <c r="M496" s="62">
        <f>$J$496-EFEITO!$K$496*EFEITO!$Y$496</f>
        <v>0</v>
      </c>
      <c r="N496" s="62">
        <f ca="1">$K$496-EFEITO!$M$496*EFEITO!$Z$496</f>
        <v>0</v>
      </c>
      <c r="O496" s="62">
        <f>$L$496-EFEITO!$O$496*EFEITO!$AA$496</f>
        <v>0</v>
      </c>
      <c r="P496" s="45"/>
      <c r="Q496" s="45"/>
      <c r="R496" s="45"/>
      <c r="S496" s="45"/>
      <c r="T496" s="45"/>
      <c r="U496" s="45"/>
      <c r="V496" s="45"/>
      <c r="W496" s="45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41" t="s">
        <v>21</v>
      </c>
      <c r="B497" s="41" t="s">
        <v>45</v>
      </c>
      <c r="C497" s="41" t="s">
        <v>23</v>
      </c>
      <c r="D497" s="41" t="s">
        <v>46</v>
      </c>
      <c r="E497" s="41" t="s">
        <v>47</v>
      </c>
      <c r="F497" s="41" t="s">
        <v>25</v>
      </c>
      <c r="G497" s="41" t="s">
        <v>25</v>
      </c>
      <c r="H497" s="41" t="s">
        <v>25</v>
      </c>
      <c r="I497" s="61">
        <v>44531</v>
      </c>
      <c r="J497" s="62">
        <f>EFEITO!$J$497*EFEITO!$Y$497</f>
        <v>0</v>
      </c>
      <c r="K497" s="62">
        <f ca="1">EFEITO!$L$497*EFEITO!$Z$497</f>
        <v>141274.04206371796</v>
      </c>
      <c r="L497" s="62">
        <f>EFEITO!$N$497*EFEITO!$AA$497</f>
        <v>47157.256414773372</v>
      </c>
      <c r="M497" s="62">
        <f>$J$497-EFEITO!$K$497*EFEITO!$Y$497</f>
        <v>0</v>
      </c>
      <c r="N497" s="62">
        <f ca="1">$K$497-EFEITO!$M$497*EFEITO!$Z$497</f>
        <v>0</v>
      </c>
      <c r="O497" s="62">
        <f>$L$497-EFEITO!$O$497*EFEITO!$AA$497</f>
        <v>0</v>
      </c>
      <c r="P497" s="45"/>
      <c r="Q497" s="45"/>
      <c r="R497" s="45"/>
      <c r="S497" s="45"/>
      <c r="T497" s="45"/>
      <c r="U497" s="45"/>
      <c r="V497" s="45"/>
      <c r="W497" s="45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41" t="s">
        <v>21</v>
      </c>
      <c r="B498" s="41" t="s">
        <v>45</v>
      </c>
      <c r="C498" s="41" t="s">
        <v>23</v>
      </c>
      <c r="D498" s="41" t="s">
        <v>46</v>
      </c>
      <c r="E498" s="41" t="s">
        <v>47</v>
      </c>
      <c r="F498" s="41" t="s">
        <v>25</v>
      </c>
      <c r="G498" s="41" t="s">
        <v>25</v>
      </c>
      <c r="H498" s="41" t="s">
        <v>25</v>
      </c>
      <c r="I498" s="61">
        <v>44562</v>
      </c>
      <c r="J498" s="62">
        <f>EFEITO!$J$498*EFEITO!$Y$498</f>
        <v>0</v>
      </c>
      <c r="K498" s="62">
        <f ca="1">EFEITO!$L$498*EFEITO!$Z$498</f>
        <v>144934.98092061357</v>
      </c>
      <c r="L498" s="62">
        <f>EFEITO!$N$498*EFEITO!$AA$498</f>
        <v>48379.27731735057</v>
      </c>
      <c r="M498" s="62">
        <f>$J$498-EFEITO!$K$498*EFEITO!$Y$498</f>
        <v>0</v>
      </c>
      <c r="N498" s="62">
        <f ca="1">$K$498-EFEITO!$M$498*EFEITO!$Z$498</f>
        <v>0</v>
      </c>
      <c r="O498" s="62">
        <f>$L$498-EFEITO!$O$498*EFEITO!$AA$498</f>
        <v>0</v>
      </c>
      <c r="P498" s="45"/>
      <c r="Q498" s="45"/>
      <c r="R498" s="45"/>
      <c r="S498" s="45"/>
      <c r="T498" s="45"/>
      <c r="U498" s="45"/>
      <c r="V498" s="45"/>
      <c r="W498" s="45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41" t="s">
        <v>21</v>
      </c>
      <c r="B499" s="41" t="s">
        <v>45</v>
      </c>
      <c r="C499" s="41" t="s">
        <v>23</v>
      </c>
      <c r="D499" s="41" t="s">
        <v>46</v>
      </c>
      <c r="E499" s="41" t="s">
        <v>47</v>
      </c>
      <c r="F499" s="41" t="s">
        <v>25</v>
      </c>
      <c r="G499" s="41" t="s">
        <v>25</v>
      </c>
      <c r="H499" s="41" t="s">
        <v>25</v>
      </c>
      <c r="I499" s="61">
        <v>44593</v>
      </c>
      <c r="J499" s="62">
        <f>EFEITO!$J$499*EFEITO!$Y$499</f>
        <v>0</v>
      </c>
      <c r="K499" s="62">
        <f ca="1">EFEITO!$L$499*EFEITO!$Z$499</f>
        <v>139730.81262099455</v>
      </c>
      <c r="L499" s="62">
        <f>EFEITO!$N$499*EFEITO!$AA$499</f>
        <v>46642.126632442145</v>
      </c>
      <c r="M499" s="62">
        <f>$J$499-EFEITO!$K$499*EFEITO!$Y$499</f>
        <v>0</v>
      </c>
      <c r="N499" s="62">
        <f ca="1">$K$499-EFEITO!$M$499*EFEITO!$Z$499</f>
        <v>0</v>
      </c>
      <c r="O499" s="62">
        <f>$L$499-EFEITO!$O$499*EFEITO!$AA$499</f>
        <v>0</v>
      </c>
      <c r="P499" s="45"/>
      <c r="Q499" s="45"/>
      <c r="R499" s="45"/>
      <c r="S499" s="45"/>
      <c r="T499" s="45"/>
      <c r="U499" s="45"/>
      <c r="V499" s="45"/>
      <c r="W499" s="45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41" t="s">
        <v>21</v>
      </c>
      <c r="B500" s="41" t="s">
        <v>45</v>
      </c>
      <c r="C500" s="41" t="s">
        <v>23</v>
      </c>
      <c r="D500" s="41" t="s">
        <v>46</v>
      </c>
      <c r="E500" s="41" t="s">
        <v>47</v>
      </c>
      <c r="F500" s="41" t="s">
        <v>25</v>
      </c>
      <c r="G500" s="41" t="s">
        <v>25</v>
      </c>
      <c r="H500" s="41" t="s">
        <v>25</v>
      </c>
      <c r="I500" s="61">
        <v>44621</v>
      </c>
      <c r="J500" s="62">
        <f>EFEITO!$J$500*EFEITO!$Y$500</f>
        <v>0</v>
      </c>
      <c r="K500" s="62">
        <f ca="1">EFEITO!$L$500*EFEITO!$Z$500</f>
        <v>166545.29876694048</v>
      </c>
      <c r="L500" s="62">
        <f>EFEITO!$N$500*EFEITO!$AA$500</f>
        <v>55592.798534676258</v>
      </c>
      <c r="M500" s="62">
        <f>$J$500-EFEITO!$K$500*EFEITO!$Y$500</f>
        <v>0</v>
      </c>
      <c r="N500" s="62">
        <f ca="1">$K$500-EFEITO!$M$500*EFEITO!$Z$500</f>
        <v>0</v>
      </c>
      <c r="O500" s="62">
        <f>$L$500-EFEITO!$O$500*EFEITO!$AA$500</f>
        <v>0</v>
      </c>
      <c r="P500" s="45"/>
      <c r="Q500" s="45"/>
      <c r="R500" s="45"/>
      <c r="S500" s="45"/>
      <c r="T500" s="45"/>
      <c r="U500" s="45"/>
      <c r="V500" s="45"/>
      <c r="W500" s="45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41" t="s">
        <v>21</v>
      </c>
      <c r="B501" s="41" t="s">
        <v>45</v>
      </c>
      <c r="C501" s="41" t="s">
        <v>23</v>
      </c>
      <c r="D501" s="41" t="s">
        <v>46</v>
      </c>
      <c r="E501" s="41" t="s">
        <v>47</v>
      </c>
      <c r="F501" s="41" t="s">
        <v>25</v>
      </c>
      <c r="G501" s="41" t="s">
        <v>25</v>
      </c>
      <c r="H501" s="41" t="s">
        <v>25</v>
      </c>
      <c r="I501" s="61">
        <v>44652</v>
      </c>
      <c r="J501" s="62">
        <f>EFEITO!$J$501*EFEITO!$Y$501</f>
        <v>0</v>
      </c>
      <c r="K501" s="62">
        <f ca="1">EFEITO!$L$501*EFEITO!$Z$501</f>
        <v>173257.71336421446</v>
      </c>
      <c r="L501" s="62">
        <f>EFEITO!$N$501*EFEITO!$AA$501</f>
        <v>57833.401632753892</v>
      </c>
      <c r="M501" s="62">
        <f>$J$501-EFEITO!$K$501*EFEITO!$Y$501</f>
        <v>0</v>
      </c>
      <c r="N501" s="62">
        <f ca="1">$K$501-EFEITO!$M$501*EFEITO!$Z$501</f>
        <v>0</v>
      </c>
      <c r="O501" s="62">
        <f>$L$501-EFEITO!$O$501*EFEITO!$AA$501</f>
        <v>0</v>
      </c>
      <c r="P501" s="45"/>
      <c r="Q501" s="45"/>
      <c r="R501" s="45"/>
      <c r="S501" s="45"/>
      <c r="T501" s="45"/>
      <c r="U501" s="45"/>
      <c r="V501" s="45"/>
      <c r="W501" s="45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41" t="s">
        <v>21</v>
      </c>
      <c r="B502" s="41" t="s">
        <v>45</v>
      </c>
      <c r="C502" s="41" t="s">
        <v>23</v>
      </c>
      <c r="D502" s="41" t="s">
        <v>46</v>
      </c>
      <c r="E502" s="41" t="s">
        <v>47</v>
      </c>
      <c r="F502" s="41" t="s">
        <v>25</v>
      </c>
      <c r="G502" s="41" t="s">
        <v>25</v>
      </c>
      <c r="H502" s="41" t="s">
        <v>25</v>
      </c>
      <c r="I502" s="61">
        <v>44682</v>
      </c>
      <c r="J502" s="62">
        <f>EFEITO!$J$502*EFEITO!$Y$502</f>
        <v>0</v>
      </c>
      <c r="K502" s="62">
        <f ca="1">EFEITO!$L$502*EFEITO!$Z$502</f>
        <v>189106.59086488557</v>
      </c>
      <c r="L502" s="62">
        <f>EFEITO!$N$502*EFEITO!$AA$502</f>
        <v>63123.754830465827</v>
      </c>
      <c r="M502" s="62">
        <f>$J$502-EFEITO!$K$502*EFEITO!$Y$502</f>
        <v>0</v>
      </c>
      <c r="N502" s="62">
        <f ca="1">$K$502-EFEITO!$M$502*EFEITO!$Z$502</f>
        <v>0</v>
      </c>
      <c r="O502" s="62">
        <f>$L$502-EFEITO!$O$502*EFEITO!$AA$502</f>
        <v>0</v>
      </c>
      <c r="P502" s="45"/>
      <c r="Q502" s="45"/>
      <c r="R502" s="45"/>
      <c r="S502" s="45"/>
      <c r="T502" s="45"/>
      <c r="U502" s="45"/>
      <c r="V502" s="45"/>
      <c r="W502" s="45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41" t="s">
        <v>21</v>
      </c>
      <c r="B503" s="41" t="s">
        <v>45</v>
      </c>
      <c r="C503" s="41" t="s">
        <v>23</v>
      </c>
      <c r="D503" s="41" t="s">
        <v>46</v>
      </c>
      <c r="E503" s="41" t="s">
        <v>47</v>
      </c>
      <c r="F503" s="41" t="s">
        <v>25</v>
      </c>
      <c r="G503" s="41" t="s">
        <v>25</v>
      </c>
      <c r="H503" s="41" t="s">
        <v>25</v>
      </c>
      <c r="I503" s="61">
        <v>44713</v>
      </c>
      <c r="J503" s="62">
        <f>EFEITO!$J$503*EFEITO!$Y$503</f>
        <v>0</v>
      </c>
      <c r="K503" s="62">
        <f ca="1">EFEITO!$L$503*EFEITO!$Z$503</f>
        <v>187922.83687500094</v>
      </c>
      <c r="L503" s="62">
        <f>EFEITO!$N$503*EFEITO!$AA$503</f>
        <v>62728.617906388696</v>
      </c>
      <c r="M503" s="62">
        <f>$J$503-EFEITO!$K$503*EFEITO!$Y$503</f>
        <v>0</v>
      </c>
      <c r="N503" s="62">
        <f ca="1">$K$503-EFEITO!$M$503*EFEITO!$Z$503</f>
        <v>0</v>
      </c>
      <c r="O503" s="62">
        <f>$L$503-EFEITO!$O$503*EFEITO!$AA$503</f>
        <v>0</v>
      </c>
      <c r="P503" s="45"/>
      <c r="Q503" s="45"/>
      <c r="R503" s="45"/>
      <c r="S503" s="45"/>
      <c r="T503" s="45"/>
      <c r="U503" s="45"/>
      <c r="V503" s="45"/>
      <c r="W503" s="45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41" t="s">
        <v>21</v>
      </c>
      <c r="B504" s="41" t="s">
        <v>45</v>
      </c>
      <c r="C504" s="41" t="s">
        <v>23</v>
      </c>
      <c r="D504" s="41" t="s">
        <v>46</v>
      </c>
      <c r="E504" s="41" t="s">
        <v>47</v>
      </c>
      <c r="F504" s="41" t="s">
        <v>25</v>
      </c>
      <c r="G504" s="41" t="s">
        <v>25</v>
      </c>
      <c r="H504" s="41" t="s">
        <v>25</v>
      </c>
      <c r="I504" s="61">
        <v>44743</v>
      </c>
      <c r="J504" s="62">
        <f>EFEITO!$J$504*EFEITO!$Y$504</f>
        <v>0</v>
      </c>
      <c r="K504" s="62">
        <f ca="1">EFEITO!$L$504*EFEITO!$Z$504</f>
        <v>191338.51552025432</v>
      </c>
      <c r="L504" s="62">
        <f>EFEITO!$N$504*EFEITO!$AA$504</f>
        <v>63868.770983002949</v>
      </c>
      <c r="M504" s="62">
        <f>$J$504-EFEITO!$K$504*EFEITO!$Y$504</f>
        <v>0</v>
      </c>
      <c r="N504" s="62">
        <f ca="1">$K$504-EFEITO!$M$504*EFEITO!$Z$504</f>
        <v>0</v>
      </c>
      <c r="O504" s="62">
        <f>$L$504-EFEITO!$O$504*EFEITO!$AA$504</f>
        <v>0</v>
      </c>
      <c r="P504" s="45"/>
      <c r="Q504" s="45"/>
      <c r="R504" s="45"/>
      <c r="S504" s="45"/>
      <c r="T504" s="45"/>
      <c r="U504" s="45"/>
      <c r="V504" s="45"/>
      <c r="W504" s="45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41" t="s">
        <v>57</v>
      </c>
      <c r="B505" s="41" t="s">
        <v>45</v>
      </c>
      <c r="C505" s="41" t="s">
        <v>23</v>
      </c>
      <c r="D505" s="41" t="s">
        <v>46</v>
      </c>
      <c r="E505" s="41" t="s">
        <v>47</v>
      </c>
      <c r="F505" s="41" t="s">
        <v>25</v>
      </c>
      <c r="G505" s="41" t="s">
        <v>25</v>
      </c>
      <c r="H505" s="41" t="s">
        <v>25</v>
      </c>
      <c r="I505" s="61">
        <v>44774</v>
      </c>
      <c r="J505" s="62">
        <f>EFEITO!$J$505*EFEITO!$Y$505</f>
        <v>0</v>
      </c>
      <c r="K505" s="62">
        <f ca="1">EFEITO!$L$505*EFEITO!$Z$505</f>
        <v>191338.51552025432</v>
      </c>
      <c r="L505" s="62">
        <f>EFEITO!$N$505*EFEITO!$AA$505</f>
        <v>63868.770983002949</v>
      </c>
      <c r="M505" s="62">
        <f>$J$505-EFEITO!$K$505*EFEITO!$Y$505</f>
        <v>0</v>
      </c>
      <c r="N505" s="62">
        <f ca="1">$K$505-EFEITO!$M$505*EFEITO!$Z$505</f>
        <v>0</v>
      </c>
      <c r="O505" s="62">
        <f>$L$505-EFEITO!$O$505*EFEITO!$AA$505</f>
        <v>0</v>
      </c>
      <c r="P505" s="45"/>
      <c r="Q505" s="45"/>
      <c r="R505" s="45"/>
      <c r="S505" s="45"/>
      <c r="T505" s="45"/>
      <c r="U505" s="45"/>
      <c r="V505" s="45"/>
      <c r="W505" s="45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</sheetData>
  <mergeCells count="1">
    <mergeCell ref="Q1:AJ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05D-D2F8-435B-9C36-5B07A407A020}">
  <dimension ref="A1:BD111"/>
  <sheetViews>
    <sheetView showGridLines="0" topLeftCell="B32" workbookViewId="0">
      <selection activeCell="L57" sqref="L57:BD111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" style="9" bestFit="1" customWidth="1"/>
    <col min="21" max="21" width="8.7109375" style="9" bestFit="1" customWidth="1"/>
    <col min="22" max="23" width="9.85546875" style="9" bestFit="1" customWidth="1"/>
    <col min="24" max="24" width="5.140625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.85546875" style="9" bestFit="1" customWidth="1"/>
    <col min="41" max="41" width="10" style="9" bestFit="1" customWidth="1"/>
    <col min="42" max="42" width="8.7109375" style="9" bestFit="1" customWidth="1"/>
    <col min="43" max="43" width="10" style="9" bestFit="1" customWidth="1"/>
    <col min="44" max="44" width="8.7109375" style="9" bestFit="1" customWidth="1"/>
    <col min="45" max="46" width="9.85546875" style="9" bestFit="1" customWidth="1"/>
    <col min="47" max="47" width="5.140625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15</v>
      </c>
      <c r="G1" s="91" t="s">
        <v>70</v>
      </c>
      <c r="H1" s="91" t="s">
        <v>71</v>
      </c>
      <c r="I1" s="91" t="s">
        <v>549</v>
      </c>
      <c r="J1" s="82"/>
      <c r="L1" s="92" t="s">
        <v>749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750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2"/>
      <c r="L2" s="92" t="s">
        <v>448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448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2"/>
      <c r="L3" s="92" t="s">
        <v>449</v>
      </c>
      <c r="M3" s="92"/>
      <c r="N3" s="92"/>
      <c r="O3" s="92"/>
      <c r="P3" s="92"/>
      <c r="Q3" s="92"/>
      <c r="R3" s="92"/>
      <c r="S3" s="92"/>
      <c r="T3" s="92" t="s">
        <v>458</v>
      </c>
      <c r="U3" s="92"/>
      <c r="V3" s="92"/>
      <c r="W3" s="92"/>
      <c r="X3" s="92"/>
      <c r="Y3" s="92"/>
      <c r="Z3" s="92"/>
      <c r="AA3" s="10" t="s">
        <v>466</v>
      </c>
      <c r="AB3" s="92" t="s">
        <v>468</v>
      </c>
      <c r="AC3" s="92"/>
      <c r="AD3" s="92" t="s">
        <v>471</v>
      </c>
      <c r="AE3" s="92"/>
      <c r="AF3" s="92"/>
      <c r="AG3" s="92"/>
      <c r="AI3" s="92" t="s">
        <v>449</v>
      </c>
      <c r="AJ3" s="92"/>
      <c r="AK3" s="92"/>
      <c r="AL3" s="92"/>
      <c r="AM3" s="92"/>
      <c r="AN3" s="92"/>
      <c r="AO3" s="92"/>
      <c r="AP3" s="92"/>
      <c r="AQ3" s="92" t="s">
        <v>458</v>
      </c>
      <c r="AR3" s="92"/>
      <c r="AS3" s="92"/>
      <c r="AT3" s="92"/>
      <c r="AU3" s="92"/>
      <c r="AV3" s="92"/>
      <c r="AW3" s="92"/>
      <c r="AX3" s="10" t="s">
        <v>466</v>
      </c>
      <c r="AY3" s="92" t="s">
        <v>468</v>
      </c>
      <c r="AZ3" s="92"/>
      <c r="BA3" s="92" t="s">
        <v>471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2"/>
      <c r="L4" s="10" t="s">
        <v>534</v>
      </c>
      <c r="M4" s="10" t="s">
        <v>450</v>
      </c>
      <c r="N4" s="10" t="s">
        <v>451</v>
      </c>
      <c r="O4" s="10" t="s">
        <v>452</v>
      </c>
      <c r="P4" s="10" t="s">
        <v>453</v>
      </c>
      <c r="Q4" s="10" t="s">
        <v>454</v>
      </c>
      <c r="R4" s="10" t="s">
        <v>455</v>
      </c>
      <c r="S4" s="10" t="s">
        <v>456</v>
      </c>
      <c r="T4" s="10" t="s">
        <v>459</v>
      </c>
      <c r="U4" s="10" t="s">
        <v>460</v>
      </c>
      <c r="V4" s="10" t="s">
        <v>461</v>
      </c>
      <c r="W4" s="10" t="s">
        <v>462</v>
      </c>
      <c r="X4" s="10" t="s">
        <v>463</v>
      </c>
      <c r="Y4" s="10" t="s">
        <v>464</v>
      </c>
      <c r="Z4" s="10" t="s">
        <v>465</v>
      </c>
      <c r="AA4" s="10" t="s">
        <v>467</v>
      </c>
      <c r="AB4" s="10" t="s">
        <v>469</v>
      </c>
      <c r="AC4" s="10" t="s">
        <v>470</v>
      </c>
      <c r="AD4" s="10" t="s">
        <v>472</v>
      </c>
      <c r="AE4" s="10" t="s">
        <v>473</v>
      </c>
      <c r="AF4" s="10" t="s">
        <v>474</v>
      </c>
      <c r="AG4" s="10" t="s">
        <v>475</v>
      </c>
      <c r="AI4" s="10" t="s">
        <v>534</v>
      </c>
      <c r="AJ4" s="10" t="s">
        <v>450</v>
      </c>
      <c r="AK4" s="10" t="s">
        <v>451</v>
      </c>
      <c r="AL4" s="10" t="s">
        <v>452</v>
      </c>
      <c r="AM4" s="10" t="s">
        <v>453</v>
      </c>
      <c r="AN4" s="10" t="s">
        <v>454</v>
      </c>
      <c r="AO4" s="10" t="s">
        <v>455</v>
      </c>
      <c r="AP4" s="10" t="s">
        <v>456</v>
      </c>
      <c r="AQ4" s="10" t="s">
        <v>459</v>
      </c>
      <c r="AR4" s="10" t="s">
        <v>460</v>
      </c>
      <c r="AS4" s="10" t="s">
        <v>461</v>
      </c>
      <c r="AT4" s="10" t="s">
        <v>462</v>
      </c>
      <c r="AU4" s="10" t="s">
        <v>463</v>
      </c>
      <c r="AV4" s="10" t="s">
        <v>464</v>
      </c>
      <c r="AW4" s="10" t="s">
        <v>465</v>
      </c>
      <c r="AX4" s="10" t="s">
        <v>467</v>
      </c>
      <c r="AY4" s="10" t="s">
        <v>469</v>
      </c>
      <c r="AZ4" s="10" t="s">
        <v>470</v>
      </c>
      <c r="BA4" s="10" t="s">
        <v>472</v>
      </c>
      <c r="BB4" s="10" t="s">
        <v>473</v>
      </c>
      <c r="BC4" s="10" t="s">
        <v>474</v>
      </c>
      <c r="BD4" s="10" t="s">
        <v>475</v>
      </c>
    </row>
    <row r="5" spans="1:56" ht="11.25" customHeight="1" x14ac:dyDescent="0.25">
      <c r="A5" s="94" t="s">
        <v>35</v>
      </c>
      <c r="B5" s="94" t="s">
        <v>36</v>
      </c>
      <c r="C5" s="94" t="s">
        <v>25</v>
      </c>
      <c r="D5" s="94" t="s">
        <v>25</v>
      </c>
      <c r="E5" s="94" t="s">
        <v>25</v>
      </c>
      <c r="F5" s="94" t="s">
        <v>25</v>
      </c>
      <c r="G5" s="24" t="s">
        <v>78</v>
      </c>
      <c r="H5" s="24" t="s">
        <v>77</v>
      </c>
      <c r="I5" s="24">
        <f>'MERCADO TUSD'!$U$2</f>
        <v>29261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7.1244353186822824</v>
      </c>
      <c r="U5" s="13">
        <f>('TUSD BE'!$V$5+'TUSD BF'!$V$5+'TUSD CVA'!$V$5)*1</f>
        <v>0.9487146288258087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0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19.216714759755014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4.9797072184465101</v>
      </c>
      <c r="AR5" s="13">
        <v>0.88336629118992105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15.882829847789999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4"/>
      <c r="B6" s="94"/>
      <c r="C6" s="94"/>
      <c r="D6" s="94"/>
      <c r="E6" s="94"/>
      <c r="F6" s="94"/>
      <c r="G6" s="24" t="s">
        <v>79</v>
      </c>
      <c r="H6" s="24" t="s">
        <v>77</v>
      </c>
      <c r="I6" s="24">
        <f>'MERCADO TUSD'!$U$3</f>
        <v>29563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6.5297217410448587</v>
      </c>
      <c r="U6" s="13">
        <f>('TUSD BE'!$V$6+'TUSD BF'!$V$6+'TUSD CVA'!$V$6)*1</f>
        <v>0.85641286547229556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0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4.1123034081831342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4.5640363437722096</v>
      </c>
      <c r="AR6" s="13">
        <v>0.79749716567760398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3.3988823663200001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4"/>
      <c r="B7" s="94"/>
      <c r="C7" s="94"/>
      <c r="D7" s="94"/>
      <c r="E7" s="94"/>
      <c r="F7" s="94"/>
      <c r="G7" s="24" t="s">
        <v>80</v>
      </c>
      <c r="H7" s="24" t="s">
        <v>74</v>
      </c>
      <c r="I7" s="24">
        <f>'MERCADO TUSD'!$U$4</f>
        <v>13359.382</v>
      </c>
      <c r="J7" s="15"/>
      <c r="L7" s="13">
        <f>('TUSD BE'!$L$7+'TUSD BF'!$L$7+'TUSD CVA'!$L$7)*1</f>
        <v>19.791977443955567</v>
      </c>
      <c r="M7" s="13">
        <f>('TUSD BE'!$M$7+'TUSD BF'!$M$7+'TUSD CVA'!$M$7)*1</f>
        <v>0.22900618116629898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55.775190308115299</v>
      </c>
      <c r="R7" s="13">
        <f>('TUSD BE'!$R$7+'TUSD BF'!$R$7+'TUSD CVA'!$R$7)*1</f>
        <v>14.216978163284399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2.6149912419776498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21.439004947984099</v>
      </c>
      <c r="AJ7" s="13">
        <v>0.21607858907317301</v>
      </c>
      <c r="AK7" s="13">
        <v>0</v>
      </c>
      <c r="AL7" s="13">
        <v>0</v>
      </c>
      <c r="AM7" s="13">
        <v>0</v>
      </c>
      <c r="AN7" s="13">
        <v>37.135119736827903</v>
      </c>
      <c r="AO7" s="13">
        <v>8.6989927815907002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3.1031003964227701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4"/>
      <c r="B8" s="94"/>
      <c r="C8" s="94"/>
      <c r="D8" s="94"/>
      <c r="E8" s="23" t="s">
        <v>81</v>
      </c>
      <c r="F8" s="23" t="s">
        <v>25</v>
      </c>
      <c r="G8" s="24" t="s">
        <v>80</v>
      </c>
      <c r="H8" s="24" t="s">
        <v>74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0.22900618116629898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2.6149912419776498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0.21607858907317301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3.1031003964227701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4" t="s">
        <v>39</v>
      </c>
      <c r="B9" s="94" t="s">
        <v>36</v>
      </c>
      <c r="C9" s="94" t="s">
        <v>25</v>
      </c>
      <c r="D9" s="94" t="s">
        <v>25</v>
      </c>
      <c r="E9" s="94" t="s">
        <v>25</v>
      </c>
      <c r="F9" s="94" t="s">
        <v>25</v>
      </c>
      <c r="G9" s="24" t="s">
        <v>78</v>
      </c>
      <c r="H9" s="24" t="s">
        <v>77</v>
      </c>
      <c r="I9" s="24">
        <f>'MERCADO TUSD'!$U$6</f>
        <v>78276</v>
      </c>
      <c r="J9" s="15"/>
      <c r="L9" s="13">
        <f>('TUSD BE'!$L$9+'TUSD BF'!$L$9+'TUSD CVA'!$L$9)*1</f>
        <v>0</v>
      </c>
      <c r="M9" s="13">
        <f>('TUSD BE'!$M$9+'TUSD BF'!$M$9+'TUSD CVA'!$M$9)*1</f>
        <v>0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7.052897753587021</v>
      </c>
      <c r="U9" s="13">
        <f>('TUSD BE'!$V$9+'TUSD BF'!$V$9+'TUSD CVA'!$V$9)*1</f>
        <v>0.99515359340941134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39.059945237321109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4.9296475525761601</v>
      </c>
      <c r="AR9" s="13">
        <v>0.92667097948707999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32.283559797387397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4"/>
      <c r="B10" s="94"/>
      <c r="C10" s="94"/>
      <c r="D10" s="94"/>
      <c r="E10" s="94"/>
      <c r="F10" s="94"/>
      <c r="G10" s="24" t="s">
        <v>79</v>
      </c>
      <c r="H10" s="24" t="s">
        <v>77</v>
      </c>
      <c r="I10" s="24">
        <f>'MERCADO TUSD'!$U$7</f>
        <v>80403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6.5416958399234648</v>
      </c>
      <c r="U10" s="13">
        <f>('TUSD BE'!$V$10+'TUSD BF'!$V$10+'TUSD CVA'!$V$10)*1</f>
        <v>0.91598841060808378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0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10.914629278712802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4.5723796214172703</v>
      </c>
      <c r="AR10" s="13">
        <v>0.85289262164747504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9.0211025116825407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4"/>
      <c r="B11" s="94"/>
      <c r="C11" s="94"/>
      <c r="D11" s="94"/>
      <c r="E11" s="94"/>
      <c r="F11" s="94"/>
      <c r="G11" s="24" t="s">
        <v>80</v>
      </c>
      <c r="H11" s="24" t="s">
        <v>74</v>
      </c>
      <c r="I11" s="24">
        <f>'MERCADO TUSD'!$U$8</f>
        <v>42487.271000000008</v>
      </c>
      <c r="J11" s="15"/>
      <c r="L11" s="13">
        <f>('TUSD BE'!$L$11+'TUSD BF'!$L$11+'TUSD CVA'!$L$11)*1</f>
        <v>26.814937182133349</v>
      </c>
      <c r="M11" s="13">
        <f>('TUSD BE'!$M$11+'TUSD BF'!$M$11+'TUSD CVA'!$M$11)*1</f>
        <v>0.4286643669578209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75.566386869059428</v>
      </c>
      <c r="R11" s="13">
        <f>('TUSD BE'!$R$11+'TUSD BF'!$R$11+'TUSD CVA'!$R$11)*1</f>
        <v>14.216978163284399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0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0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4.6164632743223413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27.838707917531501</v>
      </c>
      <c r="AJ11" s="13">
        <v>0.43400110919504598</v>
      </c>
      <c r="AK11" s="13">
        <v>0</v>
      </c>
      <c r="AL11" s="13">
        <v>0</v>
      </c>
      <c r="AM11" s="13">
        <v>0</v>
      </c>
      <c r="AN11" s="13">
        <v>48.2202301060303</v>
      </c>
      <c r="AO11" s="13">
        <v>8.6989927815907002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5.4782146531549802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4"/>
      <c r="B12" s="94"/>
      <c r="C12" s="94"/>
      <c r="D12" s="94"/>
      <c r="E12" s="23" t="s">
        <v>81</v>
      </c>
      <c r="F12" s="23" t="s">
        <v>25</v>
      </c>
      <c r="G12" s="24" t="s">
        <v>80</v>
      </c>
      <c r="H12" s="24" t="s">
        <v>74</v>
      </c>
      <c r="I12" s="24">
        <f>'MERCADO TUSD'!$U$9</f>
        <v>0</v>
      </c>
      <c r="J12" s="15"/>
      <c r="L12" s="13">
        <f>('TUSD BE'!$L$12+'TUSD BF'!$L$12+'TUSD CVA'!$L$12)*1</f>
        <v>0</v>
      </c>
      <c r="M12" s="13">
        <f>('TUSD BE'!$M$12+'TUSD BF'!$M$12+'TUSD CVA'!$M$12)*1</f>
        <v>0.4286643669578209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0</v>
      </c>
      <c r="R12" s="13">
        <f>('TUSD BE'!$R$12+'TUSD BF'!$R$12+'TUSD CVA'!$R$12)*1</f>
        <v>0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4.6164632743223413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0.43400110919504598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5.4782146531549802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4"/>
      <c r="B13" s="23" t="s">
        <v>82</v>
      </c>
      <c r="C13" s="23" t="s">
        <v>25</v>
      </c>
      <c r="D13" s="23" t="s">
        <v>25</v>
      </c>
      <c r="E13" s="23" t="s">
        <v>25</v>
      </c>
      <c r="F13" s="23" t="s">
        <v>25</v>
      </c>
      <c r="G13" s="24" t="s">
        <v>9</v>
      </c>
      <c r="H13" s="24" t="s">
        <v>77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1.0492803164247777E-2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0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4.9378231180043777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0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9.2818323978614298E-3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4.0811501366393497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4"/>
      <c r="B14" s="94" t="s">
        <v>40</v>
      </c>
      <c r="C14" s="94" t="s">
        <v>25</v>
      </c>
      <c r="D14" s="94" t="s">
        <v>25</v>
      </c>
      <c r="E14" s="94" t="s">
        <v>25</v>
      </c>
      <c r="F14" s="94" t="s">
        <v>25</v>
      </c>
      <c r="G14" s="24" t="s">
        <v>9</v>
      </c>
      <c r="H14" s="24" t="s">
        <v>77</v>
      </c>
      <c r="I14" s="24">
        <f>'MERCADO TUSD'!$U$11</f>
        <v>631372</v>
      </c>
      <c r="J14" s="15"/>
      <c r="L14" s="13">
        <f>('TUSD BE'!$L$14+'TUSD BF'!$L$14+'TUSD CVA'!$L$14)*1</f>
        <v>0</v>
      </c>
      <c r="M14" s="13">
        <f>('TUSD BE'!$M$14+'TUSD BF'!$M$14+'TUSD CVA'!$M$14)*1</f>
        <v>0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6.5416958399234648</v>
      </c>
      <c r="U14" s="13">
        <f>('TUSD BE'!$V$14+'TUSD BF'!$V$14+'TUSD CVA'!$V$14)*1</f>
        <v>0.91598841060808378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10.914629278712802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0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4.5723796214172703</v>
      </c>
      <c r="AR14" s="13">
        <v>0.85289262164747504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9.0211025116825407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4"/>
      <c r="B15" s="94"/>
      <c r="C15" s="94"/>
      <c r="D15" s="94"/>
      <c r="E15" s="94"/>
      <c r="F15" s="94"/>
      <c r="G15" s="24" t="s">
        <v>75</v>
      </c>
      <c r="H15" s="24" t="s">
        <v>74</v>
      </c>
      <c r="I15" s="24">
        <f>'MERCADO TUSD'!$U$12</f>
        <v>10453.218999999997</v>
      </c>
      <c r="J15" s="15"/>
      <c r="L15" s="13">
        <f>('TUSD BE'!$L$15+'TUSD BF'!$L$15+'TUSD CVA'!$L$15)*1</f>
        <v>26.814937182133349</v>
      </c>
      <c r="M15" s="13">
        <f>('TUSD BE'!$M$15+'TUSD BF'!$M$15+'TUSD CVA'!$M$15)*1</f>
        <v>0.4286643669578209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75.566386869059428</v>
      </c>
      <c r="R15" s="13">
        <f>('TUSD BE'!$R$15+'TUSD BF'!$R$15+'TUSD CVA'!$R$15)*1</f>
        <v>14.216978163284399</v>
      </c>
      <c r="S15" s="13">
        <f>('TUSD BE'!$S$15+'TUSD BF'!$S$15+'TUSD CVA'!$S$15)*1</f>
        <v>0</v>
      </c>
      <c r="T15" s="13">
        <f>('TUSD BE'!$U$15+'TUSD BF'!$U$15+'TUSD CVA'!$U$15)*1</f>
        <v>169.62093983394911</v>
      </c>
      <c r="U15" s="13">
        <f>('TUSD BE'!$V$15+'TUSD BF'!$V$15+'TUSD CVA'!$V$15)*1</f>
        <v>23.936808729848305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939.39295337364933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4.6164632743223413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27.838707917531501</v>
      </c>
      <c r="AJ15" s="13">
        <v>0.43400110919504598</v>
      </c>
      <c r="AK15" s="13">
        <v>0</v>
      </c>
      <c r="AL15" s="13">
        <v>0</v>
      </c>
      <c r="AM15" s="13">
        <v>0</v>
      </c>
      <c r="AN15" s="13">
        <v>48.2202301060303</v>
      </c>
      <c r="AO15" s="13">
        <v>8.6989927815907002</v>
      </c>
      <c r="AP15" s="13">
        <v>0</v>
      </c>
      <c r="AQ15" s="13">
        <v>118.557536216394</v>
      </c>
      <c r="AR15" s="13">
        <v>22.288836703921799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776.41991150344302</v>
      </c>
      <c r="AY15" s="13">
        <v>0</v>
      </c>
      <c r="AZ15" s="13">
        <v>0</v>
      </c>
      <c r="BA15" s="13">
        <v>5.4782146531549802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4"/>
      <c r="B16" s="94"/>
      <c r="C16" s="94"/>
      <c r="D16" s="94"/>
      <c r="E16" s="94"/>
      <c r="F16" s="94"/>
      <c r="G16" s="24" t="s">
        <v>76</v>
      </c>
      <c r="H16" s="24" t="s">
        <v>74</v>
      </c>
      <c r="I16" s="24">
        <f>'MERCADO TUSD'!$U$13</f>
        <v>162523.609</v>
      </c>
      <c r="J16" s="15"/>
      <c r="L16" s="13">
        <f>('TUSD BE'!$L$16+'TUSD BF'!$L$16+'TUSD CVA'!$L$16)*1</f>
        <v>26.814937182133349</v>
      </c>
      <c r="M16" s="13">
        <f>('TUSD BE'!$M$16+'TUSD BF'!$M$16+'TUSD CVA'!$M$16)*1</f>
        <v>0.4286643669578209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75.566386869059428</v>
      </c>
      <c r="R16" s="13">
        <f>('TUSD BE'!$R$16+'TUSD BF'!$R$16+'TUSD CVA'!$R$16)*1</f>
        <v>14.216978163284399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0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4.6164632743223413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27.838707917531501</v>
      </c>
      <c r="AJ16" s="13">
        <v>0.43400110919504598</v>
      </c>
      <c r="AK16" s="13">
        <v>0</v>
      </c>
      <c r="AL16" s="13">
        <v>0</v>
      </c>
      <c r="AM16" s="13">
        <v>0</v>
      </c>
      <c r="AN16" s="13">
        <v>48.2202301060303</v>
      </c>
      <c r="AO16" s="13">
        <v>8.6989927815907002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5.4782146531549802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4"/>
      <c r="B17" s="94"/>
      <c r="C17" s="94"/>
      <c r="D17" s="94"/>
      <c r="E17" s="94" t="s">
        <v>81</v>
      </c>
      <c r="F17" s="94" t="s">
        <v>25</v>
      </c>
      <c r="G17" s="24" t="s">
        <v>75</v>
      </c>
      <c r="H17" s="24" t="s">
        <v>74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0.4286643669578209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0</v>
      </c>
      <c r="R17" s="13">
        <f>('TUSD BE'!$R$17+'TUSD BF'!$R$17+'TUSD CVA'!$R$17)*1</f>
        <v>0</v>
      </c>
      <c r="S17" s="13">
        <f>('TUSD BE'!$S$17+'TUSD BF'!$S$17+'TUSD CVA'!$S$17)*1</f>
        <v>0</v>
      </c>
      <c r="T17" s="13">
        <f>('TUSD BE'!$U$17+'TUSD BF'!$U$17+'TUSD CVA'!$U$17)*1</f>
        <v>169.62093983394911</v>
      </c>
      <c r="U17" s="13">
        <f>('TUSD BE'!$V$17+'TUSD BF'!$V$17+'TUSD CVA'!$V$17)*1</f>
        <v>23.936808729848305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0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939.39295337364933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4.6164632743223413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0.43400110919504598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118.557536216394</v>
      </c>
      <c r="AR17" s="13">
        <v>22.288836703921799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776.41991150344302</v>
      </c>
      <c r="AY17" s="13">
        <v>0</v>
      </c>
      <c r="AZ17" s="13">
        <v>0</v>
      </c>
      <c r="BA17" s="13">
        <v>5.4782146531549802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4"/>
      <c r="B18" s="94"/>
      <c r="C18" s="94"/>
      <c r="D18" s="94"/>
      <c r="E18" s="94"/>
      <c r="F18" s="94"/>
      <c r="G18" s="24" t="s">
        <v>76</v>
      </c>
      <c r="H18" s="24" t="s">
        <v>74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0.4286643669578209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0</v>
      </c>
      <c r="R18" s="13">
        <f>('TUSD BE'!$R$18+'TUSD BF'!$R$18+'TUSD CVA'!$R$18)*1</f>
        <v>0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0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0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4.6164632743223413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0.43400110919504598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5.4782146531549802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4" t="s">
        <v>83</v>
      </c>
      <c r="B19" s="94" t="s">
        <v>82</v>
      </c>
      <c r="C19" s="94" t="s">
        <v>25</v>
      </c>
      <c r="D19" s="94" t="s">
        <v>25</v>
      </c>
      <c r="E19" s="23" t="s">
        <v>84</v>
      </c>
      <c r="F19" s="23" t="s">
        <v>25</v>
      </c>
      <c r="G19" s="24" t="s">
        <v>9</v>
      </c>
      <c r="H19" s="24" t="s">
        <v>77</v>
      </c>
      <c r="I19" s="24">
        <f>'MERCADO TUSD'!$U$16+0.00000001</f>
        <v>1E-8</v>
      </c>
      <c r="J19" s="15"/>
      <c r="L19" s="13">
        <f>('TUSD BE'!$L$19+'TUSD BF'!$L$19+'TUSD CVA'!$L$19)*1</f>
        <v>0</v>
      </c>
      <c r="M19" s="13">
        <f>('TUSD BE'!$M$19+'TUSD BF'!$M$19+'TUSD CVA'!$M$19)*1</f>
        <v>1.0792597540369143E-2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0</v>
      </c>
      <c r="R19" s="13">
        <f>('TUSD BE'!$R$19+'TUSD BF'!$R$19+'TUSD CVA'!$R$19)*1</f>
        <v>0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0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5.0932819273865286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0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9.5521770308088505E-3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4.2096547149824399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4"/>
      <c r="B20" s="94"/>
      <c r="C20" s="94"/>
      <c r="D20" s="94"/>
      <c r="E20" s="23" t="s">
        <v>85</v>
      </c>
      <c r="F20" s="23" t="s">
        <v>25</v>
      </c>
      <c r="G20" s="24" t="s">
        <v>9</v>
      </c>
      <c r="H20" s="24" t="s">
        <v>77</v>
      </c>
      <c r="I20" s="24">
        <f>'MERCADO TUSD'!$U$17+0.00000001</f>
        <v>1E-8</v>
      </c>
      <c r="J20" s="15"/>
      <c r="L20" s="13">
        <f>('TUSD BE'!$L$20+'TUSD BF'!$L$20+'TUSD CVA'!$L$20)*1</f>
        <v>0</v>
      </c>
      <c r="M20" s="13">
        <f>('TUSD BE'!$M$20+'TUSD BF'!$M$20+'TUSD CVA'!$M$20)*1</f>
        <v>1.0792597540369143E-2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0</v>
      </c>
      <c r="R20" s="13">
        <f>('TUSD BE'!$R$20+'TUSD BF'!$R$20+'TUSD CVA'!$R$20)*1</f>
        <v>0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0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10.362499765391032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0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9.5521770308088505E-3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8.5647316534279891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4" t="s">
        <v>22</v>
      </c>
      <c r="B21" s="94" t="s">
        <v>55</v>
      </c>
      <c r="C21" s="94" t="s">
        <v>24</v>
      </c>
      <c r="D21" s="94" t="s">
        <v>24</v>
      </c>
      <c r="E21" s="94" t="s">
        <v>25</v>
      </c>
      <c r="F21" s="94" t="s">
        <v>25</v>
      </c>
      <c r="G21" s="24" t="s">
        <v>75</v>
      </c>
      <c r="H21" s="24" t="s">
        <v>74</v>
      </c>
      <c r="I21" s="24">
        <f>'MERCADO TUSD'!$U$18</f>
        <v>0.154</v>
      </c>
      <c r="J21" s="15"/>
      <c r="L21" s="13">
        <f>('TUSD BE'!$L$21+'TUSD BF'!$L$21+'TUSD CVA'!$L$21)*1</f>
        <v>31.922544264444465</v>
      </c>
      <c r="M21" s="13">
        <f>('TUSD BE'!$M$21+'TUSD BF'!$M$21+'TUSD CVA'!$M$21)*1</f>
        <v>0.72722963961629883</v>
      </c>
      <c r="N21" s="13">
        <f ca="1">('TUSD BE'!$N$21+'TUSD BF'!$N$21+'TUSD CVA'!$N$21)*1</f>
        <v>0</v>
      </c>
      <c r="O21" s="13">
        <f>('TUSD BE'!$O$21+'TUSD BF'!$O$21+'TUSD CVA'!$O$21)*1</f>
        <v>0</v>
      </c>
      <c r="P21" s="13">
        <f>('TUSD BE'!$P$21+'TUSD BF'!$P$21+'TUSD CVA'!$P$21)*1</f>
        <v>0</v>
      </c>
      <c r="Q21" s="13">
        <f>('TUSD BE'!$Q$21+'TUSD BF'!$Q$21+'TUSD CVA'!$Q$21)*1</f>
        <v>89.959984367927902</v>
      </c>
      <c r="R21" s="13">
        <f>('TUSD BE'!$R$21+'TUSD BF'!$R$21+'TUSD CVA'!$R$21)*1</f>
        <v>14.216978163284399</v>
      </c>
      <c r="S21" s="13">
        <f>('TUSD BE'!$S$21+'TUSD BF'!$S$21+'TUSD CVA'!$S$21)*1</f>
        <v>0</v>
      </c>
      <c r="T21" s="13">
        <f>('TUSD BE'!$U$21+'TUSD BF'!$U$21+'TUSD CVA'!$U$21)*1</f>
        <v>76.856674736860654</v>
      </c>
      <c r="U21" s="13">
        <f>('TUSD BE'!$V$21+'TUSD BF'!$V$21+'TUSD CVA'!$V$21)*1</f>
        <v>10.81532372198167</v>
      </c>
      <c r="V21" s="13">
        <f>('TUSD BE'!$W$21+'TUSD BF'!$W$21+'TUSD CVA'!$W$21)*1</f>
        <v>0</v>
      </c>
      <c r="W21" s="13">
        <f>('TUSD BE'!$X$21+'TUSD BF'!$X$21+'TUSD CVA'!$X$21)*1</f>
        <v>0</v>
      </c>
      <c r="X21" s="13">
        <f>('TUSD BE'!$Y$21+'TUSD BF'!$Y$21+'TUSD CVA'!$Y$21)*1</f>
        <v>0</v>
      </c>
      <c r="Y21" s="13">
        <f>('TUSD BE'!$Z$21+'TUSD BF'!$Z$21+'TUSD CVA'!$Z$21)*1</f>
        <v>0</v>
      </c>
      <c r="Z21" s="13">
        <f>('TUSD BE'!$AA$21+'TUSD BF'!$AA$21+'TUSD CVA'!$AA$21)*1</f>
        <v>0</v>
      </c>
      <c r="AA21" s="13">
        <f>('TUSD BE'!$AC$21+'TUSD BF'!$AC$21+'TUSD CVA'!$AC$21)*1</f>
        <v>438.91178774892654</v>
      </c>
      <c r="AB21" s="13">
        <f ca="1">('TUSD BE'!$AE$21+'TUSD BF'!$AE$21+'TUSD CVA'!$AE$21)*1</f>
        <v>0</v>
      </c>
      <c r="AC21" s="13">
        <f ca="1">('TUSD BE'!$AF$21+'TUSD BF'!$AF$21+'TUSD CVA'!$AF$21)*1</f>
        <v>0</v>
      </c>
      <c r="AD21" s="13">
        <f>('TUSD BE'!$AH$21+'TUSD BF'!$AH$21+'TUSD CVA'!$AH$21)*1</f>
        <v>11.957015288686913</v>
      </c>
      <c r="AE21" s="13">
        <f>('TUSD BE'!$AI$21+'TUSD BF'!$AI$21+'TUSD CVA'!$AI$21)*1</f>
        <v>0</v>
      </c>
      <c r="AF21" s="13">
        <f ca="1">('TUSD BE'!$AJ$21+'TUSD BF'!$AJ$21+'TUSD CVA'!$AJ$21)*1</f>
        <v>0</v>
      </c>
      <c r="AG21" s="13">
        <f ca="1">('TUSD BE'!$AK$21+'TUSD BF'!$AK$21+'TUSD CVA'!$AK$21)*1</f>
        <v>0</v>
      </c>
      <c r="AI21" s="13">
        <v>31.9985148477374</v>
      </c>
      <c r="AJ21" s="13">
        <v>0.75957853923066398</v>
      </c>
      <c r="AK21" s="13">
        <v>0</v>
      </c>
      <c r="AL21" s="13">
        <v>0</v>
      </c>
      <c r="AM21" s="13">
        <v>0</v>
      </c>
      <c r="AN21" s="13">
        <v>55.425551846011899</v>
      </c>
      <c r="AO21" s="13">
        <v>8.6989927815907002</v>
      </c>
      <c r="AP21" s="13">
        <v>0</v>
      </c>
      <c r="AQ21" s="13">
        <v>53.719466565344703</v>
      </c>
      <c r="AR21" s="13">
        <v>10.070745845106099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362.76599130264702</v>
      </c>
      <c r="AY21" s="13">
        <v>0</v>
      </c>
      <c r="AZ21" s="13">
        <v>0</v>
      </c>
      <c r="BA21" s="13">
        <v>14.188949460899901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4"/>
      <c r="B22" s="94"/>
      <c r="C22" s="94"/>
      <c r="D22" s="94"/>
      <c r="E22" s="94"/>
      <c r="F22" s="94"/>
      <c r="G22" s="24" t="s">
        <v>86</v>
      </c>
      <c r="H22" s="24" t="s">
        <v>74</v>
      </c>
      <c r="I22" s="24">
        <f>'MERCADO TUSD'!$U$19</f>
        <v>8.5999999999999993E-2</v>
      </c>
      <c r="J22" s="15"/>
      <c r="L22" s="13">
        <f>('TUSD BE'!$L$22+'TUSD BF'!$L$22+'TUSD CVA'!$L$22)*1</f>
        <v>31.922544264444465</v>
      </c>
      <c r="M22" s="13">
        <f>('TUSD BE'!$M$22+'TUSD BF'!$M$22+'TUSD CVA'!$M$22)*1</f>
        <v>0.72722963961629883</v>
      </c>
      <c r="N22" s="13">
        <f ca="1">('TUSD BE'!$N$22+'TUSD BF'!$N$22+'TUSD CVA'!$N$22)*1</f>
        <v>0</v>
      </c>
      <c r="O22" s="13">
        <f>('TUSD BE'!$O$22+'TUSD BF'!$O$22+'TUSD CVA'!$O$22)*1</f>
        <v>0</v>
      </c>
      <c r="P22" s="13">
        <f>('TUSD BE'!$P$22+'TUSD BF'!$P$22+'TUSD CVA'!$P$22)*1</f>
        <v>0</v>
      </c>
      <c r="Q22" s="13">
        <f>('TUSD BE'!$Q$22+'TUSD BF'!$Q$22+'TUSD CVA'!$Q$22)*1</f>
        <v>89.959984367927902</v>
      </c>
      <c r="R22" s="13">
        <f>('TUSD BE'!$R$22+'TUSD BF'!$R$22+'TUSD CVA'!$R$22)*1</f>
        <v>14.216978163284399</v>
      </c>
      <c r="S22" s="13">
        <f>('TUSD BE'!$S$22+'TUSD BF'!$S$22+'TUSD CVA'!$S$22)*1</f>
        <v>0</v>
      </c>
      <c r="T22" s="13">
        <f>('TUSD BE'!$U$22+'TUSD BF'!$U$22+'TUSD CVA'!$U$22)*1</f>
        <v>46.113943436481115</v>
      </c>
      <c r="U22" s="13">
        <f>('TUSD BE'!$V$22+'TUSD BF'!$V$22+'TUSD CVA'!$V$22)*1</f>
        <v>6.489240326454099</v>
      </c>
      <c r="V22" s="13">
        <f>('TUSD BE'!$W$22+'TUSD BF'!$W$22+'TUSD CVA'!$W$22)*1</f>
        <v>0</v>
      </c>
      <c r="W22" s="13">
        <f>('TUSD BE'!$X$22+'TUSD BF'!$X$22+'TUSD CVA'!$X$22)*1</f>
        <v>0</v>
      </c>
      <c r="X22" s="13">
        <f>('TUSD BE'!$Y$22+'TUSD BF'!$Y$22+'TUSD CVA'!$Y$22)*1</f>
        <v>0</v>
      </c>
      <c r="Y22" s="13">
        <f>('TUSD BE'!$Z$22+'TUSD BF'!$Z$22+'TUSD CVA'!$Z$22)*1</f>
        <v>0</v>
      </c>
      <c r="Z22" s="13">
        <f>('TUSD BE'!$AA$22+'TUSD BF'!$AA$22+'TUSD CVA'!$AA$22)*1</f>
        <v>0</v>
      </c>
      <c r="AA22" s="13">
        <f>('TUSD BE'!$AC$22+'TUSD BF'!$AC$22+'TUSD CVA'!$AC$22)*1</f>
        <v>263.34713951335999</v>
      </c>
      <c r="AB22" s="13">
        <f ca="1">('TUSD BE'!$AE$22+'TUSD BF'!$AE$22+'TUSD CVA'!$AE$22)*1</f>
        <v>0</v>
      </c>
      <c r="AC22" s="13">
        <f ca="1">('TUSD BE'!$AF$22+'TUSD BF'!$AF$22+'TUSD CVA'!$AF$22)*1</f>
        <v>0</v>
      </c>
      <c r="AD22" s="13">
        <f>('TUSD BE'!$AH$22+'TUSD BF'!$AH$22+'TUSD CVA'!$AH$22)*1</f>
        <v>11.957015288686913</v>
      </c>
      <c r="AE22" s="13">
        <f>('TUSD BE'!$AI$22+'TUSD BF'!$AI$22+'TUSD CVA'!$AI$22)*1</f>
        <v>0</v>
      </c>
      <c r="AF22" s="13">
        <f ca="1">('TUSD BE'!$AJ$22+'TUSD BF'!$AJ$22+'TUSD CVA'!$AJ$22)*1</f>
        <v>0</v>
      </c>
      <c r="AG22" s="13">
        <f ca="1">('TUSD BE'!$AK$22+'TUSD BF'!$AK$22+'TUSD CVA'!$AK$22)*1</f>
        <v>0</v>
      </c>
      <c r="AI22" s="13">
        <v>31.9985148477374</v>
      </c>
      <c r="AJ22" s="13">
        <v>0.75957853923066398</v>
      </c>
      <c r="AK22" s="13">
        <v>0</v>
      </c>
      <c r="AL22" s="13">
        <v>0</v>
      </c>
      <c r="AM22" s="13">
        <v>0</v>
      </c>
      <c r="AN22" s="13">
        <v>55.425551846011899</v>
      </c>
      <c r="AO22" s="13">
        <v>8.6989927815907002</v>
      </c>
      <c r="AP22" s="13">
        <v>0</v>
      </c>
      <c r="AQ22" s="13">
        <v>32.231662374411798</v>
      </c>
      <c r="AR22" s="13">
        <v>6.0424228320275901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217.65969906844199</v>
      </c>
      <c r="AY22" s="13">
        <v>0</v>
      </c>
      <c r="AZ22" s="13">
        <v>0</v>
      </c>
      <c r="BA22" s="13">
        <v>14.188949460899901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4"/>
      <c r="B23" s="94"/>
      <c r="C23" s="94"/>
      <c r="D23" s="94"/>
      <c r="E23" s="94"/>
      <c r="F23" s="94"/>
      <c r="G23" s="24" t="s">
        <v>76</v>
      </c>
      <c r="H23" s="24" t="s">
        <v>74</v>
      </c>
      <c r="I23" s="24">
        <f>'MERCADO TUSD'!$U$20</f>
        <v>0.95099999999999996</v>
      </c>
      <c r="J23" s="15"/>
      <c r="L23" s="13">
        <f>('TUSD BE'!$L$23+'TUSD BF'!$L$23+'TUSD CVA'!$L$23)*1</f>
        <v>31.922544264444465</v>
      </c>
      <c r="M23" s="13">
        <f>('TUSD BE'!$M$23+'TUSD BF'!$M$23+'TUSD CVA'!$M$23)*1</f>
        <v>0.72722963961629883</v>
      </c>
      <c r="N23" s="13">
        <f ca="1">('TUSD BE'!$N$23+'TUSD BF'!$N$23+'TUSD CVA'!$N$23)*1</f>
        <v>0</v>
      </c>
      <c r="O23" s="13">
        <f>('TUSD BE'!$O$23+'TUSD BF'!$O$23+'TUSD CVA'!$O$23)*1</f>
        <v>0</v>
      </c>
      <c r="P23" s="13">
        <f>('TUSD BE'!$P$23+'TUSD BF'!$P$23+'TUSD CVA'!$P$23)*1</f>
        <v>0</v>
      </c>
      <c r="Q23" s="13">
        <f>('TUSD BE'!$Q$23+'TUSD BF'!$Q$23+'TUSD CVA'!$Q$23)*1</f>
        <v>89.959984367927902</v>
      </c>
      <c r="R23" s="13">
        <f>('TUSD BE'!$R$23+'TUSD BF'!$R$23+'TUSD CVA'!$R$23)*1</f>
        <v>14.216978163284399</v>
      </c>
      <c r="S23" s="13">
        <f>('TUSD BE'!$S$23+'TUSD BF'!$S$23+'TUSD CVA'!$S$23)*1</f>
        <v>0</v>
      </c>
      <c r="T23" s="13">
        <f>('TUSD BE'!$U$23+'TUSD BF'!$U$23+'TUSD CVA'!$U$23)*1</f>
        <v>15.371365650189766</v>
      </c>
      <c r="U23" s="13">
        <f>('TUSD BE'!$V$23+'TUSD BF'!$V$23+'TUSD CVA'!$V$23)*1</f>
        <v>2.1631569309265251</v>
      </c>
      <c r="V23" s="13">
        <f>('TUSD BE'!$W$23+'TUSD BF'!$W$23+'TUSD CVA'!$W$23)*1</f>
        <v>0</v>
      </c>
      <c r="W23" s="13">
        <f>('TUSD BE'!$X$23+'TUSD BF'!$X$23+'TUSD CVA'!$X$23)*1</f>
        <v>0</v>
      </c>
      <c r="X23" s="13">
        <f>('TUSD BE'!$Y$23+'TUSD BF'!$Y$23+'TUSD CVA'!$Y$23)*1</f>
        <v>0</v>
      </c>
      <c r="Y23" s="13">
        <f>('TUSD BE'!$Z$23+'TUSD BF'!$Z$23+'TUSD CVA'!$Z$23)*1</f>
        <v>0</v>
      </c>
      <c r="Z23" s="13">
        <f>('TUSD BE'!$AA$23+'TUSD BF'!$AA$23+'TUSD CVA'!$AA$23)*1</f>
        <v>0</v>
      </c>
      <c r="AA23" s="13">
        <f>('TUSD BE'!$AC$23+'TUSD BF'!$AC$23+'TUSD CVA'!$AC$23)*1</f>
        <v>87.782324117783304</v>
      </c>
      <c r="AB23" s="13">
        <f ca="1">('TUSD BE'!$AE$23+'TUSD BF'!$AE$23+'TUSD CVA'!$AE$23)*1</f>
        <v>0</v>
      </c>
      <c r="AC23" s="13">
        <f ca="1">('TUSD BE'!$AF$23+'TUSD BF'!$AF$23+'TUSD CVA'!$AF$23)*1</f>
        <v>0</v>
      </c>
      <c r="AD23" s="13">
        <f>('TUSD BE'!$AH$23+'TUSD BF'!$AH$23+'TUSD CVA'!$AH$23)*1</f>
        <v>11.957015288686913</v>
      </c>
      <c r="AE23" s="13">
        <f>('TUSD BE'!$AI$23+'TUSD BF'!$AI$23+'TUSD CVA'!$AI$23)*1</f>
        <v>0</v>
      </c>
      <c r="AF23" s="13">
        <f ca="1">('TUSD BE'!$AJ$23+'TUSD BF'!$AJ$23+'TUSD CVA'!$AJ$23)*1</f>
        <v>0</v>
      </c>
      <c r="AG23" s="13">
        <f ca="1">('TUSD BE'!$AK$23+'TUSD BF'!$AK$23+'TUSD CVA'!$AK$23)*1</f>
        <v>0</v>
      </c>
      <c r="AI23" s="13">
        <v>31.9985148477374</v>
      </c>
      <c r="AJ23" s="13">
        <v>0.75957853923066398</v>
      </c>
      <c r="AK23" s="13">
        <v>0</v>
      </c>
      <c r="AL23" s="13">
        <v>0</v>
      </c>
      <c r="AM23" s="13">
        <v>0</v>
      </c>
      <c r="AN23" s="13">
        <v>55.425551846011899</v>
      </c>
      <c r="AO23" s="13">
        <v>8.6989927815907002</v>
      </c>
      <c r="AP23" s="13">
        <v>0</v>
      </c>
      <c r="AQ23" s="13">
        <v>10.743858183478901</v>
      </c>
      <c r="AR23" s="13">
        <v>2.01422319412942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72.553175085673104</v>
      </c>
      <c r="AY23" s="13">
        <v>0</v>
      </c>
      <c r="AZ23" s="13">
        <v>0</v>
      </c>
      <c r="BA23" s="13">
        <v>14.188949460899901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4"/>
      <c r="B24" s="94" t="s">
        <v>23</v>
      </c>
      <c r="C24" s="94" t="s">
        <v>24</v>
      </c>
      <c r="D24" s="23" t="s">
        <v>24</v>
      </c>
      <c r="E24" s="23" t="s">
        <v>25</v>
      </c>
      <c r="F24" s="23" t="s">
        <v>25</v>
      </c>
      <c r="G24" s="24" t="s">
        <v>80</v>
      </c>
      <c r="H24" s="24" t="s">
        <v>74</v>
      </c>
      <c r="I24" s="24">
        <f>'MERCADO TUSD'!$U$21</f>
        <v>58542.483</v>
      </c>
      <c r="J24" s="15"/>
      <c r="L24" s="13">
        <f>('TUSD BE'!$L$24+'TUSD BF'!$L$24+'TUSD CVA'!$L$24)*1</f>
        <v>31.922544264444465</v>
      </c>
      <c r="M24" s="13">
        <f>('TUSD BE'!$M$24+'TUSD BF'!$M$24+'TUSD CVA'!$M$24)*1</f>
        <v>0.72722963961629883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f>('TUSD BE'!$P$24+'TUSD BF'!$P$24+'TUSD CVA'!$P$24)*1</f>
        <v>0</v>
      </c>
      <c r="Q24" s="13">
        <f>('TUSD BE'!$Q$24+'TUSD BF'!$Q$24+'TUSD CVA'!$Q$24)*1</f>
        <v>89.959984367927902</v>
      </c>
      <c r="R24" s="13">
        <f>('TUSD BE'!$R$24+'TUSD BF'!$R$24+'TUSD CVA'!$R$24)*1</f>
        <v>14.216978163284399</v>
      </c>
      <c r="S24" s="13">
        <f>('TUSD BE'!$S$24+'TUSD BF'!$S$24+'TUSD CVA'!$S$24)*1</f>
        <v>0</v>
      </c>
      <c r="T24" s="13">
        <f>('TUSD BE'!$U$24+'TUSD BF'!$U$24+'TUSD CVA'!$U$24)*1</f>
        <v>28.465503316209801</v>
      </c>
      <c r="U24" s="13">
        <f>('TUSD BE'!$V$24+'TUSD BF'!$V$24+'TUSD CVA'!$V$24)*1</f>
        <v>4.0055047367891543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0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162.55993377071428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11.957015288686913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31.9985148477374</v>
      </c>
      <c r="AJ24" s="13">
        <v>0.75957853923066398</v>
      </c>
      <c r="AK24" s="13">
        <v>0</v>
      </c>
      <c r="AL24" s="13">
        <v>0</v>
      </c>
      <c r="AM24" s="13">
        <v>0</v>
      </c>
      <c r="AN24" s="13">
        <v>55.425551846011899</v>
      </c>
      <c r="AO24" s="13">
        <v>8.6989927815907002</v>
      </c>
      <c r="AP24" s="13">
        <v>0</v>
      </c>
      <c r="AQ24" s="13">
        <v>19.896170288181601</v>
      </c>
      <c r="AR24" s="13">
        <v>3.7297550766707399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134.35779386891599</v>
      </c>
      <c r="AY24" s="13">
        <v>0</v>
      </c>
      <c r="AZ24" s="13">
        <v>0</v>
      </c>
      <c r="BA24" s="13">
        <v>14.188949460899901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4"/>
      <c r="B25" s="94"/>
      <c r="C25" s="94"/>
      <c r="D25" s="23" t="s">
        <v>29</v>
      </c>
      <c r="E25" s="23" t="s">
        <v>25</v>
      </c>
      <c r="F25" s="23" t="s">
        <v>25</v>
      </c>
      <c r="G25" s="24" t="s">
        <v>80</v>
      </c>
      <c r="H25" s="24" t="s">
        <v>74</v>
      </c>
      <c r="I25" s="24">
        <f>'MERCADO TUSD'!$U$22</f>
        <v>209.435</v>
      </c>
      <c r="J25" s="15"/>
      <c r="L25" s="13">
        <f>('TUSD BE'!$L$25+'TUSD BF'!$L$25+'TUSD CVA'!$L$25)*(1 - 0.65)</f>
        <v>0</v>
      </c>
      <c r="M25" s="13">
        <f>('TUSD BE'!$M$25+'TUSD BF'!$M$25+'TUSD CVA'!$M$25)*(1 - 0.65)</f>
        <v>0.2545303738657046</v>
      </c>
      <c r="N25" s="13">
        <f ca="1">('TUSD BE'!$N$25+'TUSD BF'!$N$25+'TUSD CVA'!$N$25)*(1 - 0.65)</f>
        <v>0</v>
      </c>
      <c r="O25" s="13">
        <f>('TUSD BE'!$O$25+'TUSD BF'!$O$25+'TUSD CVA'!$O$25)*(1 - 0.65)</f>
        <v>0</v>
      </c>
      <c r="P25" s="13">
        <v>0</v>
      </c>
      <c r="Q25" s="13">
        <f>('TUSD BE'!$Q$25+'TUSD BF'!$Q$25+'TUSD CVA'!$Q$25)*(1 - 0.65)</f>
        <v>0</v>
      </c>
      <c r="R25" s="13">
        <v>0</v>
      </c>
      <c r="S25" s="13">
        <f>('TUSD BE'!$S$25+'TUSD BF'!$S$25+'TUSD CVA'!$S$25)*(1 - 0.65)</f>
        <v>0</v>
      </c>
      <c r="T25" s="13">
        <f>('TUSD BE'!$U$25+'TUSD BF'!$U$25+'TUSD CVA'!$U$25)*(1 - 0.65)</f>
        <v>9.9629261606734296</v>
      </c>
      <c r="U25" s="13">
        <f>('TUSD BE'!$V$25+'TUSD BF'!$V$25+'TUSD CVA'!$V$25)*(1 - 0.65)</f>
        <v>1.401926657876204</v>
      </c>
      <c r="V25" s="13">
        <f>('TUSD BE'!$W$25+'TUSD BF'!$W$25+'TUSD CVA'!$W$25)*(1 - 0.65)</f>
        <v>0</v>
      </c>
      <c r="W25" s="13">
        <f>('TUSD BE'!$X$25+'TUSD BF'!$X$25+'TUSD CVA'!$X$25)*(1 - 0.65)</f>
        <v>0</v>
      </c>
      <c r="X25" s="13">
        <f>('TUSD BE'!$Y$25+'TUSD BF'!$Y$25+'TUSD CVA'!$Y$25)*(1 - 0.65)</f>
        <v>0</v>
      </c>
      <c r="Y25" s="13">
        <f>('TUSD BE'!$Z$25+'TUSD BF'!$Z$25+'TUSD CVA'!$Z$25)*(1 - 0.65)</f>
        <v>0</v>
      </c>
      <c r="Z25" s="13">
        <f>('TUSD BE'!$AA$25+'TUSD BF'!$AA$25+'TUSD CVA'!$AA$25)*(1 - 0.65)</f>
        <v>0</v>
      </c>
      <c r="AA25" s="13">
        <f>('TUSD BE'!$AC$25+'TUSD BF'!$AC$25+'TUSD CVA'!$AC$25)*(1 - 0.65)</f>
        <v>56.895976819749997</v>
      </c>
      <c r="AB25" s="13">
        <f ca="1">('TUSD BE'!$AE$25+'TUSD BF'!$AE$25+'TUSD CVA'!$AE$25)*(1 - 0.65)</f>
        <v>0</v>
      </c>
      <c r="AC25" s="13">
        <f ca="1">('TUSD BE'!$AF$25+'TUSD BF'!$AF$25+'TUSD CVA'!$AF$25)*(1 - 0.65)</f>
        <v>0</v>
      </c>
      <c r="AD25" s="13">
        <f>('TUSD BE'!$AH$25+'TUSD BF'!$AH$25+'TUSD CVA'!$AH$25)*(1 - 0.65)</f>
        <v>4.1849553510404194</v>
      </c>
      <c r="AE25" s="13">
        <f>('TUSD BE'!$AI$25+'TUSD BF'!$AI$25+'TUSD CVA'!$AI$25)*(1 - 0.65)</f>
        <v>0</v>
      </c>
      <c r="AF25" s="13">
        <f ca="1">('TUSD BE'!$AJ$25+'TUSD BF'!$AJ$25+'TUSD CVA'!$AJ$25)*(1 - 0.65)</f>
        <v>0</v>
      </c>
      <c r="AG25" s="13">
        <f ca="1">('TUSD BE'!$AK$25+'TUSD BF'!$AK$25+'TUSD CVA'!$AK$25)*(1 - 0.65)</f>
        <v>0</v>
      </c>
      <c r="AI25" s="13">
        <v>0</v>
      </c>
      <c r="AJ25" s="13">
        <v>0.26585248873073197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6.9636596008635401</v>
      </c>
      <c r="AR25" s="13">
        <v>1.3054142768347601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47.0252278541207</v>
      </c>
      <c r="AY25" s="13">
        <v>0</v>
      </c>
      <c r="AZ25" s="13">
        <v>0</v>
      </c>
      <c r="BA25" s="13">
        <v>4.96613231131498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4"/>
      <c r="B26" s="94"/>
      <c r="C26" s="94"/>
      <c r="D26" s="23" t="s">
        <v>30</v>
      </c>
      <c r="E26" s="23" t="s">
        <v>25</v>
      </c>
      <c r="F26" s="23" t="s">
        <v>25</v>
      </c>
      <c r="G26" s="24" t="s">
        <v>80</v>
      </c>
      <c r="H26" s="24" t="s">
        <v>74</v>
      </c>
      <c r="I26" s="24">
        <f>'MERCADO TUSD'!$U$23</f>
        <v>450.29900000000004</v>
      </c>
      <c r="J26" s="15"/>
      <c r="L26" s="13">
        <f>('TUSD BE'!$L$26+'TUSD BF'!$L$26+'TUSD CVA'!$L$26)*(1 - 0.4)</f>
        <v>0</v>
      </c>
      <c r="M26" s="13">
        <f>('TUSD BE'!$M$26+'TUSD BF'!$M$26+'TUSD CVA'!$M$26)*(1 - 0.4)</f>
        <v>0.43633778376977927</v>
      </c>
      <c r="N26" s="13">
        <f ca="1">('TUSD BE'!$N$26+'TUSD BF'!$N$26+'TUSD CVA'!$N$26)*(1 - 0.4)</f>
        <v>0</v>
      </c>
      <c r="O26" s="13">
        <f>('TUSD BE'!$O$26+'TUSD BF'!$O$26+'TUSD CVA'!$O$26)*(1 - 0.4)</f>
        <v>0</v>
      </c>
      <c r="P26" s="13">
        <v>0</v>
      </c>
      <c r="Q26" s="13">
        <f>('TUSD BE'!$Q$26+'TUSD BF'!$Q$26+'TUSD CVA'!$Q$26)*(1 - 0.4)</f>
        <v>0</v>
      </c>
      <c r="R26" s="13">
        <v>0</v>
      </c>
      <c r="S26" s="13">
        <f>('TUSD BE'!$S$26+'TUSD BF'!$S$26+'TUSD CVA'!$S$26)*(1 - 0.4)</f>
        <v>0</v>
      </c>
      <c r="T26" s="13">
        <f>('TUSD BE'!$U$26+'TUSD BF'!$U$26+'TUSD CVA'!$U$26)*(1 - 0.4)</f>
        <v>17.079301989725881</v>
      </c>
      <c r="U26" s="13">
        <f>('TUSD BE'!$V$26+'TUSD BF'!$V$26+'TUSD CVA'!$V$26)*(1 - 0.4)</f>
        <v>2.4033028420734923</v>
      </c>
      <c r="V26" s="13">
        <f>('TUSD BE'!$W$26+'TUSD BF'!$W$26+'TUSD CVA'!$W$26)*(1 - 0.4)</f>
        <v>0</v>
      </c>
      <c r="W26" s="13">
        <f>('TUSD BE'!$X$26+'TUSD BF'!$X$26+'TUSD CVA'!$X$26)*(1 - 0.4)</f>
        <v>0</v>
      </c>
      <c r="X26" s="13">
        <f>('TUSD BE'!$Y$26+'TUSD BF'!$Y$26+'TUSD CVA'!$Y$26)*(1 - 0.4)</f>
        <v>0</v>
      </c>
      <c r="Y26" s="13">
        <f>('TUSD BE'!$Z$26+'TUSD BF'!$Z$26+'TUSD CVA'!$Z$26)*(1 - 0.4)</f>
        <v>0</v>
      </c>
      <c r="Z26" s="13">
        <f>('TUSD BE'!$AA$26+'TUSD BF'!$AA$26+'TUSD CVA'!$AA$26)*(1 - 0.4)</f>
        <v>0</v>
      </c>
      <c r="AA26" s="13">
        <f>('TUSD BE'!$AC$26+'TUSD BF'!$AC$26+'TUSD CVA'!$AC$26)*(1 - 0.4)</f>
        <v>97.53596026242856</v>
      </c>
      <c r="AB26" s="13">
        <f ca="1">('TUSD BE'!$AE$26+'TUSD BF'!$AE$26+'TUSD CVA'!$AE$26)*(1 - 0.4)</f>
        <v>0</v>
      </c>
      <c r="AC26" s="13">
        <f ca="1">('TUSD BE'!$AF$26+'TUSD BF'!$AF$26+'TUSD CVA'!$AF$26)*(1 - 0.4)</f>
        <v>0</v>
      </c>
      <c r="AD26" s="13">
        <f>('TUSD BE'!$AH$26+'TUSD BF'!$AH$26+'TUSD CVA'!$AH$26)*(1 - 0.4)</f>
        <v>7.1742091732121471</v>
      </c>
      <c r="AE26" s="13">
        <f>('TUSD BE'!$AI$26+'TUSD BF'!$AI$26+'TUSD CVA'!$AI$26)*(1 - 0.4)</f>
        <v>0</v>
      </c>
      <c r="AF26" s="13">
        <f ca="1">('TUSD BE'!$AJ$26+'TUSD BF'!$AJ$26+'TUSD CVA'!$AJ$26)*(1 - 0.4)</f>
        <v>0</v>
      </c>
      <c r="AG26" s="13">
        <f ca="1">('TUSD BE'!$AK$26+'TUSD BF'!$AK$26+'TUSD CVA'!$AK$26)*(1 - 0.4)</f>
        <v>0</v>
      </c>
      <c r="AI26" s="13">
        <v>0</v>
      </c>
      <c r="AJ26" s="13">
        <v>0.45574712353839902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11.937702172908899</v>
      </c>
      <c r="AR26" s="13">
        <v>2.2378530460024399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80.614676321349805</v>
      </c>
      <c r="AY26" s="13">
        <v>0</v>
      </c>
      <c r="AZ26" s="13">
        <v>0</v>
      </c>
      <c r="BA26" s="13">
        <v>8.5133696765399698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4"/>
      <c r="B27" s="94"/>
      <c r="C27" s="94"/>
      <c r="D27" s="23" t="s">
        <v>31</v>
      </c>
      <c r="E27" s="23" t="s">
        <v>25</v>
      </c>
      <c r="F27" s="23" t="s">
        <v>25</v>
      </c>
      <c r="G27" s="24" t="s">
        <v>80</v>
      </c>
      <c r="H27" s="24" t="s">
        <v>74</v>
      </c>
      <c r="I27" s="24">
        <f>'MERCADO TUSD'!$U$24</f>
        <v>514.49699999999996</v>
      </c>
      <c r="J27" s="15"/>
      <c r="L27" s="13">
        <f>('TUSD BE'!$L$27+'TUSD BF'!$L$27+'TUSD CVA'!$L$27)*(1 - 0.1)</f>
        <v>0</v>
      </c>
      <c r="M27" s="13">
        <f>('TUSD BE'!$M$27+'TUSD BF'!$M$27+'TUSD CVA'!$M$27)*(1 - 0.1)</f>
        <v>0.65450667565466891</v>
      </c>
      <c r="N27" s="13">
        <f ca="1">('TUSD BE'!$N$27+'TUSD BF'!$N$27+'TUSD CVA'!$N$27)*(1 - 0.1)</f>
        <v>0</v>
      </c>
      <c r="O27" s="13">
        <f>('TUSD BE'!$O$27+'TUSD BF'!$O$27+'TUSD CVA'!$O$27)*(1 - 0.1)</f>
        <v>0</v>
      </c>
      <c r="P27" s="13">
        <v>0</v>
      </c>
      <c r="Q27" s="13">
        <f>('TUSD BE'!$Q$27+'TUSD BF'!$Q$27+'TUSD CVA'!$Q$27)*(1 - 0.1)</f>
        <v>0</v>
      </c>
      <c r="R27" s="13">
        <v>0</v>
      </c>
      <c r="S27" s="13">
        <f>('TUSD BE'!$S$27+'TUSD BF'!$S$27+'TUSD CVA'!$S$27)*(1 - 0.1)</f>
        <v>0</v>
      </c>
      <c r="T27" s="13">
        <f>('TUSD BE'!$U$27+'TUSD BF'!$U$27+'TUSD CVA'!$U$27)*(1 - 0.1)</f>
        <v>25.618952984588823</v>
      </c>
      <c r="U27" s="13">
        <f>('TUSD BE'!$V$27+'TUSD BF'!$V$27+'TUSD CVA'!$V$27)*(1 - 0.1)</f>
        <v>3.6049542631102391</v>
      </c>
      <c r="V27" s="13">
        <f>('TUSD BE'!$W$27+'TUSD BF'!$W$27+'TUSD CVA'!$W$27)*(1 - 0.1)</f>
        <v>0</v>
      </c>
      <c r="W27" s="13">
        <f>('TUSD BE'!$X$27+'TUSD BF'!$X$27+'TUSD CVA'!$X$27)*(1 - 0.1)</f>
        <v>0</v>
      </c>
      <c r="X27" s="13">
        <f>('TUSD BE'!$Y$27+'TUSD BF'!$Y$27+'TUSD CVA'!$Y$27)*(1 - 0.1)</f>
        <v>0</v>
      </c>
      <c r="Y27" s="13">
        <f>('TUSD BE'!$Z$27+'TUSD BF'!$Z$27+'TUSD CVA'!$Z$27)*(1 - 0.1)</f>
        <v>0</v>
      </c>
      <c r="Z27" s="13">
        <f>('TUSD BE'!$AA$27+'TUSD BF'!$AA$27+'TUSD CVA'!$AA$27)*(1 - 0.1)</f>
        <v>0</v>
      </c>
      <c r="AA27" s="13">
        <f>('TUSD BE'!$AC$27+'TUSD BF'!$AC$27+'TUSD CVA'!$AC$27)*(1 - 0.1)</f>
        <v>146.30394039364285</v>
      </c>
      <c r="AB27" s="13">
        <f ca="1">('TUSD BE'!$AE$27+'TUSD BF'!$AE$27+'TUSD CVA'!$AE$27)*(1 - 0.1)</f>
        <v>0</v>
      </c>
      <c r="AC27" s="13">
        <f ca="1">('TUSD BE'!$AF$27+'TUSD BF'!$AF$27+'TUSD CVA'!$AF$27)*(1 - 0.1)</f>
        <v>0</v>
      </c>
      <c r="AD27" s="13">
        <f>('TUSD BE'!$AH$27+'TUSD BF'!$AH$27+'TUSD CVA'!$AH$27)*(1 - 0.1)</f>
        <v>10.761313759818222</v>
      </c>
      <c r="AE27" s="13">
        <f>('TUSD BE'!$AI$27+'TUSD BF'!$AI$27+'TUSD CVA'!$AI$27)*(1 - 0.1)</f>
        <v>0</v>
      </c>
      <c r="AF27" s="13">
        <f ca="1">('TUSD BE'!$AJ$27+'TUSD BF'!$AJ$27+'TUSD CVA'!$AJ$27)*(1 - 0.1)</f>
        <v>0</v>
      </c>
      <c r="AG27" s="13">
        <f ca="1">('TUSD BE'!$AK$27+'TUSD BF'!$AK$27+'TUSD CVA'!$AK$27)*(1 - 0.1)</f>
        <v>0</v>
      </c>
      <c r="AI27" s="13">
        <v>0</v>
      </c>
      <c r="AJ27" s="13">
        <v>0.68362068530759801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17.906553259363399</v>
      </c>
      <c r="AR27" s="13">
        <v>3.3567795690036699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120.92201448202501</v>
      </c>
      <c r="AY27" s="13">
        <v>0</v>
      </c>
      <c r="AZ27" s="13">
        <v>0</v>
      </c>
      <c r="BA27" s="13">
        <v>12.770054514810001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4"/>
      <c r="B28" s="94"/>
      <c r="C28" s="94"/>
      <c r="D28" s="23" t="s">
        <v>32</v>
      </c>
      <c r="E28" s="23" t="s">
        <v>25</v>
      </c>
      <c r="F28" s="23" t="s">
        <v>25</v>
      </c>
      <c r="G28" s="24" t="s">
        <v>80</v>
      </c>
      <c r="H28" s="24" t="s">
        <v>74</v>
      </c>
      <c r="I28" s="24">
        <f>'MERCADO TUSD'!$U$25</f>
        <v>277.88899999999995</v>
      </c>
      <c r="J28" s="15"/>
      <c r="L28" s="13">
        <f>('TUSD BE'!$L$28+'TUSD BF'!$L$28+'TUSD CVA'!$L$28)*1</f>
        <v>0</v>
      </c>
      <c r="M28" s="13">
        <f>('TUSD BE'!$M$28+'TUSD BF'!$M$28+'TUSD CVA'!$M$28)*1</f>
        <v>0.72722963961629883</v>
      </c>
      <c r="N28" s="13">
        <f ca="1">('TUSD BE'!$N$28+'TUSD BF'!$N$28+'TUSD CVA'!$N$28)*1</f>
        <v>0</v>
      </c>
      <c r="O28" s="13">
        <f>('TUSD BE'!$O$28+'TUSD BF'!$O$28+'TUSD CVA'!$O$28)*1</f>
        <v>0</v>
      </c>
      <c r="P28" s="13">
        <v>0</v>
      </c>
      <c r="Q28" s="13">
        <f>('TUSD BE'!$Q$28+'TUSD BF'!$Q$28+'TUSD CVA'!$Q$28)*1</f>
        <v>0</v>
      </c>
      <c r="R28" s="13">
        <v>0</v>
      </c>
      <c r="S28" s="13">
        <f>('TUSD BE'!$S$28+'TUSD BF'!$S$28+'TUSD CVA'!$S$28)*1</f>
        <v>0</v>
      </c>
      <c r="T28" s="13">
        <f>('TUSD BE'!$U$28+'TUSD BF'!$U$28+'TUSD CVA'!$U$28)*1</f>
        <v>28.465503316209801</v>
      </c>
      <c r="U28" s="13">
        <f>('TUSD BE'!$V$28+'TUSD BF'!$V$28+'TUSD CVA'!$V$28)*1</f>
        <v>4.0055047367891543</v>
      </c>
      <c r="V28" s="13">
        <f>('TUSD BE'!$W$28+'TUSD BF'!$W$28+'TUSD CVA'!$W$28)*1</f>
        <v>0</v>
      </c>
      <c r="W28" s="13">
        <f>('TUSD BE'!$X$28+'TUSD BF'!$X$28+'TUSD CVA'!$X$28)*1</f>
        <v>0</v>
      </c>
      <c r="X28" s="13">
        <f>('TUSD BE'!$Y$28+'TUSD BF'!$Y$28+'TUSD CVA'!$Y$28)*1</f>
        <v>0</v>
      </c>
      <c r="Y28" s="13">
        <f>('TUSD BE'!$Z$28+'TUSD BF'!$Z$28+'TUSD CVA'!$Z$28)*1</f>
        <v>0</v>
      </c>
      <c r="Z28" s="13">
        <f>('TUSD BE'!$AA$28+'TUSD BF'!$AA$28+'TUSD CVA'!$AA$28)*1</f>
        <v>0</v>
      </c>
      <c r="AA28" s="13">
        <f>('TUSD BE'!$AC$28+'TUSD BF'!$AC$28+'TUSD CVA'!$AC$28)*1</f>
        <v>162.55993377071428</v>
      </c>
      <c r="AB28" s="13">
        <f ca="1">('TUSD BE'!$AE$28+'TUSD BF'!$AE$28+'TUSD CVA'!$AE$28)*1</f>
        <v>0</v>
      </c>
      <c r="AC28" s="13">
        <f ca="1">('TUSD BE'!$AF$28+'TUSD BF'!$AF$28+'TUSD CVA'!$AF$28)*1</f>
        <v>0</v>
      </c>
      <c r="AD28" s="13">
        <f>('TUSD BE'!$AH$28+'TUSD BF'!$AH$28+'TUSD CVA'!$AH$28)*1</f>
        <v>11.957015288686913</v>
      </c>
      <c r="AE28" s="13">
        <f>('TUSD BE'!$AI$28+'TUSD BF'!$AI$28+'TUSD CVA'!$AI$28)*1</f>
        <v>0</v>
      </c>
      <c r="AF28" s="13">
        <f ca="1">('TUSD BE'!$AJ$28+'TUSD BF'!$AJ$28+'TUSD CVA'!$AJ$28)*1</f>
        <v>0</v>
      </c>
      <c r="AG28" s="13">
        <f ca="1">('TUSD BE'!$AK$28+'TUSD BF'!$AK$28+'TUSD CVA'!$AK$28)*1</f>
        <v>0</v>
      </c>
      <c r="AI28" s="13">
        <v>0</v>
      </c>
      <c r="AJ28" s="13">
        <v>0.75957853923066398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19.896170288181601</v>
      </c>
      <c r="AR28" s="13">
        <v>3.7297550766707399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134.35779386891599</v>
      </c>
      <c r="AY28" s="13">
        <v>0</v>
      </c>
      <c r="AZ28" s="13">
        <v>0</v>
      </c>
      <c r="BA28" s="13">
        <v>14.188949460899901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4"/>
      <c r="B29" s="94" t="s">
        <v>89</v>
      </c>
      <c r="C29" s="94" t="s">
        <v>24</v>
      </c>
      <c r="D29" s="23" t="s">
        <v>24</v>
      </c>
      <c r="E29" s="23" t="s">
        <v>25</v>
      </c>
      <c r="F29" s="23" t="s">
        <v>25</v>
      </c>
      <c r="G29" s="24" t="s">
        <v>80</v>
      </c>
      <c r="H29" s="24" t="s">
        <v>74</v>
      </c>
      <c r="I29" s="24">
        <f>'MERCADO TUSD'!$U$26</f>
        <v>0</v>
      </c>
      <c r="J29" s="15"/>
      <c r="L29" s="13">
        <f>('TUSD BE'!$L$29+'TUSD BF'!$L$29+'TUSD CVA'!$L$29)*1</f>
        <v>31.922544264444465</v>
      </c>
      <c r="M29" s="13">
        <f>('TUSD BE'!$M$29+'TUSD BF'!$M$29+'TUSD CVA'!$M$29)*1</f>
        <v>0.72722963961629883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f>('TUSD BE'!$P$29+'TUSD BF'!$P$29+'TUSD CVA'!$P$29)*1</f>
        <v>0</v>
      </c>
      <c r="Q29" s="13">
        <f>('TUSD BE'!$Q$29+'TUSD BF'!$Q$29+'TUSD CVA'!$Q$29)*1</f>
        <v>89.959984367927902</v>
      </c>
      <c r="R29" s="13">
        <f>('TUSD BE'!$R$29+'TUSD BF'!$R$29+'TUSD CVA'!$R$29)*1</f>
        <v>14.216978163284399</v>
      </c>
      <c r="S29" s="13">
        <f>('TUSD BE'!$S$29+'TUSD BF'!$S$29+'TUSD CVA'!$S$29)*1</f>
        <v>0</v>
      </c>
      <c r="T29" s="13">
        <f>('TUSD BE'!$U$29+'TUSD BF'!$U$29+'TUSD CVA'!$U$29)*1</f>
        <v>28.465503316209801</v>
      </c>
      <c r="U29" s="13">
        <f>('TUSD BE'!$V$29+'TUSD BF'!$V$29+'TUSD CVA'!$V$29)*1</f>
        <v>4.0055047367891543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0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162.55993377071428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11.957015288686913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31.9985148477374</v>
      </c>
      <c r="AJ29" s="13">
        <v>0.75957853923066398</v>
      </c>
      <c r="AK29" s="13">
        <v>0</v>
      </c>
      <c r="AL29" s="13">
        <v>0</v>
      </c>
      <c r="AM29" s="13">
        <v>0</v>
      </c>
      <c r="AN29" s="13">
        <v>55.425551846011899</v>
      </c>
      <c r="AO29" s="13">
        <v>8.6989927815907002</v>
      </c>
      <c r="AP29" s="13">
        <v>0</v>
      </c>
      <c r="AQ29" s="13">
        <v>19.896170288181601</v>
      </c>
      <c r="AR29" s="13">
        <v>3.7297550766707399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134.35779386891599</v>
      </c>
      <c r="AY29" s="13">
        <v>0</v>
      </c>
      <c r="AZ29" s="13">
        <v>0</v>
      </c>
      <c r="BA29" s="13">
        <v>14.188949460899901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4"/>
      <c r="B30" s="94"/>
      <c r="C30" s="94"/>
      <c r="D30" s="23" t="s">
        <v>29</v>
      </c>
      <c r="E30" s="23" t="s">
        <v>25</v>
      </c>
      <c r="F30" s="23" t="s">
        <v>25</v>
      </c>
      <c r="G30" s="24" t="s">
        <v>80</v>
      </c>
      <c r="H30" s="24" t="s">
        <v>74</v>
      </c>
      <c r="I30" s="24">
        <f>'MERCADO TUSD'!$U$27</f>
        <v>0</v>
      </c>
      <c r="J30" s="15"/>
      <c r="L30" s="13">
        <f>('TUSD BE'!$L$30+'TUSD BF'!$L$30+'TUSD CVA'!$L$30)*(1 - 0.65)</f>
        <v>0</v>
      </c>
      <c r="M30" s="13">
        <f>('TUSD BE'!$M$30+'TUSD BF'!$M$30+'TUSD CVA'!$M$30)*(1 - 0.65)</f>
        <v>0.2545303738657046</v>
      </c>
      <c r="N30" s="13">
        <f ca="1">('TUSD BE'!$N$30+'TUSD BF'!$N$30+'TUSD CVA'!$N$30)*(1 - 0.65)</f>
        <v>0</v>
      </c>
      <c r="O30" s="13">
        <f>('TUSD BE'!$O$30+'TUSD BF'!$O$30+'TUSD CVA'!$O$30)*(1 - 0.65)</f>
        <v>0</v>
      </c>
      <c r="P30" s="13">
        <v>0</v>
      </c>
      <c r="Q30" s="13">
        <f>('TUSD BE'!$Q$30+'TUSD BF'!$Q$30+'TUSD CVA'!$Q$30)*(1 - 0.65)</f>
        <v>0</v>
      </c>
      <c r="R30" s="13">
        <v>0</v>
      </c>
      <c r="S30" s="13">
        <f>('TUSD BE'!$S$30+'TUSD BF'!$S$30+'TUSD CVA'!$S$30)*(1 - 0.65)</f>
        <v>0</v>
      </c>
      <c r="T30" s="13">
        <f>('TUSD BE'!$U$30+'TUSD BF'!$U$30+'TUSD CVA'!$U$30)*(1 - 0.65)</f>
        <v>9.9629261606734296</v>
      </c>
      <c r="U30" s="13">
        <f>('TUSD BE'!$V$30+'TUSD BF'!$V$30+'TUSD CVA'!$V$30)*(1 - 0.65)</f>
        <v>1.401926657876204</v>
      </c>
      <c r="V30" s="13">
        <f>('TUSD BE'!$W$30+'TUSD BF'!$W$30+'TUSD CVA'!$W$30)*(1 - 0.65)</f>
        <v>0</v>
      </c>
      <c r="W30" s="13">
        <f>('TUSD BE'!$X$30+'TUSD BF'!$X$30+'TUSD CVA'!$X$30)*(1 - 0.65)</f>
        <v>0</v>
      </c>
      <c r="X30" s="13">
        <f>('TUSD BE'!$Y$30+'TUSD BF'!$Y$30+'TUSD CVA'!$Y$30)*(1 - 0.65)</f>
        <v>0</v>
      </c>
      <c r="Y30" s="13">
        <f>('TUSD BE'!$Z$30+'TUSD BF'!$Z$30+'TUSD CVA'!$Z$30)*(1 - 0.65)</f>
        <v>0</v>
      </c>
      <c r="Z30" s="13">
        <f>('TUSD BE'!$AA$30+'TUSD BF'!$AA$30+'TUSD CVA'!$AA$30)*(1 - 0.65)</f>
        <v>0</v>
      </c>
      <c r="AA30" s="13">
        <f>('TUSD BE'!$AC$30+'TUSD BF'!$AC$30+'TUSD CVA'!$AC$30)*(1 - 0.65)</f>
        <v>56.895976819749997</v>
      </c>
      <c r="AB30" s="13">
        <f ca="1">('TUSD BE'!$AE$30+'TUSD BF'!$AE$30+'TUSD CVA'!$AE$30)*(1 - 0.65)</f>
        <v>0</v>
      </c>
      <c r="AC30" s="13">
        <f ca="1">('TUSD BE'!$AF$30+'TUSD BF'!$AF$30+'TUSD CVA'!$AF$30)*(1 - 0.65)</f>
        <v>0</v>
      </c>
      <c r="AD30" s="13">
        <f>('TUSD BE'!$AH$30+'TUSD BF'!$AH$30+'TUSD CVA'!$AH$30)*(1 - 0.65)</f>
        <v>4.1849553510404194</v>
      </c>
      <c r="AE30" s="13">
        <f>('TUSD BE'!$AI$30+'TUSD BF'!$AI$30+'TUSD CVA'!$AI$30)*(1 - 0.65)</f>
        <v>0</v>
      </c>
      <c r="AF30" s="13">
        <f ca="1">('TUSD BE'!$AJ$30+'TUSD BF'!$AJ$30+'TUSD CVA'!$AJ$30)*(1 - 0.65)</f>
        <v>0</v>
      </c>
      <c r="AG30" s="13">
        <f ca="1">('TUSD BE'!$AK$30+'TUSD BF'!$AK$30+'TUSD CVA'!$AK$30)*(1 - 0.65)</f>
        <v>0</v>
      </c>
      <c r="AI30" s="13">
        <v>0</v>
      </c>
      <c r="AJ30" s="13">
        <v>0.26585248873073197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6.9636596008635401</v>
      </c>
      <c r="AR30" s="13">
        <v>1.3054142768347601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47.0252278541207</v>
      </c>
      <c r="AY30" s="13">
        <v>0</v>
      </c>
      <c r="AZ30" s="13">
        <v>0</v>
      </c>
      <c r="BA30" s="13">
        <v>4.96613231131498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4"/>
      <c r="B31" s="94"/>
      <c r="C31" s="94"/>
      <c r="D31" s="23" t="s">
        <v>30</v>
      </c>
      <c r="E31" s="23" t="s">
        <v>25</v>
      </c>
      <c r="F31" s="23" t="s">
        <v>25</v>
      </c>
      <c r="G31" s="24" t="s">
        <v>80</v>
      </c>
      <c r="H31" s="24" t="s">
        <v>74</v>
      </c>
      <c r="I31" s="24">
        <f>'MERCADO TUSD'!$U$28</f>
        <v>0</v>
      </c>
      <c r="J31" s="15"/>
      <c r="L31" s="13">
        <f>('TUSD BE'!$L$31+'TUSD BF'!$L$31+'TUSD CVA'!$L$31)*(1 - 0.4)</f>
        <v>0</v>
      </c>
      <c r="M31" s="13">
        <f>('TUSD BE'!$M$31+'TUSD BF'!$M$31+'TUSD CVA'!$M$31)*(1 - 0.4)</f>
        <v>0.43633778376977927</v>
      </c>
      <c r="N31" s="13">
        <f ca="1">('TUSD BE'!$N$31+'TUSD BF'!$N$31+'TUSD CVA'!$N$31)*(1 - 0.4)</f>
        <v>0</v>
      </c>
      <c r="O31" s="13">
        <f>('TUSD BE'!$O$31+'TUSD BF'!$O$31+'TUSD CVA'!$O$31)*(1 - 0.4)</f>
        <v>0</v>
      </c>
      <c r="P31" s="13">
        <v>0</v>
      </c>
      <c r="Q31" s="13">
        <f>('TUSD BE'!$Q$31+'TUSD BF'!$Q$31+'TUSD CVA'!$Q$31)*(1 - 0.4)</f>
        <v>0</v>
      </c>
      <c r="R31" s="13">
        <v>0</v>
      </c>
      <c r="S31" s="13">
        <f>('TUSD BE'!$S$31+'TUSD BF'!$S$31+'TUSD CVA'!$S$31)*(1 - 0.4)</f>
        <v>0</v>
      </c>
      <c r="T31" s="13">
        <f>('TUSD BE'!$U$31+'TUSD BF'!$U$31+'TUSD CVA'!$U$31)*(1 - 0.4)</f>
        <v>17.079301989725881</v>
      </c>
      <c r="U31" s="13">
        <f>('TUSD BE'!$V$31+'TUSD BF'!$V$31+'TUSD CVA'!$V$31)*(1 - 0.4)</f>
        <v>2.4033028420734923</v>
      </c>
      <c r="V31" s="13">
        <f>('TUSD BE'!$W$31+'TUSD BF'!$W$31+'TUSD CVA'!$W$31)*(1 - 0.4)</f>
        <v>0</v>
      </c>
      <c r="W31" s="13">
        <f>('TUSD BE'!$X$31+'TUSD BF'!$X$31+'TUSD CVA'!$X$31)*(1 - 0.4)</f>
        <v>0</v>
      </c>
      <c r="X31" s="13">
        <f>('TUSD BE'!$Y$31+'TUSD BF'!$Y$31+'TUSD CVA'!$Y$31)*(1 - 0.4)</f>
        <v>0</v>
      </c>
      <c r="Y31" s="13">
        <f>('TUSD BE'!$Z$31+'TUSD BF'!$Z$31+'TUSD CVA'!$Z$31)*(1 - 0.4)</f>
        <v>0</v>
      </c>
      <c r="Z31" s="13">
        <f>('TUSD BE'!$AA$31+'TUSD BF'!$AA$31+'TUSD CVA'!$AA$31)*(1 - 0.4)</f>
        <v>0</v>
      </c>
      <c r="AA31" s="13">
        <f>('TUSD BE'!$AC$31+'TUSD BF'!$AC$31+'TUSD CVA'!$AC$31)*(1 - 0.4)</f>
        <v>97.53596026242856</v>
      </c>
      <c r="AB31" s="13">
        <f ca="1">('TUSD BE'!$AE$31+'TUSD BF'!$AE$31+'TUSD CVA'!$AE$31)*(1 - 0.4)</f>
        <v>0</v>
      </c>
      <c r="AC31" s="13">
        <f ca="1">('TUSD BE'!$AF$31+'TUSD BF'!$AF$31+'TUSD CVA'!$AF$31)*(1 - 0.4)</f>
        <v>0</v>
      </c>
      <c r="AD31" s="13">
        <f>('TUSD BE'!$AH$31+'TUSD BF'!$AH$31+'TUSD CVA'!$AH$31)*(1 - 0.4)</f>
        <v>7.1742091732121471</v>
      </c>
      <c r="AE31" s="13">
        <f>('TUSD BE'!$AI$31+'TUSD BF'!$AI$31+'TUSD CVA'!$AI$31)*(1 - 0.4)</f>
        <v>0</v>
      </c>
      <c r="AF31" s="13">
        <f ca="1">('TUSD BE'!$AJ$31+'TUSD BF'!$AJ$31+'TUSD CVA'!$AJ$31)*(1 - 0.4)</f>
        <v>0</v>
      </c>
      <c r="AG31" s="13">
        <f ca="1">('TUSD BE'!$AK$31+'TUSD BF'!$AK$31+'TUSD CVA'!$AK$31)*(1 - 0.4)</f>
        <v>0</v>
      </c>
      <c r="AI31" s="13">
        <v>0</v>
      </c>
      <c r="AJ31" s="13">
        <v>0.45574712353839902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11.937702172908899</v>
      </c>
      <c r="AR31" s="13">
        <v>2.2378530460024399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80.614676321349805</v>
      </c>
      <c r="AY31" s="13">
        <v>0</v>
      </c>
      <c r="AZ31" s="13">
        <v>0</v>
      </c>
      <c r="BA31" s="13">
        <v>8.5133696765399698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4"/>
      <c r="B32" s="94"/>
      <c r="C32" s="94"/>
      <c r="D32" s="23" t="s">
        <v>31</v>
      </c>
      <c r="E32" s="23" t="s">
        <v>25</v>
      </c>
      <c r="F32" s="23" t="s">
        <v>25</v>
      </c>
      <c r="G32" s="24" t="s">
        <v>80</v>
      </c>
      <c r="H32" s="24" t="s">
        <v>74</v>
      </c>
      <c r="I32" s="24">
        <f>'MERCADO TUSD'!$U$29</f>
        <v>0</v>
      </c>
      <c r="J32" s="15"/>
      <c r="L32" s="13">
        <f>('TUSD BE'!$L$32+'TUSD BF'!$L$32+'TUSD CVA'!$L$32)*(1 - 0.1)</f>
        <v>0</v>
      </c>
      <c r="M32" s="13">
        <f>('TUSD BE'!$M$32+'TUSD BF'!$M$32+'TUSD CVA'!$M$32)*(1 - 0.1)</f>
        <v>0.65450667565466891</v>
      </c>
      <c r="N32" s="13">
        <f ca="1">('TUSD BE'!$N$32+'TUSD BF'!$N$32+'TUSD CVA'!$N$32)*(1 - 0.1)</f>
        <v>0</v>
      </c>
      <c r="O32" s="13">
        <f>('TUSD BE'!$O$32+'TUSD BF'!$O$32+'TUSD CVA'!$O$32)*(1 - 0.1)</f>
        <v>0</v>
      </c>
      <c r="P32" s="13">
        <v>0</v>
      </c>
      <c r="Q32" s="13">
        <f>('TUSD BE'!$Q$32+'TUSD BF'!$Q$32+'TUSD CVA'!$Q$32)*(1 - 0.1)</f>
        <v>0</v>
      </c>
      <c r="R32" s="13">
        <v>0</v>
      </c>
      <c r="S32" s="13">
        <f>('TUSD BE'!$S$32+'TUSD BF'!$S$32+'TUSD CVA'!$S$32)*(1 - 0.1)</f>
        <v>0</v>
      </c>
      <c r="T32" s="13">
        <f>('TUSD BE'!$U$32+'TUSD BF'!$U$32+'TUSD CVA'!$U$32)*(1 - 0.1)</f>
        <v>25.618952984588823</v>
      </c>
      <c r="U32" s="13">
        <f>('TUSD BE'!$V$32+'TUSD BF'!$V$32+'TUSD CVA'!$V$32)*(1 - 0.1)</f>
        <v>3.6049542631102391</v>
      </c>
      <c r="V32" s="13">
        <f>('TUSD BE'!$W$32+'TUSD BF'!$W$32+'TUSD CVA'!$W$32)*(1 - 0.1)</f>
        <v>0</v>
      </c>
      <c r="W32" s="13">
        <f>('TUSD BE'!$X$32+'TUSD BF'!$X$32+'TUSD CVA'!$X$32)*(1 - 0.1)</f>
        <v>0</v>
      </c>
      <c r="X32" s="13">
        <f>('TUSD BE'!$Y$32+'TUSD BF'!$Y$32+'TUSD CVA'!$Y$32)*(1 - 0.1)</f>
        <v>0</v>
      </c>
      <c r="Y32" s="13">
        <f>('TUSD BE'!$Z$32+'TUSD BF'!$Z$32+'TUSD CVA'!$Z$32)*(1 - 0.1)</f>
        <v>0</v>
      </c>
      <c r="Z32" s="13">
        <f>('TUSD BE'!$AA$32+'TUSD BF'!$AA$32+'TUSD CVA'!$AA$32)*(1 - 0.1)</f>
        <v>0</v>
      </c>
      <c r="AA32" s="13">
        <f>('TUSD BE'!$AC$32+'TUSD BF'!$AC$32+'TUSD CVA'!$AC$32)*(1 - 0.1)</f>
        <v>146.30394039364285</v>
      </c>
      <c r="AB32" s="13">
        <f ca="1">('TUSD BE'!$AE$32+'TUSD BF'!$AE$32+'TUSD CVA'!$AE$32)*(1 - 0.1)</f>
        <v>0</v>
      </c>
      <c r="AC32" s="13">
        <f ca="1">('TUSD BE'!$AF$32+'TUSD BF'!$AF$32+'TUSD CVA'!$AF$32)*(1 - 0.1)</f>
        <v>0</v>
      </c>
      <c r="AD32" s="13">
        <f>('TUSD BE'!$AH$32+'TUSD BF'!$AH$32+'TUSD CVA'!$AH$32)*(1 - 0.1)</f>
        <v>10.761313759818222</v>
      </c>
      <c r="AE32" s="13">
        <f>('TUSD BE'!$AI$32+'TUSD BF'!$AI$32+'TUSD CVA'!$AI$32)*(1 - 0.1)</f>
        <v>0</v>
      </c>
      <c r="AF32" s="13">
        <f ca="1">('TUSD BE'!$AJ$32+'TUSD BF'!$AJ$32+'TUSD CVA'!$AJ$32)*(1 - 0.1)</f>
        <v>0</v>
      </c>
      <c r="AG32" s="13">
        <f ca="1">('TUSD BE'!$AK$32+'TUSD BF'!$AK$32+'TUSD CVA'!$AK$32)*(1 - 0.1)</f>
        <v>0</v>
      </c>
      <c r="AI32" s="13">
        <v>0</v>
      </c>
      <c r="AJ32" s="13">
        <v>0.68362068530759801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17.906553259363399</v>
      </c>
      <c r="AR32" s="13">
        <v>3.3567795690036699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120.92201448202501</v>
      </c>
      <c r="AY32" s="13">
        <v>0</v>
      </c>
      <c r="AZ32" s="13">
        <v>0</v>
      </c>
      <c r="BA32" s="13">
        <v>12.770054514810001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4"/>
      <c r="B33" s="94"/>
      <c r="C33" s="94"/>
      <c r="D33" s="23" t="s">
        <v>32</v>
      </c>
      <c r="E33" s="23" t="s">
        <v>25</v>
      </c>
      <c r="F33" s="23" t="s">
        <v>25</v>
      </c>
      <c r="G33" s="24" t="s">
        <v>80</v>
      </c>
      <c r="H33" s="24" t="s">
        <v>74</v>
      </c>
      <c r="I33" s="24">
        <f>'MERCADO TUSD'!$U$30</f>
        <v>0</v>
      </c>
      <c r="J33" s="15"/>
      <c r="L33" s="13">
        <f>('TUSD BE'!$L$33+'TUSD BF'!$L$33+'TUSD CVA'!$L$33)*1</f>
        <v>0</v>
      </c>
      <c r="M33" s="13">
        <f>('TUSD BE'!$M$33+'TUSD BF'!$M$33+'TUSD CVA'!$M$33)*1</f>
        <v>0.72722963961629883</v>
      </c>
      <c r="N33" s="13">
        <f ca="1">('TUSD BE'!$N$33+'TUSD BF'!$N$33+'TUSD CVA'!$N$33)*1</f>
        <v>0</v>
      </c>
      <c r="O33" s="13">
        <f>('TUSD BE'!$O$33+'TUSD BF'!$O$33+'TUSD CVA'!$O$33)*1</f>
        <v>0</v>
      </c>
      <c r="P33" s="13">
        <v>0</v>
      </c>
      <c r="Q33" s="13">
        <f>('TUSD BE'!$Q$33+'TUSD BF'!$Q$33+'TUSD CVA'!$Q$33)*1</f>
        <v>0</v>
      </c>
      <c r="R33" s="13">
        <v>0</v>
      </c>
      <c r="S33" s="13">
        <f>('TUSD BE'!$S$33+'TUSD BF'!$S$33+'TUSD CVA'!$S$33)*1</f>
        <v>0</v>
      </c>
      <c r="T33" s="13">
        <f>('TUSD BE'!$U$33+'TUSD BF'!$U$33+'TUSD CVA'!$U$33)*1</f>
        <v>28.465503316209801</v>
      </c>
      <c r="U33" s="13">
        <f>('TUSD BE'!$V$33+'TUSD BF'!$V$33+'TUSD CVA'!$V$33)*1</f>
        <v>4.0055047367891543</v>
      </c>
      <c r="V33" s="13">
        <f>('TUSD BE'!$W$33+'TUSD BF'!$W$33+'TUSD CVA'!$W$33)*1</f>
        <v>0</v>
      </c>
      <c r="W33" s="13">
        <f>('TUSD BE'!$X$33+'TUSD BF'!$X$33+'TUSD CVA'!$X$33)*1</f>
        <v>0</v>
      </c>
      <c r="X33" s="13">
        <f>('TUSD BE'!$Y$33+'TUSD BF'!$Y$33+'TUSD CVA'!$Y$33)*1</f>
        <v>0</v>
      </c>
      <c r="Y33" s="13">
        <f>('TUSD BE'!$Z$33+'TUSD BF'!$Z$33+'TUSD CVA'!$Z$33)*1</f>
        <v>0</v>
      </c>
      <c r="Z33" s="13">
        <f>('TUSD BE'!$AA$33+'TUSD BF'!$AA$33+'TUSD CVA'!$AA$33)*1</f>
        <v>0</v>
      </c>
      <c r="AA33" s="13">
        <f>('TUSD BE'!$AC$33+'TUSD BF'!$AC$33+'TUSD CVA'!$AC$33)*1</f>
        <v>162.55993377071428</v>
      </c>
      <c r="AB33" s="13">
        <f ca="1">('TUSD BE'!$AE$33+'TUSD BF'!$AE$33+'TUSD CVA'!$AE$33)*1</f>
        <v>0</v>
      </c>
      <c r="AC33" s="13">
        <f ca="1">('TUSD BE'!$AF$33+'TUSD BF'!$AF$33+'TUSD CVA'!$AF$33)*1</f>
        <v>0</v>
      </c>
      <c r="AD33" s="13">
        <f>('TUSD BE'!$AH$33+'TUSD BF'!$AH$33+'TUSD CVA'!$AH$33)*1</f>
        <v>11.957015288686913</v>
      </c>
      <c r="AE33" s="13">
        <f>('TUSD BE'!$AI$33+'TUSD BF'!$AI$33+'TUSD CVA'!$AI$33)*1</f>
        <v>0</v>
      </c>
      <c r="AF33" s="13">
        <f ca="1">('TUSD BE'!$AJ$33+'TUSD BF'!$AJ$33+'TUSD CVA'!$AJ$33)*1</f>
        <v>0</v>
      </c>
      <c r="AG33" s="13">
        <f ca="1">('TUSD BE'!$AK$33+'TUSD BF'!$AK$33+'TUSD CVA'!$AK$33)*1</f>
        <v>0</v>
      </c>
      <c r="AI33" s="13">
        <v>0</v>
      </c>
      <c r="AJ33" s="13">
        <v>0.75957853923066398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19.896170288181601</v>
      </c>
      <c r="AR33" s="13">
        <v>3.7297550766707399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134.35779386891599</v>
      </c>
      <c r="AY33" s="13">
        <v>0</v>
      </c>
      <c r="AZ33" s="13">
        <v>0</v>
      </c>
      <c r="BA33" s="13">
        <v>14.188949460899901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4" t="s">
        <v>42</v>
      </c>
      <c r="B34" s="94" t="s">
        <v>55</v>
      </c>
      <c r="C34" s="94" t="s">
        <v>43</v>
      </c>
      <c r="D34" s="94" t="s">
        <v>25</v>
      </c>
      <c r="E34" s="94" t="s">
        <v>25</v>
      </c>
      <c r="F34" s="94" t="s">
        <v>25</v>
      </c>
      <c r="G34" s="24" t="s">
        <v>75</v>
      </c>
      <c r="H34" s="24" t="s">
        <v>74</v>
      </c>
      <c r="I34" s="24">
        <f>'MERCADO TUSD'!$U$31</f>
        <v>0</v>
      </c>
      <c r="J34" s="15"/>
      <c r="L34" s="13">
        <f>('TUSD BE'!$L$34+'TUSD BF'!$L$34+'TUSD CVA'!$L$34)*(1 - CUSTOS!$M$38)</f>
        <v>30.007191608577795</v>
      </c>
      <c r="M34" s="13">
        <f>('TUSD BE'!$M$34+'TUSD BF'!$M$34+'TUSD CVA'!$M$34)*(1 - CUSTOS!$M$38)</f>
        <v>0.68359586123932081</v>
      </c>
      <c r="N34" s="13">
        <f ca="1">('TUSD BE'!$N$34+'TUSD BF'!$N$34+'TUSD CVA'!$N$34)*(1 - CUSTOS!$M$38)</f>
        <v>0</v>
      </c>
      <c r="O34" s="13">
        <f>('TUSD BE'!$O$34+'TUSD BF'!$O$34+'TUSD CVA'!$O$34)*(1 - CUSTOS!$M$38)</f>
        <v>0</v>
      </c>
      <c r="P34" s="13">
        <f>('TUSD BE'!$P$34+'TUSD BF'!$P$34+'TUSD CVA'!$P$34)*(1 - CUSTOS!$M$38)</f>
        <v>0</v>
      </c>
      <c r="Q34" s="13">
        <f>('TUSD BE'!$Q$34+'TUSD BF'!$Q$34+'TUSD CVA'!$Q$34)*(1 - CUSTOS!$M$38)</f>
        <v>84.562385305852217</v>
      </c>
      <c r="R34" s="13">
        <f>('TUSD BE'!$R$34+'TUSD BF'!$R$34+'TUSD CVA'!$R$34)*(1 - CUSTOS!$M$38)</f>
        <v>13.363959473487334</v>
      </c>
      <c r="S34" s="13">
        <f>('TUSD BE'!$S$34+'TUSD BF'!$S$34+'TUSD CVA'!$S$34)*(1 - CUSTOS!$M$38)</f>
        <v>0</v>
      </c>
      <c r="T34" s="13">
        <f>('TUSD BE'!$U$34+'TUSD BF'!$U$34+'TUSD CVA'!$U$34)*(1 - CUSTOS!$M$38)</f>
        <v>78.934739683579764</v>
      </c>
      <c r="U34" s="13">
        <f>('TUSD BE'!$V$34+'TUSD BF'!$V$34+'TUSD CVA'!$V$34)*(1 - CUSTOS!$M$38)</f>
        <v>11.107806230981197</v>
      </c>
      <c r="V34" s="13">
        <f>('TUSD BE'!$W$34+'TUSD BF'!$W$34+'TUSD CVA'!$W$34)*(1 - CUSTOS!$M$38)</f>
        <v>0</v>
      </c>
      <c r="W34" s="13">
        <f>('TUSD BE'!$X$34+'TUSD BF'!$X$34+'TUSD CVA'!$X$34)*(1 - CUSTOS!$M$38)</f>
        <v>0</v>
      </c>
      <c r="X34" s="13">
        <f>('TUSD BE'!$Y$34+'TUSD BF'!$Y$34+'TUSD CVA'!$Y$34)*(1 - CUSTOS!$M$38)</f>
        <v>0</v>
      </c>
      <c r="Y34" s="13">
        <f>('TUSD BE'!$Z$34+'TUSD BF'!$Z$34+'TUSD CVA'!$Z$34)*(1 - CUSTOS!$M$38)</f>
        <v>0</v>
      </c>
      <c r="Z34" s="13">
        <f>('TUSD BE'!$AA$34+'TUSD BF'!$AA$34+'TUSD CVA'!$AA$34)*(1 - CUSTOS!$M$38)</f>
        <v>0</v>
      </c>
      <c r="AA34" s="13">
        <f>('TUSD BE'!$AC$34+'TUSD BF'!$AC$34+'TUSD CVA'!$AC$34)*(1 - CUSTOS!$M$38)</f>
        <v>450.77870420271114</v>
      </c>
      <c r="AB34" s="13">
        <f ca="1">('TUSD BE'!$AE$34+'TUSD BF'!$AE$34+'TUSD CVA'!$AE$34)*(1 - CUSTOS!$M$38)</f>
        <v>0</v>
      </c>
      <c r="AC34" s="13">
        <f ca="1">('TUSD BE'!$AF$34+'TUSD BF'!$AF$34+'TUSD CVA'!$AF$34)*(1 - CUSTOS!$M$38)</f>
        <v>0</v>
      </c>
      <c r="AD34" s="13">
        <f>('TUSD BE'!$AH$34+'TUSD BF'!$AH$34+'TUSD CVA'!$AH$34)*(1 - CUSTOS!$M$38)</f>
        <v>11.239594371365698</v>
      </c>
      <c r="AE34" s="13">
        <f>('TUSD BE'!$AI$34+'TUSD BF'!$AI$34+'TUSD CVA'!$AI$34)*(1 - CUSTOS!$M$38)</f>
        <v>0</v>
      </c>
      <c r="AF34" s="13">
        <f ca="1">('TUSD BE'!$AJ$34+'TUSD BF'!$AJ$34+'TUSD CVA'!$AJ$34)*(1 - CUSTOS!$M$38)</f>
        <v>0</v>
      </c>
      <c r="AG34" s="13">
        <f ca="1">('TUSD BE'!$AK$34+'TUSD BF'!$AK$34+'TUSD CVA'!$AK$34)*(1 - CUSTOS!$M$38)</f>
        <v>0</v>
      </c>
      <c r="AI34" s="13">
        <v>28.158693066008901</v>
      </c>
      <c r="AJ34" s="13">
        <v>0.66842911452298404</v>
      </c>
      <c r="AK34" s="13">
        <v>0</v>
      </c>
      <c r="AL34" s="13">
        <v>0</v>
      </c>
      <c r="AM34" s="13">
        <v>0</v>
      </c>
      <c r="AN34" s="13">
        <v>48.774485624490403</v>
      </c>
      <c r="AO34" s="13">
        <v>7.6551136477998201</v>
      </c>
      <c r="AP34" s="13">
        <v>0</v>
      </c>
      <c r="AQ34" s="13">
        <v>51.650326683452398</v>
      </c>
      <c r="AR34" s="13">
        <v>9.6828296031006005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348.79285072834602</v>
      </c>
      <c r="AY34" s="13">
        <v>0</v>
      </c>
      <c r="AZ34" s="13">
        <v>0</v>
      </c>
      <c r="BA34" s="13">
        <v>12.486275525591999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4"/>
      <c r="B35" s="94"/>
      <c r="C35" s="94"/>
      <c r="D35" s="94"/>
      <c r="E35" s="94"/>
      <c r="F35" s="94"/>
      <c r="G35" s="24" t="s">
        <v>86</v>
      </c>
      <c r="H35" s="24" t="s">
        <v>74</v>
      </c>
      <c r="I35" s="24">
        <f>'MERCADO TUSD'!$U$32</f>
        <v>0</v>
      </c>
      <c r="J35" s="15"/>
      <c r="L35" s="13">
        <f>('TUSD BE'!$L$35+'TUSD BF'!$L$35+'TUSD CVA'!$L$35)*(1 - CUSTOS!$M$38)</f>
        <v>30.007191608577795</v>
      </c>
      <c r="M35" s="13">
        <f>('TUSD BE'!$M$35+'TUSD BF'!$M$35+'TUSD CVA'!$M$35)*(1 - CUSTOS!$M$38)</f>
        <v>0.68359586123932081</v>
      </c>
      <c r="N35" s="13">
        <f ca="1">('TUSD BE'!$N$35+'TUSD BF'!$N$35+'TUSD CVA'!$N$35)*(1 - CUSTOS!$M$38)</f>
        <v>0</v>
      </c>
      <c r="O35" s="13">
        <f>('TUSD BE'!$O$35+'TUSD BF'!$O$35+'TUSD CVA'!$O$35)*(1 - CUSTOS!$M$38)</f>
        <v>0</v>
      </c>
      <c r="P35" s="13">
        <f>('TUSD BE'!$P$35+'TUSD BF'!$P$35+'TUSD CVA'!$P$35)*(1 - CUSTOS!$M$38)</f>
        <v>0</v>
      </c>
      <c r="Q35" s="13">
        <f>('TUSD BE'!$Q$35+'TUSD BF'!$Q$35+'TUSD CVA'!$Q$35)*(1 - CUSTOS!$M$38)</f>
        <v>84.562385305852217</v>
      </c>
      <c r="R35" s="13">
        <f>('TUSD BE'!$R$35+'TUSD BF'!$R$35+'TUSD CVA'!$R$35)*(1 - CUSTOS!$M$38)</f>
        <v>13.363959473487334</v>
      </c>
      <c r="S35" s="13">
        <f>('TUSD BE'!$S$35+'TUSD BF'!$S$35+'TUSD CVA'!$S$35)*(1 - CUSTOS!$M$38)</f>
        <v>0</v>
      </c>
      <c r="T35" s="13">
        <f>('TUSD BE'!$U$35+'TUSD BF'!$U$35+'TUSD CVA'!$U$35)*(1 - CUSTOS!$M$38)</f>
        <v>47.360757228202118</v>
      </c>
      <c r="U35" s="13">
        <f>('TUSD BE'!$V$35+'TUSD BF'!$V$35+'TUSD CVA'!$V$35)*(1 - CUSTOS!$M$38)</f>
        <v>6.6646620747541228</v>
      </c>
      <c r="V35" s="13">
        <f>('TUSD BE'!$W$35+'TUSD BF'!$W$35+'TUSD CVA'!$W$35)*(1 - CUSTOS!$M$38)</f>
        <v>0</v>
      </c>
      <c r="W35" s="13">
        <f>('TUSD BE'!$X$35+'TUSD BF'!$X$35+'TUSD CVA'!$X$35)*(1 - CUSTOS!$M$38)</f>
        <v>0</v>
      </c>
      <c r="X35" s="13">
        <f>('TUSD BE'!$Y$35+'TUSD BF'!$Y$35+'TUSD CVA'!$Y$35)*(1 - CUSTOS!$M$38)</f>
        <v>0</v>
      </c>
      <c r="Y35" s="13">
        <f>('TUSD BE'!$Z$35+'TUSD BF'!$Z$35+'TUSD CVA'!$Z$35)*(1 - CUSTOS!$M$38)</f>
        <v>0</v>
      </c>
      <c r="Z35" s="13">
        <f>('TUSD BE'!$AA$35+'TUSD BF'!$AA$35+'TUSD CVA'!$AA$35)*(1 - CUSTOS!$M$38)</f>
        <v>0</v>
      </c>
      <c r="AA35" s="13">
        <f>('TUSD BE'!$AC$35+'TUSD BF'!$AC$35+'TUSD CVA'!$AC$35)*(1 - CUSTOS!$M$38)</f>
        <v>270.46715966946289</v>
      </c>
      <c r="AB35" s="13">
        <f ca="1">('TUSD BE'!$AE$35+'TUSD BF'!$AE$35+'TUSD CVA'!$AE$35)*(1 - CUSTOS!$M$38)</f>
        <v>0</v>
      </c>
      <c r="AC35" s="13">
        <f ca="1">('TUSD BE'!$AF$35+'TUSD BF'!$AF$35+'TUSD CVA'!$AF$35)*(1 - CUSTOS!$M$38)</f>
        <v>0</v>
      </c>
      <c r="AD35" s="13">
        <f>('TUSD BE'!$AH$35+'TUSD BF'!$AH$35+'TUSD CVA'!$AH$35)*(1 - CUSTOS!$M$38)</f>
        <v>11.239594371365698</v>
      </c>
      <c r="AE35" s="13">
        <f>('TUSD BE'!$AI$35+'TUSD BF'!$AI$35+'TUSD CVA'!$AI$35)*(1 - CUSTOS!$M$38)</f>
        <v>0</v>
      </c>
      <c r="AF35" s="13">
        <f ca="1">('TUSD BE'!$AJ$35+'TUSD BF'!$AJ$35+'TUSD CVA'!$AJ$35)*(1 - CUSTOS!$M$38)</f>
        <v>0</v>
      </c>
      <c r="AG35" s="13">
        <f ca="1">('TUSD BE'!$AK$35+'TUSD BF'!$AK$35+'TUSD CVA'!$AK$35)*(1 - CUSTOS!$M$38)</f>
        <v>0</v>
      </c>
      <c r="AI35" s="13">
        <v>28.158693066008901</v>
      </c>
      <c r="AJ35" s="13">
        <v>0.66842911452298404</v>
      </c>
      <c r="AK35" s="13">
        <v>0</v>
      </c>
      <c r="AL35" s="13">
        <v>0</v>
      </c>
      <c r="AM35" s="13">
        <v>0</v>
      </c>
      <c r="AN35" s="13">
        <v>48.774485624490403</v>
      </c>
      <c r="AO35" s="13">
        <v>7.6551136477998201</v>
      </c>
      <c r="AP35" s="13">
        <v>0</v>
      </c>
      <c r="AQ35" s="13">
        <v>30.990087810934</v>
      </c>
      <c r="AR35" s="13">
        <v>5.8096977618603596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209.27565945232399</v>
      </c>
      <c r="AY35" s="13">
        <v>0</v>
      </c>
      <c r="AZ35" s="13">
        <v>0</v>
      </c>
      <c r="BA35" s="13">
        <v>12.486275525591999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4"/>
      <c r="B36" s="94"/>
      <c r="C36" s="94"/>
      <c r="D36" s="94"/>
      <c r="E36" s="94"/>
      <c r="F36" s="94"/>
      <c r="G36" s="24" t="s">
        <v>76</v>
      </c>
      <c r="H36" s="24" t="s">
        <v>74</v>
      </c>
      <c r="I36" s="24">
        <f>'MERCADO TUSD'!$U$33</f>
        <v>0</v>
      </c>
      <c r="J36" s="15"/>
      <c r="L36" s="13">
        <f>('TUSD BE'!$L$36+'TUSD BF'!$L$36+'TUSD CVA'!$L$36)*(1 - CUSTOS!$M$38)</f>
        <v>30.007191608577795</v>
      </c>
      <c r="M36" s="13">
        <f>('TUSD BE'!$M$36+'TUSD BF'!$M$36+'TUSD CVA'!$M$36)*(1 - CUSTOS!$M$38)</f>
        <v>0.68359586123932081</v>
      </c>
      <c r="N36" s="13">
        <f ca="1">('TUSD BE'!$N$36+'TUSD BF'!$N$36+'TUSD CVA'!$N$36)*(1 - CUSTOS!$M$38)</f>
        <v>0</v>
      </c>
      <c r="O36" s="13">
        <f>('TUSD BE'!$O$36+'TUSD BF'!$O$36+'TUSD CVA'!$O$36)*(1 - CUSTOS!$M$38)</f>
        <v>0</v>
      </c>
      <c r="P36" s="13">
        <f>('TUSD BE'!$P$36+'TUSD BF'!$P$36+'TUSD CVA'!$P$36)*(1 - CUSTOS!$M$38)</f>
        <v>0</v>
      </c>
      <c r="Q36" s="13">
        <f>('TUSD BE'!$Q$36+'TUSD BF'!$Q$36+'TUSD CVA'!$Q$36)*(1 - CUSTOS!$M$38)</f>
        <v>84.562385305852217</v>
      </c>
      <c r="R36" s="13">
        <f>('TUSD BE'!$R$36+'TUSD BF'!$R$36+'TUSD CVA'!$R$36)*(1 - CUSTOS!$M$38)</f>
        <v>13.363959473487334</v>
      </c>
      <c r="S36" s="13">
        <f>('TUSD BE'!$S$36+'TUSD BF'!$S$36+'TUSD CVA'!$S$36)*(1 - CUSTOS!$M$38)</f>
        <v>0</v>
      </c>
      <c r="T36" s="13">
        <f>('TUSD BE'!$U$36+'TUSD BF'!$U$36+'TUSD CVA'!$U$36)*(1 - CUSTOS!$M$38)</f>
        <v>15.786919076067372</v>
      </c>
      <c r="U36" s="13">
        <f>('TUSD BE'!$V$36+'TUSD BF'!$V$36+'TUSD CVA'!$V$36)*(1 - CUSTOS!$M$38)</f>
        <v>2.2215179185270495</v>
      </c>
      <c r="V36" s="13">
        <f>('TUSD BE'!$W$36+'TUSD BF'!$W$36+'TUSD CVA'!$W$36)*(1 - CUSTOS!$M$38)</f>
        <v>0</v>
      </c>
      <c r="W36" s="13">
        <f>('TUSD BE'!$X$36+'TUSD BF'!$X$36+'TUSD CVA'!$X$36)*(1 - CUSTOS!$M$38)</f>
        <v>0</v>
      </c>
      <c r="X36" s="13">
        <f>('TUSD BE'!$Y$36+'TUSD BF'!$Y$36+'TUSD CVA'!$Y$36)*(1 - CUSTOS!$M$38)</f>
        <v>0</v>
      </c>
      <c r="Y36" s="13">
        <f>('TUSD BE'!$Z$36+'TUSD BF'!$Z$36+'TUSD CVA'!$Z$36)*(1 - CUSTOS!$M$38)</f>
        <v>0</v>
      </c>
      <c r="Z36" s="13">
        <f>('TUSD BE'!$AA$36+'TUSD BF'!$AA$36+'TUSD CVA'!$AA$36)*(1 - CUSTOS!$M$38)</f>
        <v>0</v>
      </c>
      <c r="AA36" s="13">
        <f>('TUSD BE'!$AC$36+'TUSD BF'!$AC$36+'TUSD CVA'!$AC$36)*(1 - CUSTOS!$M$38)</f>
        <v>90.155772266624126</v>
      </c>
      <c r="AB36" s="13">
        <f ca="1">('TUSD BE'!$AE$36+'TUSD BF'!$AE$36+'TUSD CVA'!$AE$36)*(1 - CUSTOS!$M$38)</f>
        <v>0</v>
      </c>
      <c r="AC36" s="13">
        <f ca="1">('TUSD BE'!$AF$36+'TUSD BF'!$AF$36+'TUSD CVA'!$AF$36)*(1 - CUSTOS!$M$38)</f>
        <v>0</v>
      </c>
      <c r="AD36" s="13">
        <f>('TUSD BE'!$AH$36+'TUSD BF'!$AH$36+'TUSD CVA'!$AH$36)*(1 - CUSTOS!$M$38)</f>
        <v>11.239594371365698</v>
      </c>
      <c r="AE36" s="13">
        <f>('TUSD BE'!$AI$36+'TUSD BF'!$AI$36+'TUSD CVA'!$AI$36)*(1 - CUSTOS!$M$38)</f>
        <v>0</v>
      </c>
      <c r="AF36" s="13">
        <f ca="1">('TUSD BE'!$AJ$36+'TUSD BF'!$AJ$36+'TUSD CVA'!$AJ$36)*(1 - CUSTOS!$M$38)</f>
        <v>0</v>
      </c>
      <c r="AG36" s="13">
        <f ca="1">('TUSD BE'!$AK$36+'TUSD BF'!$AK$36+'TUSD CVA'!$AK$36)*(1 - CUSTOS!$M$38)</f>
        <v>0</v>
      </c>
      <c r="AI36" s="13">
        <v>28.158693066008901</v>
      </c>
      <c r="AJ36" s="13">
        <v>0.66842911452298404</v>
      </c>
      <c r="AK36" s="13">
        <v>0</v>
      </c>
      <c r="AL36" s="13">
        <v>0</v>
      </c>
      <c r="AM36" s="13">
        <v>0</v>
      </c>
      <c r="AN36" s="13">
        <v>48.774485624490403</v>
      </c>
      <c r="AO36" s="13">
        <v>7.6551136477998201</v>
      </c>
      <c r="AP36" s="13">
        <v>0</v>
      </c>
      <c r="AQ36" s="13">
        <v>10.330080793710099</v>
      </c>
      <c r="AR36" s="13">
        <v>1.93656592062012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69.758570145669196</v>
      </c>
      <c r="AY36" s="13">
        <v>0</v>
      </c>
      <c r="AZ36" s="13">
        <v>0</v>
      </c>
      <c r="BA36" s="13">
        <v>12.486275525591999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4"/>
      <c r="B37" s="23" t="s">
        <v>23</v>
      </c>
      <c r="C37" s="23" t="s">
        <v>43</v>
      </c>
      <c r="D37" s="23" t="s">
        <v>25</v>
      </c>
      <c r="E37" s="23" t="s">
        <v>25</v>
      </c>
      <c r="F37" s="23" t="s">
        <v>25</v>
      </c>
      <c r="G37" s="24" t="s">
        <v>80</v>
      </c>
      <c r="H37" s="24" t="s">
        <v>74</v>
      </c>
      <c r="I37" s="24">
        <f>'MERCADO TUSD'!$U$34</f>
        <v>15992.407000000001</v>
      </c>
      <c r="J37" s="15"/>
      <c r="L37" s="13">
        <f>('TUSD BE'!$L$37+'TUSD BF'!$L$37+'TUSD CVA'!$L$37)*(1 - CUSTOS!$M$38)</f>
        <v>30.007191608577795</v>
      </c>
      <c r="M37" s="13">
        <f>('TUSD BE'!$M$37+'TUSD BF'!$M$37+'TUSD CVA'!$M$37)*(1 - CUSTOS!$M$38)</f>
        <v>0.68359586123932081</v>
      </c>
      <c r="N37" s="13">
        <f ca="1">('TUSD BE'!$N$37+'TUSD BF'!$N$37+'TUSD CVA'!$N$37)*(1 - CUSTOS!$M$38)</f>
        <v>0</v>
      </c>
      <c r="O37" s="13">
        <f>('TUSD BE'!$O$37+'TUSD BF'!$O$37+'TUSD CVA'!$O$37)*(1 - CUSTOS!$M$38)</f>
        <v>0</v>
      </c>
      <c r="P37" s="13">
        <f>('TUSD BE'!$P$37+'TUSD BF'!$P$37+'TUSD CVA'!$P$37)*(1 - CUSTOS!$M$38)</f>
        <v>0</v>
      </c>
      <c r="Q37" s="13">
        <f>('TUSD BE'!$Q$37+'TUSD BF'!$Q$37+'TUSD CVA'!$Q$37)*(1 - CUSTOS!$M$38)</f>
        <v>84.562385305852217</v>
      </c>
      <c r="R37" s="13">
        <f>('TUSD BE'!$R$37+'TUSD BF'!$R$37+'TUSD CVA'!$R$37)*(1 - CUSTOS!$M$38)</f>
        <v>13.363959473487334</v>
      </c>
      <c r="S37" s="13">
        <f>('TUSD BE'!$S$37+'TUSD BF'!$S$37+'TUSD CVA'!$S$37)*(1 - CUSTOS!$M$38)</f>
        <v>0</v>
      </c>
      <c r="T37" s="13">
        <f>('TUSD BE'!$U$37+'TUSD BF'!$U$37+'TUSD CVA'!$U$37)*(1 - CUSTOS!$M$38)</f>
        <v>26.757573117237211</v>
      </c>
      <c r="U37" s="13">
        <f>('TUSD BE'!$V$37+'TUSD BF'!$V$37+'TUSD CVA'!$V$37)*(1 - CUSTOS!$M$38)</f>
        <v>3.7651744525818049</v>
      </c>
      <c r="V37" s="13">
        <f>('TUSD BE'!$W$37+'TUSD BF'!$W$37+'TUSD CVA'!$W$37)*(1 - CUSTOS!$M$38)</f>
        <v>0</v>
      </c>
      <c r="W37" s="13">
        <f>('TUSD BE'!$X$37+'TUSD BF'!$X$37+'TUSD CVA'!$X$37)*(1 - CUSTOS!$M$38)</f>
        <v>0</v>
      </c>
      <c r="X37" s="13">
        <f>('TUSD BE'!$Y$37+'TUSD BF'!$Y$37+'TUSD CVA'!$Y$37)*(1 - CUSTOS!$M$38)</f>
        <v>0</v>
      </c>
      <c r="Y37" s="13">
        <f>('TUSD BE'!$Z$37+'TUSD BF'!$Z$37+'TUSD CVA'!$Z$37)*(1 - CUSTOS!$M$38)</f>
        <v>0</v>
      </c>
      <c r="Z37" s="13">
        <f>('TUSD BE'!$AA$37+'TUSD BF'!$AA$37+'TUSD CVA'!$AA$37)*(1 - CUSTOS!$M$38)</f>
        <v>0</v>
      </c>
      <c r="AA37" s="13">
        <f>('TUSD BE'!$AC$37+'TUSD BF'!$AC$37+'TUSD CVA'!$AC$37)*(1 - CUSTOS!$M$38)</f>
        <v>152.80633774447142</v>
      </c>
      <c r="AB37" s="13">
        <f ca="1">('TUSD BE'!$AE$37+'TUSD BF'!$AE$37+'TUSD CVA'!$AE$37)*(1 - CUSTOS!$M$38)</f>
        <v>0</v>
      </c>
      <c r="AC37" s="13">
        <f ca="1">('TUSD BE'!$AF$37+'TUSD BF'!$AF$37+'TUSD CVA'!$AF$37)*(1 - CUSTOS!$M$38)</f>
        <v>0</v>
      </c>
      <c r="AD37" s="13">
        <f>('TUSD BE'!$AH$37+'TUSD BF'!$AH$37+'TUSD CVA'!$AH$37)*(1 - CUSTOS!$M$38)</f>
        <v>11.239594371365698</v>
      </c>
      <c r="AE37" s="13">
        <f>('TUSD BE'!$AI$37+'TUSD BF'!$AI$37+'TUSD CVA'!$AI$37)*(1 - CUSTOS!$M$38)</f>
        <v>0</v>
      </c>
      <c r="AF37" s="13">
        <f ca="1">('TUSD BE'!$AJ$37+'TUSD BF'!$AJ$37+'TUSD CVA'!$AJ$37)*(1 - CUSTOS!$M$38)</f>
        <v>0</v>
      </c>
      <c r="AG37" s="13">
        <f ca="1">('TUSD BE'!$AK$37+'TUSD BF'!$AK$37+'TUSD CVA'!$AK$37)*(1 - CUSTOS!$M$38)</f>
        <v>0</v>
      </c>
      <c r="AI37" s="13">
        <v>28.158693066008901</v>
      </c>
      <c r="AJ37" s="13">
        <v>0.66842911452298404</v>
      </c>
      <c r="AK37" s="13">
        <v>0</v>
      </c>
      <c r="AL37" s="13">
        <v>0</v>
      </c>
      <c r="AM37" s="13">
        <v>0</v>
      </c>
      <c r="AN37" s="13">
        <v>48.774485624490403</v>
      </c>
      <c r="AO37" s="13">
        <v>7.6551136477998201</v>
      </c>
      <c r="AP37" s="13">
        <v>0</v>
      </c>
      <c r="AQ37" s="13">
        <v>17.5086298535998</v>
      </c>
      <c r="AR37" s="13">
        <v>3.2821844674702501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118.23485860464601</v>
      </c>
      <c r="AY37" s="13">
        <v>0</v>
      </c>
      <c r="AZ37" s="13">
        <v>0</v>
      </c>
      <c r="BA37" s="13">
        <v>12.486275525591999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4"/>
      <c r="B38" s="94" t="s">
        <v>55</v>
      </c>
      <c r="C38" s="94" t="s">
        <v>43</v>
      </c>
      <c r="D38" s="94" t="s">
        <v>90</v>
      </c>
      <c r="E38" s="94" t="s">
        <v>25</v>
      </c>
      <c r="F38" s="94" t="s">
        <v>25</v>
      </c>
      <c r="G38" s="24" t="s">
        <v>75</v>
      </c>
      <c r="H38" s="24" t="s">
        <v>74</v>
      </c>
      <c r="I38" s="24">
        <f>'MERCADO TUSD'!$U$35</f>
        <v>0</v>
      </c>
      <c r="J38" s="15"/>
      <c r="L38" s="13">
        <f>('TUSD BE'!$L$38+'TUSD BF'!$L$38+'TUSD CVA'!$L$38)*(1 - CUSTOS!$M$39)</f>
        <v>30.007191608577795</v>
      </c>
      <c r="M38" s="13">
        <f>('TUSD BE'!$M$38+'TUSD BF'!$M$38+'TUSD CVA'!$M$38)*(1 - CUSTOS!$M$39)</f>
        <v>0.68359586123932081</v>
      </c>
      <c r="N38" s="13">
        <f ca="1">('TUSD BE'!$N$38+'TUSD BF'!$N$38+'TUSD CVA'!$N$38)*(1 - CUSTOS!$M$39)</f>
        <v>0</v>
      </c>
      <c r="O38" s="13">
        <f>('TUSD BE'!$O$38+'TUSD BF'!$O$38+'TUSD CVA'!$O$38)*(1 - CUSTOS!$M$39)</f>
        <v>0</v>
      </c>
      <c r="P38" s="13">
        <f>('TUSD BE'!$P$38+'TUSD BF'!$P$38+'TUSD CVA'!$P$38)*(1 - CUSTOS!$M$39)</f>
        <v>0</v>
      </c>
      <c r="Q38" s="13">
        <f>('TUSD BE'!$Q$38+'TUSD BF'!$Q$38+'TUSD CVA'!$Q$38)*(1 - CUSTOS!$M$39)</f>
        <v>84.562385305852217</v>
      </c>
      <c r="R38" s="13">
        <f>('TUSD BE'!$R$38+'TUSD BF'!$R$38+'TUSD CVA'!$R$38)*(1 - CUSTOS!$M$39)</f>
        <v>13.363959473487334</v>
      </c>
      <c r="S38" s="13">
        <f>('TUSD BE'!$S$38+'TUSD BF'!$S$38+'TUSD CVA'!$S$38)*(1 - CUSTOS!$M$39)</f>
        <v>0</v>
      </c>
      <c r="T38" s="13">
        <f>('TUSD BE'!$U$38+'TUSD BF'!$U$38+'TUSD CVA'!$U$38)*(1 - CUSTOS!$M$39)</f>
        <v>78.934739683579764</v>
      </c>
      <c r="U38" s="13">
        <f>('TUSD BE'!$V$38+'TUSD BF'!$V$38+'TUSD CVA'!$V$38)*(1 - CUSTOS!$M$39)</f>
        <v>11.107806230981197</v>
      </c>
      <c r="V38" s="13">
        <f>('TUSD BE'!$W$38+'TUSD BF'!$W$38+'TUSD CVA'!$W$38)*(1 - CUSTOS!$M$39)</f>
        <v>0</v>
      </c>
      <c r="W38" s="13">
        <f>('TUSD BE'!$X$38+'TUSD BF'!$X$38+'TUSD CVA'!$X$38)*(1 - CUSTOS!$M$39)</f>
        <v>0</v>
      </c>
      <c r="X38" s="13">
        <f>('TUSD BE'!$Y$38+'TUSD BF'!$Y$38+'TUSD CVA'!$Y$38)*(1 - CUSTOS!$M$39)</f>
        <v>0</v>
      </c>
      <c r="Y38" s="13">
        <f>('TUSD BE'!$Z$38+'TUSD BF'!$Z$38+'TUSD CVA'!$Z$38)*(1 - CUSTOS!$M$39)</f>
        <v>0</v>
      </c>
      <c r="Z38" s="13">
        <f>('TUSD BE'!$AA$38+'TUSD BF'!$AA$38+'TUSD CVA'!$AA$38)*(1 - CUSTOS!$M$39)</f>
        <v>0</v>
      </c>
      <c r="AA38" s="13">
        <f>('TUSD BE'!$AC$38+'TUSD BF'!$AC$38+'TUSD CVA'!$AC$38)*(1 - CUSTOS!$M$39)</f>
        <v>450.77870420271114</v>
      </c>
      <c r="AB38" s="13">
        <f ca="1">('TUSD BE'!$AE$38+'TUSD BF'!$AE$38+'TUSD CVA'!$AE$38)*(1 - CUSTOS!$M$39)</f>
        <v>0</v>
      </c>
      <c r="AC38" s="13">
        <f ca="1">('TUSD BE'!$AF$38+'TUSD BF'!$AF$38+'TUSD CVA'!$AF$38)*(1 - CUSTOS!$M$39)</f>
        <v>0</v>
      </c>
      <c r="AD38" s="13">
        <f>('TUSD BE'!$AH$38+'TUSD BF'!$AH$38+'TUSD CVA'!$AH$38)*(1 - CUSTOS!$M$39)</f>
        <v>11.239594371365698</v>
      </c>
      <c r="AE38" s="13">
        <f>('TUSD BE'!$AI$38+'TUSD BF'!$AI$38+'TUSD CVA'!$AI$38)*(1 - CUSTOS!$M$39)</f>
        <v>0</v>
      </c>
      <c r="AF38" s="13">
        <f ca="1">('TUSD BE'!$AJ$38+'TUSD BF'!$AJ$38+'TUSD CVA'!$AJ$38)*(1 - CUSTOS!$M$39)</f>
        <v>0</v>
      </c>
      <c r="AG38" s="13">
        <f ca="1">('TUSD BE'!$AK$38+'TUSD BF'!$AK$38+'TUSD CVA'!$AK$38)*(1 - CUSTOS!$M$39)</f>
        <v>0</v>
      </c>
      <c r="AI38" s="13">
        <v>28.158693066008901</v>
      </c>
      <c r="AJ38" s="13">
        <v>0.66842911452298404</v>
      </c>
      <c r="AK38" s="13">
        <v>0</v>
      </c>
      <c r="AL38" s="13">
        <v>0</v>
      </c>
      <c r="AM38" s="13">
        <v>0</v>
      </c>
      <c r="AN38" s="13">
        <v>48.774485624490403</v>
      </c>
      <c r="AO38" s="13">
        <v>7.6551136477998201</v>
      </c>
      <c r="AP38" s="13">
        <v>0</v>
      </c>
      <c r="AQ38" s="13">
        <v>51.650326683452398</v>
      </c>
      <c r="AR38" s="13">
        <v>9.6828296031006005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348.79285072834602</v>
      </c>
      <c r="AY38" s="13">
        <v>0</v>
      </c>
      <c r="AZ38" s="13">
        <v>0</v>
      </c>
      <c r="BA38" s="13">
        <v>12.486275525591999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4"/>
      <c r="B39" s="94"/>
      <c r="C39" s="94"/>
      <c r="D39" s="94"/>
      <c r="E39" s="94"/>
      <c r="F39" s="94"/>
      <c r="G39" s="24" t="s">
        <v>86</v>
      </c>
      <c r="H39" s="24" t="s">
        <v>74</v>
      </c>
      <c r="I39" s="24">
        <f>'MERCADO TUSD'!$U$36</f>
        <v>0</v>
      </c>
      <c r="J39" s="15"/>
      <c r="L39" s="13">
        <f>('TUSD BE'!$L$39+'TUSD BF'!$L$39+'TUSD CVA'!$L$39)*(1 - CUSTOS!$M$39)</f>
        <v>30.007191608577795</v>
      </c>
      <c r="M39" s="13">
        <f>('TUSD BE'!$M$39+'TUSD BF'!$M$39+'TUSD CVA'!$M$39)*(1 - CUSTOS!$M$39)</f>
        <v>0.68359586123932081</v>
      </c>
      <c r="N39" s="13">
        <f ca="1">('TUSD BE'!$N$39+'TUSD BF'!$N$39+'TUSD CVA'!$N$39)*(1 - CUSTOS!$M$39)</f>
        <v>0</v>
      </c>
      <c r="O39" s="13">
        <f>('TUSD BE'!$O$39+'TUSD BF'!$O$39+'TUSD CVA'!$O$39)*(1 - CUSTOS!$M$39)</f>
        <v>0</v>
      </c>
      <c r="P39" s="13">
        <f>('TUSD BE'!$P$39+'TUSD BF'!$P$39+'TUSD CVA'!$P$39)*(1 - CUSTOS!$M$39)</f>
        <v>0</v>
      </c>
      <c r="Q39" s="13">
        <f>('TUSD BE'!$Q$39+'TUSD BF'!$Q$39+'TUSD CVA'!$Q$39)*(1 - CUSTOS!$M$39)</f>
        <v>84.562385305852217</v>
      </c>
      <c r="R39" s="13">
        <f>('TUSD BE'!$R$39+'TUSD BF'!$R$39+'TUSD CVA'!$R$39)*(1 - CUSTOS!$M$39)</f>
        <v>13.363959473487334</v>
      </c>
      <c r="S39" s="13">
        <f>('TUSD BE'!$S$39+'TUSD BF'!$S$39+'TUSD CVA'!$S$39)*(1 - CUSTOS!$M$39)</f>
        <v>0</v>
      </c>
      <c r="T39" s="13">
        <f>('TUSD BE'!$U$39+'TUSD BF'!$U$39+'TUSD CVA'!$U$39)*(1 - CUSTOS!$M$39)</f>
        <v>47.360757228202118</v>
      </c>
      <c r="U39" s="13">
        <f>('TUSD BE'!$V$39+'TUSD BF'!$V$39+'TUSD CVA'!$V$39)*(1 - CUSTOS!$M$39)</f>
        <v>6.6646620747541228</v>
      </c>
      <c r="V39" s="13">
        <f>('TUSD BE'!$W$39+'TUSD BF'!$W$39+'TUSD CVA'!$W$39)*(1 - CUSTOS!$M$39)</f>
        <v>0</v>
      </c>
      <c r="W39" s="13">
        <f>('TUSD BE'!$X$39+'TUSD BF'!$X$39+'TUSD CVA'!$X$39)*(1 - CUSTOS!$M$39)</f>
        <v>0</v>
      </c>
      <c r="X39" s="13">
        <f>('TUSD BE'!$Y$39+'TUSD BF'!$Y$39+'TUSD CVA'!$Y$39)*(1 - CUSTOS!$M$39)</f>
        <v>0</v>
      </c>
      <c r="Y39" s="13">
        <f>('TUSD BE'!$Z$39+'TUSD BF'!$Z$39+'TUSD CVA'!$Z$39)*(1 - CUSTOS!$M$39)</f>
        <v>0</v>
      </c>
      <c r="Z39" s="13">
        <f>('TUSD BE'!$AA$39+'TUSD BF'!$AA$39+'TUSD CVA'!$AA$39)*(1 - CUSTOS!$M$39)</f>
        <v>0</v>
      </c>
      <c r="AA39" s="13">
        <f>('TUSD BE'!$AC$39+'TUSD BF'!$AC$39+'TUSD CVA'!$AC$39)*(1 - CUSTOS!$M$39)</f>
        <v>270.46715966946289</v>
      </c>
      <c r="AB39" s="13">
        <f ca="1">('TUSD BE'!$AE$39+'TUSD BF'!$AE$39+'TUSD CVA'!$AE$39)*(1 - CUSTOS!$M$39)</f>
        <v>0</v>
      </c>
      <c r="AC39" s="13">
        <f ca="1">('TUSD BE'!$AF$39+'TUSD BF'!$AF$39+'TUSD CVA'!$AF$39)*(1 - CUSTOS!$M$39)</f>
        <v>0</v>
      </c>
      <c r="AD39" s="13">
        <f>('TUSD BE'!$AH$39+'TUSD BF'!$AH$39+'TUSD CVA'!$AH$39)*(1 - CUSTOS!$M$39)</f>
        <v>11.239594371365698</v>
      </c>
      <c r="AE39" s="13">
        <f>('TUSD BE'!$AI$39+'TUSD BF'!$AI$39+'TUSD CVA'!$AI$39)*(1 - CUSTOS!$M$39)</f>
        <v>0</v>
      </c>
      <c r="AF39" s="13">
        <f ca="1">('TUSD BE'!$AJ$39+'TUSD BF'!$AJ$39+'TUSD CVA'!$AJ$39)*(1 - CUSTOS!$M$39)</f>
        <v>0</v>
      </c>
      <c r="AG39" s="13">
        <f ca="1">('TUSD BE'!$AK$39+'TUSD BF'!$AK$39+'TUSD CVA'!$AK$39)*(1 - CUSTOS!$M$39)</f>
        <v>0</v>
      </c>
      <c r="AI39" s="13">
        <v>28.158693066008901</v>
      </c>
      <c r="AJ39" s="13">
        <v>0.66842911452298404</v>
      </c>
      <c r="AK39" s="13">
        <v>0</v>
      </c>
      <c r="AL39" s="13">
        <v>0</v>
      </c>
      <c r="AM39" s="13">
        <v>0</v>
      </c>
      <c r="AN39" s="13">
        <v>48.774485624490403</v>
      </c>
      <c r="AO39" s="13">
        <v>7.6551136477998201</v>
      </c>
      <c r="AP39" s="13">
        <v>0</v>
      </c>
      <c r="AQ39" s="13">
        <v>30.990087810934</v>
      </c>
      <c r="AR39" s="13">
        <v>5.8096977618603596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209.27565945232399</v>
      </c>
      <c r="AY39" s="13">
        <v>0</v>
      </c>
      <c r="AZ39" s="13">
        <v>0</v>
      </c>
      <c r="BA39" s="13">
        <v>12.486275525591999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4"/>
      <c r="B40" s="94"/>
      <c r="C40" s="94"/>
      <c r="D40" s="94"/>
      <c r="E40" s="94"/>
      <c r="F40" s="94"/>
      <c r="G40" s="24" t="s">
        <v>76</v>
      </c>
      <c r="H40" s="24" t="s">
        <v>74</v>
      </c>
      <c r="I40" s="24">
        <f>'MERCADO TUSD'!$U$37</f>
        <v>0</v>
      </c>
      <c r="J40" s="15"/>
      <c r="L40" s="13">
        <f>('TUSD BE'!$L$40+'TUSD BF'!$L$40+'TUSD CVA'!$L$40)*(1 - CUSTOS!$M$39)</f>
        <v>30.007191608577795</v>
      </c>
      <c r="M40" s="13">
        <f>('TUSD BE'!$M$40+'TUSD BF'!$M$40+'TUSD CVA'!$M$40)*(1 - CUSTOS!$M$39)</f>
        <v>0.68359586123932081</v>
      </c>
      <c r="N40" s="13">
        <f ca="1">('TUSD BE'!$N$40+'TUSD BF'!$N$40+'TUSD CVA'!$N$40)*(1 - CUSTOS!$M$39)</f>
        <v>0</v>
      </c>
      <c r="O40" s="13">
        <f>('TUSD BE'!$O$40+'TUSD BF'!$O$40+'TUSD CVA'!$O$40)*(1 - CUSTOS!$M$39)</f>
        <v>0</v>
      </c>
      <c r="P40" s="13">
        <f>('TUSD BE'!$P$40+'TUSD BF'!$P$40+'TUSD CVA'!$P$40)*(1 - CUSTOS!$M$39)</f>
        <v>0</v>
      </c>
      <c r="Q40" s="13">
        <f>('TUSD BE'!$Q$40+'TUSD BF'!$Q$40+'TUSD CVA'!$Q$40)*(1 - CUSTOS!$M$39)</f>
        <v>84.562385305852217</v>
      </c>
      <c r="R40" s="13">
        <f>('TUSD BE'!$R$40+'TUSD BF'!$R$40+'TUSD CVA'!$R$40)*(1 - CUSTOS!$M$39)</f>
        <v>13.363959473487334</v>
      </c>
      <c r="S40" s="13">
        <f>('TUSD BE'!$S$40+'TUSD BF'!$S$40+'TUSD CVA'!$S$40)*(1 - CUSTOS!$M$39)</f>
        <v>0</v>
      </c>
      <c r="T40" s="13">
        <f>('TUSD BE'!$U$40+'TUSD BF'!$U$40+'TUSD CVA'!$U$40)*(1 - CUSTOS!$M$39)</f>
        <v>15.786919076067372</v>
      </c>
      <c r="U40" s="13">
        <f>('TUSD BE'!$V$40+'TUSD BF'!$V$40+'TUSD CVA'!$V$40)*(1 - CUSTOS!$M$39)</f>
        <v>2.2215179185270495</v>
      </c>
      <c r="V40" s="13">
        <f>('TUSD BE'!$W$40+'TUSD BF'!$W$40+'TUSD CVA'!$W$40)*(1 - CUSTOS!$M$39)</f>
        <v>0</v>
      </c>
      <c r="W40" s="13">
        <f>('TUSD BE'!$X$40+'TUSD BF'!$X$40+'TUSD CVA'!$X$40)*(1 - CUSTOS!$M$39)</f>
        <v>0</v>
      </c>
      <c r="X40" s="13">
        <f>('TUSD BE'!$Y$40+'TUSD BF'!$Y$40+'TUSD CVA'!$Y$40)*(1 - CUSTOS!$M$39)</f>
        <v>0</v>
      </c>
      <c r="Y40" s="13">
        <f>('TUSD BE'!$Z$40+'TUSD BF'!$Z$40+'TUSD CVA'!$Z$40)*(1 - CUSTOS!$M$39)</f>
        <v>0</v>
      </c>
      <c r="Z40" s="13">
        <f>('TUSD BE'!$AA$40+'TUSD BF'!$AA$40+'TUSD CVA'!$AA$40)*(1 - CUSTOS!$M$39)</f>
        <v>0</v>
      </c>
      <c r="AA40" s="13">
        <f>('TUSD BE'!$AC$40+'TUSD BF'!$AC$40+'TUSD CVA'!$AC$40)*(1 - CUSTOS!$M$39)</f>
        <v>90.155772266624126</v>
      </c>
      <c r="AB40" s="13">
        <f ca="1">('TUSD BE'!$AE$40+'TUSD BF'!$AE$40+'TUSD CVA'!$AE$40)*(1 - CUSTOS!$M$39)</f>
        <v>0</v>
      </c>
      <c r="AC40" s="13">
        <f ca="1">('TUSD BE'!$AF$40+'TUSD BF'!$AF$40+'TUSD CVA'!$AF$40)*(1 - CUSTOS!$M$39)</f>
        <v>0</v>
      </c>
      <c r="AD40" s="13">
        <f>('TUSD BE'!$AH$40+'TUSD BF'!$AH$40+'TUSD CVA'!$AH$40)*(1 - CUSTOS!$M$39)</f>
        <v>11.239594371365698</v>
      </c>
      <c r="AE40" s="13">
        <f>('TUSD BE'!$AI$40+'TUSD BF'!$AI$40+'TUSD CVA'!$AI$40)*(1 - CUSTOS!$M$39)</f>
        <v>0</v>
      </c>
      <c r="AF40" s="13">
        <f ca="1">('TUSD BE'!$AJ$40+'TUSD BF'!$AJ$40+'TUSD CVA'!$AJ$40)*(1 - CUSTOS!$M$39)</f>
        <v>0</v>
      </c>
      <c r="AG40" s="13">
        <f ca="1">('TUSD BE'!$AK$40+'TUSD BF'!$AK$40+'TUSD CVA'!$AK$40)*(1 - CUSTOS!$M$39)</f>
        <v>0</v>
      </c>
      <c r="AI40" s="13">
        <v>28.158693066008901</v>
      </c>
      <c r="AJ40" s="13">
        <v>0.66842911452298404</v>
      </c>
      <c r="AK40" s="13">
        <v>0</v>
      </c>
      <c r="AL40" s="13">
        <v>0</v>
      </c>
      <c r="AM40" s="13">
        <v>0</v>
      </c>
      <c r="AN40" s="13">
        <v>48.774485624490403</v>
      </c>
      <c r="AO40" s="13">
        <v>7.6551136477998201</v>
      </c>
      <c r="AP40" s="13">
        <v>0</v>
      </c>
      <c r="AQ40" s="13">
        <v>10.330080793710099</v>
      </c>
      <c r="AR40" s="13">
        <v>1.93656592062012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69.758570145669196</v>
      </c>
      <c r="AY40" s="13">
        <v>0</v>
      </c>
      <c r="AZ40" s="13">
        <v>0</v>
      </c>
      <c r="BA40" s="13">
        <v>12.486275525591999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4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80</v>
      </c>
      <c r="H41" s="24" t="s">
        <v>74</v>
      </c>
      <c r="I41" s="24">
        <f>'MERCADO TUSD'!$U$38</f>
        <v>0</v>
      </c>
      <c r="J41" s="15"/>
      <c r="L41" s="13">
        <f>('TUSD BE'!$L$41+'TUSD BF'!$L$41+'TUSD CVA'!$L$41)*(1 - CUSTOS!$M$39)</f>
        <v>30.007191608577795</v>
      </c>
      <c r="M41" s="13">
        <f>('TUSD BE'!$M$41+'TUSD BF'!$M$41+'TUSD CVA'!$M$41)*(1 - CUSTOS!$M$39)</f>
        <v>0.68359586123932081</v>
      </c>
      <c r="N41" s="13">
        <f ca="1">('TUSD BE'!$N$41+'TUSD BF'!$N$41+'TUSD CVA'!$N$41)*(1 - CUSTOS!$M$39)</f>
        <v>0</v>
      </c>
      <c r="O41" s="13">
        <f>('TUSD BE'!$O$41+'TUSD BF'!$O$41+'TUSD CVA'!$O$41)*(1 - CUSTOS!$M$39)</f>
        <v>0</v>
      </c>
      <c r="P41" s="13">
        <f>('TUSD BE'!$P$41+'TUSD BF'!$P$41+'TUSD CVA'!$P$41)*(1 - CUSTOS!$M$39)</f>
        <v>0</v>
      </c>
      <c r="Q41" s="13">
        <f>('TUSD BE'!$Q$41+'TUSD BF'!$Q$41+'TUSD CVA'!$Q$41)*(1 - CUSTOS!$M$39)</f>
        <v>84.562385305852217</v>
      </c>
      <c r="R41" s="13">
        <f>('TUSD BE'!$R$41+'TUSD BF'!$R$41+'TUSD CVA'!$R$41)*(1 - CUSTOS!$M$39)</f>
        <v>13.363959473487334</v>
      </c>
      <c r="S41" s="13">
        <f>('TUSD BE'!$S$41+'TUSD BF'!$S$41+'TUSD CVA'!$S$41)*(1 - CUSTOS!$M$39)</f>
        <v>0</v>
      </c>
      <c r="T41" s="13">
        <f>('TUSD BE'!$U$41+'TUSD BF'!$U$41+'TUSD CVA'!$U$41)*(1 - CUSTOS!$M$39)</f>
        <v>26.757573117237211</v>
      </c>
      <c r="U41" s="13">
        <f>('TUSD BE'!$V$41+'TUSD BF'!$V$41+'TUSD CVA'!$V$41)*(1 - CUSTOS!$M$39)</f>
        <v>3.7651744525818049</v>
      </c>
      <c r="V41" s="13">
        <f>('TUSD BE'!$W$41+'TUSD BF'!$W$41+'TUSD CVA'!$W$41)*(1 - CUSTOS!$M$39)</f>
        <v>0</v>
      </c>
      <c r="W41" s="13">
        <f>('TUSD BE'!$X$41+'TUSD BF'!$X$41+'TUSD CVA'!$X$41)*(1 - CUSTOS!$M$39)</f>
        <v>0</v>
      </c>
      <c r="X41" s="13">
        <f>('TUSD BE'!$Y$41+'TUSD BF'!$Y$41+'TUSD CVA'!$Y$41)*(1 - CUSTOS!$M$39)</f>
        <v>0</v>
      </c>
      <c r="Y41" s="13">
        <f>('TUSD BE'!$Z$41+'TUSD BF'!$Z$41+'TUSD CVA'!$Z$41)*(1 - CUSTOS!$M$39)</f>
        <v>0</v>
      </c>
      <c r="Z41" s="13">
        <f>('TUSD BE'!$AA$41+'TUSD BF'!$AA$41+'TUSD CVA'!$AA$41)*(1 - CUSTOS!$M$39)</f>
        <v>0</v>
      </c>
      <c r="AA41" s="13">
        <f>('TUSD BE'!$AC$41+'TUSD BF'!$AC$41+'TUSD CVA'!$AC$41)*(1 - CUSTOS!$M$39)</f>
        <v>152.80633774447142</v>
      </c>
      <c r="AB41" s="13">
        <f ca="1">('TUSD BE'!$AE$41+'TUSD BF'!$AE$41+'TUSD CVA'!$AE$41)*(1 - CUSTOS!$M$39)</f>
        <v>0</v>
      </c>
      <c r="AC41" s="13">
        <f ca="1">('TUSD BE'!$AF$41+'TUSD BF'!$AF$41+'TUSD CVA'!$AF$41)*(1 - CUSTOS!$M$39)</f>
        <v>0</v>
      </c>
      <c r="AD41" s="13">
        <f>('TUSD BE'!$AH$41+'TUSD BF'!$AH$41+'TUSD CVA'!$AH$41)*(1 - CUSTOS!$M$39)</f>
        <v>11.239594371365698</v>
      </c>
      <c r="AE41" s="13">
        <f>('TUSD BE'!$AI$41+'TUSD BF'!$AI$41+'TUSD CVA'!$AI$41)*(1 - CUSTOS!$M$39)</f>
        <v>0</v>
      </c>
      <c r="AF41" s="13">
        <f ca="1">('TUSD BE'!$AJ$41+'TUSD BF'!$AJ$41+'TUSD CVA'!$AJ$41)*(1 - CUSTOS!$M$39)</f>
        <v>0</v>
      </c>
      <c r="AG41" s="13">
        <f ca="1">('TUSD BE'!$AK$41+'TUSD BF'!$AK$41+'TUSD CVA'!$AK$41)*(1 - CUSTOS!$M$39)</f>
        <v>0</v>
      </c>
      <c r="AI41" s="13">
        <v>28.158693066008901</v>
      </c>
      <c r="AJ41" s="13">
        <v>0.66842911452298404</v>
      </c>
      <c r="AK41" s="13">
        <v>0</v>
      </c>
      <c r="AL41" s="13">
        <v>0</v>
      </c>
      <c r="AM41" s="13">
        <v>0</v>
      </c>
      <c r="AN41" s="13">
        <v>48.774485624490403</v>
      </c>
      <c r="AO41" s="13">
        <v>7.6551136477998201</v>
      </c>
      <c r="AP41" s="13">
        <v>0</v>
      </c>
      <c r="AQ41" s="13">
        <v>17.5086298535998</v>
      </c>
      <c r="AR41" s="13">
        <v>3.2821844674702501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118.23485860464601</v>
      </c>
      <c r="AY41" s="13">
        <v>0</v>
      </c>
      <c r="AZ41" s="13">
        <v>0</v>
      </c>
      <c r="BA41" s="13">
        <v>12.486275525591999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4"/>
      <c r="B42" s="94" t="s">
        <v>55</v>
      </c>
      <c r="C42" s="94" t="s">
        <v>43</v>
      </c>
      <c r="D42" s="94" t="s">
        <v>91</v>
      </c>
      <c r="E42" s="94" t="s">
        <v>25</v>
      </c>
      <c r="F42" s="94" t="s">
        <v>25</v>
      </c>
      <c r="G42" s="24" t="s">
        <v>75</v>
      </c>
      <c r="H42" s="24" t="s">
        <v>74</v>
      </c>
      <c r="I42" s="24">
        <f>'MERCADO TUSD'!$U$39</f>
        <v>0</v>
      </c>
      <c r="J42" s="15"/>
      <c r="L42" s="13">
        <f>('TUSD BE'!$L$42+'TUSD BF'!$L$42+'TUSD CVA'!$L$42)*(1 - CUSTOS!$M$40)</f>
        <v>29.368740723288909</v>
      </c>
      <c r="M42" s="13">
        <f>('TUSD BE'!$M$42+'TUSD BF'!$M$42+'TUSD CVA'!$M$42)*(1 - CUSTOS!$M$40)</f>
        <v>0.66905126844699492</v>
      </c>
      <c r="N42" s="13">
        <f ca="1">('TUSD BE'!$N$42+'TUSD BF'!$N$42+'TUSD CVA'!$N$42)*(1 - CUSTOS!$M$40)</f>
        <v>0</v>
      </c>
      <c r="O42" s="13">
        <f>('TUSD BE'!$O$42+'TUSD BF'!$O$42+'TUSD CVA'!$O$42)*(1 - CUSTOS!$M$40)</f>
        <v>0</v>
      </c>
      <c r="P42" s="13">
        <f>('TUSD BE'!$P$42+'TUSD BF'!$P$42+'TUSD CVA'!$P$42)*(1 - CUSTOS!$M$40)</f>
        <v>0</v>
      </c>
      <c r="Q42" s="13">
        <f>('TUSD BE'!$Q$42+'TUSD BF'!$Q$42+'TUSD CVA'!$Q$42)*(1 - CUSTOS!$M$40)</f>
        <v>82.763185618493679</v>
      </c>
      <c r="R42" s="13">
        <f>('TUSD BE'!$R$42+'TUSD BF'!$R$42+'TUSD CVA'!$R$42)*(1 - CUSTOS!$M$40)</f>
        <v>13.079619910221647</v>
      </c>
      <c r="S42" s="13">
        <f>('TUSD BE'!$S$42+'TUSD BF'!$S$42+'TUSD CVA'!$S$42)*(1 - CUSTOS!$M$40)</f>
        <v>0</v>
      </c>
      <c r="T42" s="13">
        <f>('TUSD BE'!$U$42+'TUSD BF'!$U$42+'TUSD CVA'!$U$42)*(1 - CUSTOS!$M$40)</f>
        <v>77.255277137120629</v>
      </c>
      <c r="U42" s="13">
        <f>('TUSD BE'!$V$42+'TUSD BF'!$V$42+'TUSD CVA'!$V$42)*(1 - CUSTOS!$M$40)</f>
        <v>10.871469928194363</v>
      </c>
      <c r="V42" s="13">
        <f>('TUSD BE'!$W$42+'TUSD BF'!$W$42+'TUSD CVA'!$W$42)*(1 - CUSTOS!$M$40)</f>
        <v>0</v>
      </c>
      <c r="W42" s="13">
        <f>('TUSD BE'!$X$42+'TUSD BF'!$X$42+'TUSD CVA'!$X$42)*(1 - CUSTOS!$M$40)</f>
        <v>0</v>
      </c>
      <c r="X42" s="13">
        <f>('TUSD BE'!$Y$42+'TUSD BF'!$Y$42+'TUSD CVA'!$Y$42)*(1 - CUSTOS!$M$40)</f>
        <v>0</v>
      </c>
      <c r="Y42" s="13">
        <f>('TUSD BE'!$Z$42+'TUSD BF'!$Z$42+'TUSD CVA'!$Z$42)*(1 - CUSTOS!$M$40)</f>
        <v>0</v>
      </c>
      <c r="Z42" s="13">
        <f>('TUSD BE'!$AA$42+'TUSD BF'!$AA$42+'TUSD CVA'!$AA$42)*(1 - CUSTOS!$M$40)</f>
        <v>0</v>
      </c>
      <c r="AA42" s="13">
        <f>('TUSD BE'!$AC$42+'TUSD BF'!$AC$42+'TUSD CVA'!$AC$42)*(1 - CUSTOS!$M$40)</f>
        <v>441.18766794307902</v>
      </c>
      <c r="AB42" s="13">
        <f ca="1">('TUSD BE'!$AE$42+'TUSD BF'!$AE$42+'TUSD CVA'!$AE$42)*(1 - CUSTOS!$M$40)</f>
        <v>0</v>
      </c>
      <c r="AC42" s="13">
        <f ca="1">('TUSD BE'!$AF$42+'TUSD BF'!$AF$42+'TUSD CVA'!$AF$42)*(1 - CUSTOS!$M$40)</f>
        <v>0</v>
      </c>
      <c r="AD42" s="13">
        <f>('TUSD BE'!$AH$42+'TUSD BF'!$AH$42+'TUSD CVA'!$AH$42)*(1 - CUSTOS!$M$40)</f>
        <v>11.00045406559196</v>
      </c>
      <c r="AE42" s="13">
        <f>('TUSD BE'!$AI$42+'TUSD BF'!$AI$42+'TUSD CVA'!$AI$42)*(1 - CUSTOS!$M$40)</f>
        <v>0</v>
      </c>
      <c r="AF42" s="13">
        <f ca="1">('TUSD BE'!$AJ$42+'TUSD BF'!$AJ$42+'TUSD CVA'!$AJ$42)*(1 - CUSTOS!$M$40)</f>
        <v>0</v>
      </c>
      <c r="AG42" s="13">
        <f ca="1">('TUSD BE'!$AK$42+'TUSD BF'!$AK$42+'TUSD CVA'!$AK$42)*(1 - CUSTOS!$M$40)</f>
        <v>0</v>
      </c>
      <c r="AI42" s="13">
        <v>26.8787524720994</v>
      </c>
      <c r="AJ42" s="13">
        <v>0.63804597295375798</v>
      </c>
      <c r="AK42" s="13">
        <v>0</v>
      </c>
      <c r="AL42" s="13">
        <v>0</v>
      </c>
      <c r="AM42" s="13">
        <v>0</v>
      </c>
      <c r="AN42" s="13">
        <v>46.557463550649999</v>
      </c>
      <c r="AO42" s="13">
        <v>7.3071539365361904</v>
      </c>
      <c r="AP42" s="13">
        <v>0</v>
      </c>
      <c r="AQ42" s="13">
        <v>49.302584561477303</v>
      </c>
      <c r="AR42" s="13">
        <v>9.2427009847778496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332.93863024069401</v>
      </c>
      <c r="AY42" s="13">
        <v>0</v>
      </c>
      <c r="AZ42" s="13">
        <v>0</v>
      </c>
      <c r="BA42" s="13">
        <v>11.918717547156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4"/>
      <c r="B43" s="94"/>
      <c r="C43" s="94"/>
      <c r="D43" s="94"/>
      <c r="E43" s="94"/>
      <c r="F43" s="94"/>
      <c r="G43" s="24" t="s">
        <v>86</v>
      </c>
      <c r="H43" s="24" t="s">
        <v>74</v>
      </c>
      <c r="I43" s="24">
        <f>'MERCADO TUSD'!$U$40</f>
        <v>0</v>
      </c>
      <c r="J43" s="15"/>
      <c r="L43" s="13">
        <f>('TUSD BE'!$L$43+'TUSD BF'!$L$43+'TUSD CVA'!$L$43)*(1 - CUSTOS!$M$40)</f>
        <v>29.368740723288909</v>
      </c>
      <c r="M43" s="13">
        <f>('TUSD BE'!$M$43+'TUSD BF'!$M$43+'TUSD CVA'!$M$43)*(1 - CUSTOS!$M$40)</f>
        <v>0.66905126844699492</v>
      </c>
      <c r="N43" s="13">
        <f ca="1">('TUSD BE'!$N$43+'TUSD BF'!$N$43+'TUSD CVA'!$N$43)*(1 - CUSTOS!$M$40)</f>
        <v>0</v>
      </c>
      <c r="O43" s="13">
        <f>('TUSD BE'!$O$43+'TUSD BF'!$O$43+'TUSD CVA'!$O$43)*(1 - CUSTOS!$M$40)</f>
        <v>0</v>
      </c>
      <c r="P43" s="13">
        <f>('TUSD BE'!$P$43+'TUSD BF'!$P$43+'TUSD CVA'!$P$43)*(1 - CUSTOS!$M$40)</f>
        <v>0</v>
      </c>
      <c r="Q43" s="13">
        <f>('TUSD BE'!$Q$43+'TUSD BF'!$Q$43+'TUSD CVA'!$Q$43)*(1 - CUSTOS!$M$40)</f>
        <v>82.763185618493679</v>
      </c>
      <c r="R43" s="13">
        <f>('TUSD BE'!$R$43+'TUSD BF'!$R$43+'TUSD CVA'!$R$43)*(1 - CUSTOS!$M$40)</f>
        <v>13.079619910221647</v>
      </c>
      <c r="S43" s="13">
        <f>('TUSD BE'!$S$43+'TUSD BF'!$S$43+'TUSD CVA'!$S$43)*(1 - CUSTOS!$M$40)</f>
        <v>0</v>
      </c>
      <c r="T43" s="13">
        <f>('TUSD BE'!$U$43+'TUSD BF'!$U$43+'TUSD CVA'!$U$43)*(1 - CUSTOS!$M$40)</f>
        <v>46.353081542495694</v>
      </c>
      <c r="U43" s="13">
        <f>('TUSD BE'!$V$43+'TUSD BF'!$V$43+'TUSD CVA'!$V$43)*(1 - CUSTOS!$M$40)</f>
        <v>6.5228607540146744</v>
      </c>
      <c r="V43" s="13">
        <f>('TUSD BE'!$W$43+'TUSD BF'!$W$43+'TUSD CVA'!$W$43)*(1 - CUSTOS!$M$40)</f>
        <v>0</v>
      </c>
      <c r="W43" s="13">
        <f>('TUSD BE'!$X$43+'TUSD BF'!$X$43+'TUSD CVA'!$X$43)*(1 - CUSTOS!$M$40)</f>
        <v>0</v>
      </c>
      <c r="X43" s="13">
        <f>('TUSD BE'!$Y$43+'TUSD BF'!$Y$43+'TUSD CVA'!$Y$43)*(1 - CUSTOS!$M$40)</f>
        <v>0</v>
      </c>
      <c r="Y43" s="13">
        <f>('TUSD BE'!$Z$43+'TUSD BF'!$Z$43+'TUSD CVA'!$Z$43)*(1 - CUSTOS!$M$40)</f>
        <v>0</v>
      </c>
      <c r="Z43" s="13">
        <f>('TUSD BE'!$AA$43+'TUSD BF'!$AA$43+'TUSD CVA'!$AA$43)*(1 - CUSTOS!$M$40)</f>
        <v>0</v>
      </c>
      <c r="AA43" s="13">
        <f>('TUSD BE'!$AC$43+'TUSD BF'!$AC$43+'TUSD CVA'!$AC$43)*(1 - CUSTOS!$M$40)</f>
        <v>264.71253925096369</v>
      </c>
      <c r="AB43" s="13">
        <f ca="1">('TUSD BE'!$AE$43+'TUSD BF'!$AE$43+'TUSD CVA'!$AE$43)*(1 - CUSTOS!$M$40)</f>
        <v>0</v>
      </c>
      <c r="AC43" s="13">
        <f ca="1">('TUSD BE'!$AF$43+'TUSD BF'!$AF$43+'TUSD CVA'!$AF$43)*(1 - CUSTOS!$M$40)</f>
        <v>0</v>
      </c>
      <c r="AD43" s="13">
        <f>('TUSD BE'!$AH$43+'TUSD BF'!$AH$43+'TUSD CVA'!$AH$43)*(1 - CUSTOS!$M$40)</f>
        <v>11.00045406559196</v>
      </c>
      <c r="AE43" s="13">
        <f>('TUSD BE'!$AI$43+'TUSD BF'!$AI$43+'TUSD CVA'!$AI$43)*(1 - CUSTOS!$M$40)</f>
        <v>0</v>
      </c>
      <c r="AF43" s="13">
        <f ca="1">('TUSD BE'!$AJ$43+'TUSD BF'!$AJ$43+'TUSD CVA'!$AJ$43)*(1 - CUSTOS!$M$40)</f>
        <v>0</v>
      </c>
      <c r="AG43" s="13">
        <f ca="1">('TUSD BE'!$AK$43+'TUSD BF'!$AK$43+'TUSD CVA'!$AK$43)*(1 - CUSTOS!$M$40)</f>
        <v>0</v>
      </c>
      <c r="AI43" s="13">
        <v>26.8787524720994</v>
      </c>
      <c r="AJ43" s="13">
        <v>0.63804597295375798</v>
      </c>
      <c r="AK43" s="13">
        <v>0</v>
      </c>
      <c r="AL43" s="13">
        <v>0</v>
      </c>
      <c r="AM43" s="13">
        <v>0</v>
      </c>
      <c r="AN43" s="13">
        <v>46.557463550649999</v>
      </c>
      <c r="AO43" s="13">
        <v>7.3071539365361904</v>
      </c>
      <c r="AP43" s="13">
        <v>0</v>
      </c>
      <c r="AQ43" s="13">
        <v>29.581447455891499</v>
      </c>
      <c r="AR43" s="13">
        <v>5.5456205908667098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199.763129477218</v>
      </c>
      <c r="AY43" s="13">
        <v>0</v>
      </c>
      <c r="AZ43" s="13">
        <v>0</v>
      </c>
      <c r="BA43" s="13">
        <v>11.918717547156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4"/>
      <c r="B44" s="94"/>
      <c r="C44" s="94"/>
      <c r="D44" s="94"/>
      <c r="E44" s="94"/>
      <c r="F44" s="94"/>
      <c r="G44" s="24" t="s">
        <v>76</v>
      </c>
      <c r="H44" s="24" t="s">
        <v>74</v>
      </c>
      <c r="I44" s="24">
        <f>'MERCADO TUSD'!$U$41</f>
        <v>0</v>
      </c>
      <c r="J44" s="15"/>
      <c r="L44" s="13">
        <f>('TUSD BE'!$L$44+'TUSD BF'!$L$44+'TUSD CVA'!$L$44)*(1 - CUSTOS!$M$40)</f>
        <v>29.368740723288909</v>
      </c>
      <c r="M44" s="13">
        <f>('TUSD BE'!$M$44+'TUSD BF'!$M$44+'TUSD CVA'!$M$44)*(1 - CUSTOS!$M$40)</f>
        <v>0.66905126844699492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82.763185618493679</v>
      </c>
      <c r="R44" s="13">
        <f>('TUSD BE'!$R$44+'TUSD BF'!$R$44+'TUSD CVA'!$R$44)*(1 - CUSTOS!$M$40)</f>
        <v>13.079619910221647</v>
      </c>
      <c r="S44" s="13">
        <f>('TUSD BE'!$S$44+'TUSD BF'!$S$44+'TUSD CVA'!$S$44)*(1 - CUSTOS!$M$40)</f>
        <v>0</v>
      </c>
      <c r="T44" s="13">
        <f>('TUSD BE'!$U$44+'TUSD BF'!$U$44+'TUSD CVA'!$U$44)*(1 - CUSTOS!$M$40)</f>
        <v>15.451027180831899</v>
      </c>
      <c r="U44" s="13">
        <f>('TUSD BE'!$V$44+'TUSD BF'!$V$44+'TUSD CVA'!$V$44)*(1 - CUSTOS!$M$40)</f>
        <v>2.1742515798349848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0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88.237564346057667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11.00045406559196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26.8787524720994</v>
      </c>
      <c r="AJ44" s="13">
        <v>0.63804597295375798</v>
      </c>
      <c r="AK44" s="13">
        <v>0</v>
      </c>
      <c r="AL44" s="13">
        <v>0</v>
      </c>
      <c r="AM44" s="13">
        <v>0</v>
      </c>
      <c r="AN44" s="13">
        <v>46.557463550649999</v>
      </c>
      <c r="AO44" s="13">
        <v>7.3071539365361904</v>
      </c>
      <c r="AP44" s="13">
        <v>0</v>
      </c>
      <c r="AQ44" s="13">
        <v>9.8605316667232898</v>
      </c>
      <c r="AR44" s="13">
        <v>1.8485401969555699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66.587726048138805</v>
      </c>
      <c r="AY44" s="13">
        <v>0</v>
      </c>
      <c r="AZ44" s="13">
        <v>0</v>
      </c>
      <c r="BA44" s="13">
        <v>11.918717547156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4"/>
      <c r="B45" s="23" t="s">
        <v>23</v>
      </c>
      <c r="C45" s="23" t="s">
        <v>43</v>
      </c>
      <c r="D45" s="23" t="s">
        <v>91</v>
      </c>
      <c r="E45" s="23" t="s">
        <v>25</v>
      </c>
      <c r="F45" s="23" t="s">
        <v>25</v>
      </c>
      <c r="G45" s="24" t="s">
        <v>80</v>
      </c>
      <c r="H45" s="24" t="s">
        <v>74</v>
      </c>
      <c r="I45" s="24">
        <f>'MERCADO TUSD'!$U$42</f>
        <v>0</v>
      </c>
      <c r="J45" s="15"/>
      <c r="L45" s="13">
        <f>('TUSD BE'!$L$45+'TUSD BF'!$L$45+'TUSD CVA'!$L$45)*(1 - CUSTOS!$M$40)</f>
        <v>29.368740723288909</v>
      </c>
      <c r="M45" s="13">
        <f>('TUSD BE'!$M$45+'TUSD BF'!$M$45+'TUSD CVA'!$M$45)*(1 - CUSTOS!$M$40)</f>
        <v>0.66905126844699492</v>
      </c>
      <c r="N45" s="13">
        <f ca="1">('TUSD BE'!$N$45+'TUSD BF'!$N$45+'TUSD CVA'!$N$45)*(1 - CUSTOS!$M$40)</f>
        <v>0</v>
      </c>
      <c r="O45" s="13">
        <f>('TUSD BE'!$O$45+'TUSD BF'!$O$45+'TUSD CVA'!$O$45)*(1 - CUSTOS!$M$40)</f>
        <v>0</v>
      </c>
      <c r="P45" s="13">
        <f>('TUSD BE'!$P$45+'TUSD BF'!$P$45+'TUSD CVA'!$P$45)*(1 - CUSTOS!$M$40)</f>
        <v>0</v>
      </c>
      <c r="Q45" s="13">
        <f>('TUSD BE'!$Q$45+'TUSD BF'!$Q$45+'TUSD CVA'!$Q$45)*(1 - CUSTOS!$M$40)</f>
        <v>82.763185618493679</v>
      </c>
      <c r="R45" s="13">
        <f>('TUSD BE'!$R$45+'TUSD BF'!$R$45+'TUSD CVA'!$R$45)*(1 - CUSTOS!$M$40)</f>
        <v>13.079619910221647</v>
      </c>
      <c r="S45" s="13">
        <f>('TUSD BE'!$S$45+'TUSD BF'!$S$45+'TUSD CVA'!$S$45)*(1 - CUSTOS!$M$40)</f>
        <v>0</v>
      </c>
      <c r="T45" s="13">
        <f>('TUSD BE'!$U$45+'TUSD BF'!$U$45+'TUSD CVA'!$U$45)*(1 - CUSTOS!$M$40)</f>
        <v>26.188263050913019</v>
      </c>
      <c r="U45" s="13">
        <f>('TUSD BE'!$V$45+'TUSD BF'!$V$45+'TUSD CVA'!$V$45)*(1 - CUSTOS!$M$40)</f>
        <v>3.6850643578460223</v>
      </c>
      <c r="V45" s="13">
        <f>('TUSD BE'!$W$45+'TUSD BF'!$W$45+'TUSD CVA'!$W$45)*(1 - CUSTOS!$M$40)</f>
        <v>0</v>
      </c>
      <c r="W45" s="13">
        <f>('TUSD BE'!$X$45+'TUSD BF'!$X$45+'TUSD CVA'!$X$45)*(1 - CUSTOS!$M$40)</f>
        <v>0</v>
      </c>
      <c r="X45" s="13">
        <f>('TUSD BE'!$Y$45+'TUSD BF'!$Y$45+'TUSD CVA'!$Y$45)*(1 - CUSTOS!$M$40)</f>
        <v>0</v>
      </c>
      <c r="Y45" s="13">
        <f>('TUSD BE'!$Z$45+'TUSD BF'!$Z$45+'TUSD CVA'!$Z$45)*(1 - CUSTOS!$M$40)</f>
        <v>0</v>
      </c>
      <c r="Z45" s="13">
        <f>('TUSD BE'!$AA$45+'TUSD BF'!$AA$45+'TUSD CVA'!$AA$45)*(1 - CUSTOS!$M$40)</f>
        <v>0</v>
      </c>
      <c r="AA45" s="13">
        <f>('TUSD BE'!$AC$45+'TUSD BF'!$AC$45+'TUSD CVA'!$AC$45)*(1 - CUSTOS!$M$40)</f>
        <v>149.55513906905713</v>
      </c>
      <c r="AB45" s="13">
        <f ca="1">('TUSD BE'!$AE$45+'TUSD BF'!$AE$45+'TUSD CVA'!$AE$45)*(1 - CUSTOS!$M$40)</f>
        <v>0</v>
      </c>
      <c r="AC45" s="13">
        <f ca="1">('TUSD BE'!$AF$45+'TUSD BF'!$AF$45+'TUSD CVA'!$AF$45)*(1 - CUSTOS!$M$40)</f>
        <v>0</v>
      </c>
      <c r="AD45" s="13">
        <f>('TUSD BE'!$AH$45+'TUSD BF'!$AH$45+'TUSD CVA'!$AH$45)*(1 - CUSTOS!$M$40)</f>
        <v>11.00045406559196</v>
      </c>
      <c r="AE45" s="13">
        <f>('TUSD BE'!$AI$45+'TUSD BF'!$AI$45+'TUSD CVA'!$AI$45)*(1 - CUSTOS!$M$40)</f>
        <v>0</v>
      </c>
      <c r="AF45" s="13">
        <f ca="1">('TUSD BE'!$AJ$45+'TUSD BF'!$AJ$45+'TUSD CVA'!$AJ$45)*(1 - CUSTOS!$M$40)</f>
        <v>0</v>
      </c>
      <c r="AG45" s="13">
        <f ca="1">('TUSD BE'!$AK$45+'TUSD BF'!$AK$45+'TUSD CVA'!$AK$45)*(1 - CUSTOS!$M$40)</f>
        <v>0</v>
      </c>
      <c r="AI45" s="13">
        <v>26.8787524720994</v>
      </c>
      <c r="AJ45" s="13">
        <v>0.63804597295375798</v>
      </c>
      <c r="AK45" s="13">
        <v>0</v>
      </c>
      <c r="AL45" s="13">
        <v>0</v>
      </c>
      <c r="AM45" s="13">
        <v>0</v>
      </c>
      <c r="AN45" s="13">
        <v>46.557463550649999</v>
      </c>
      <c r="AO45" s="13">
        <v>7.3071539365361904</v>
      </c>
      <c r="AP45" s="13">
        <v>0</v>
      </c>
      <c r="AQ45" s="13">
        <v>16.712783042072498</v>
      </c>
      <c r="AR45" s="13">
        <v>3.1329942644034201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112.86054684989</v>
      </c>
      <c r="AY45" s="13">
        <v>0</v>
      </c>
      <c r="AZ45" s="13">
        <v>0</v>
      </c>
      <c r="BA45" s="13">
        <v>11.918717547156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4"/>
      <c r="B46" s="94" t="s">
        <v>89</v>
      </c>
      <c r="C46" s="94" t="s">
        <v>43</v>
      </c>
      <c r="D46" s="23" t="s">
        <v>25</v>
      </c>
      <c r="E46" s="23" t="s">
        <v>25</v>
      </c>
      <c r="F46" s="23" t="s">
        <v>25</v>
      </c>
      <c r="G46" s="24" t="s">
        <v>80</v>
      </c>
      <c r="H46" s="24" t="s">
        <v>74</v>
      </c>
      <c r="I46" s="24">
        <f>'MERCADO TUSD'!$U$43</f>
        <v>0</v>
      </c>
      <c r="J46" s="15"/>
      <c r="L46" s="13">
        <f>('TUSD BE'!$L$46+'TUSD BF'!$L$46+'TUSD CVA'!$L$46)*(1 - CUSTOS!$M$38)</f>
        <v>30.007191608577795</v>
      </c>
      <c r="M46" s="13">
        <f>('TUSD BE'!$M$46+'TUSD BF'!$M$46+'TUSD CVA'!$M$46)*(1 - CUSTOS!$M$38)</f>
        <v>0.68359586123932081</v>
      </c>
      <c r="N46" s="13">
        <f ca="1">('TUSD BE'!$N$46+'TUSD BF'!$N$46+'TUSD CVA'!$N$46)*(1 - CUSTOS!$M$38)</f>
        <v>0</v>
      </c>
      <c r="O46" s="13">
        <f>('TUSD BE'!$O$46+'TUSD BF'!$O$46+'TUSD CVA'!$O$46)*(1 - CUSTOS!$M$38)</f>
        <v>0</v>
      </c>
      <c r="P46" s="13">
        <f>('TUSD BE'!$P$46+'TUSD BF'!$P$46+'TUSD CVA'!$P$46)*(1 - CUSTOS!$M$38)</f>
        <v>0</v>
      </c>
      <c r="Q46" s="13">
        <f>('TUSD BE'!$Q$46+'TUSD BF'!$Q$46+'TUSD CVA'!$Q$46)*(1 - CUSTOS!$M$38)</f>
        <v>84.562385305852217</v>
      </c>
      <c r="R46" s="13">
        <f>('TUSD BE'!$R$46+'TUSD BF'!$R$46+'TUSD CVA'!$R$46)*(1 - CUSTOS!$M$38)</f>
        <v>13.363959473487334</v>
      </c>
      <c r="S46" s="13">
        <f>('TUSD BE'!$S$46+'TUSD BF'!$S$46+'TUSD CVA'!$S$46)*(1 - CUSTOS!$M$38)</f>
        <v>0</v>
      </c>
      <c r="T46" s="13">
        <f>('TUSD BE'!$U$46+'TUSD BF'!$U$46+'TUSD CVA'!$U$46)*(1 - CUSTOS!$M$38)</f>
        <v>26.757573117237211</v>
      </c>
      <c r="U46" s="13">
        <f>('TUSD BE'!$V$46+'TUSD BF'!$V$46+'TUSD CVA'!$V$46)*(1 - CUSTOS!$M$38)</f>
        <v>3.7651744525818049</v>
      </c>
      <c r="V46" s="13">
        <f>('TUSD BE'!$W$46+'TUSD BF'!$W$46+'TUSD CVA'!$W$46)*(1 - CUSTOS!$M$38)</f>
        <v>0</v>
      </c>
      <c r="W46" s="13">
        <f>('TUSD BE'!$X$46+'TUSD BF'!$X$46+'TUSD CVA'!$X$46)*(1 - CUSTOS!$M$38)</f>
        <v>0</v>
      </c>
      <c r="X46" s="13">
        <f>('TUSD BE'!$Y$46+'TUSD BF'!$Y$46+'TUSD CVA'!$Y$46)*(1 - CUSTOS!$M$38)</f>
        <v>0</v>
      </c>
      <c r="Y46" s="13">
        <f>('TUSD BE'!$Z$46+'TUSD BF'!$Z$46+'TUSD CVA'!$Z$46)*(1 - CUSTOS!$M$38)</f>
        <v>0</v>
      </c>
      <c r="Z46" s="13">
        <f>('TUSD BE'!$AA$46+'TUSD BF'!$AA$46+'TUSD CVA'!$AA$46)*(1 - CUSTOS!$M$38)</f>
        <v>0</v>
      </c>
      <c r="AA46" s="13">
        <f>('TUSD BE'!$AC$46+'TUSD BF'!$AC$46+'TUSD CVA'!$AC$46)*(1 - CUSTOS!$M$38)</f>
        <v>152.80633774447142</v>
      </c>
      <c r="AB46" s="13">
        <f ca="1">('TUSD BE'!$AE$46+'TUSD BF'!$AE$46+'TUSD CVA'!$AE$46)*(1 - CUSTOS!$M$38)</f>
        <v>0</v>
      </c>
      <c r="AC46" s="13">
        <f ca="1">('TUSD BE'!$AF$46+'TUSD BF'!$AF$46+'TUSD CVA'!$AF$46)*(1 - CUSTOS!$M$38)</f>
        <v>0</v>
      </c>
      <c r="AD46" s="13">
        <f>('TUSD BE'!$AH$46+'TUSD BF'!$AH$46+'TUSD CVA'!$AH$46)*(1 - CUSTOS!$M$38)</f>
        <v>11.239594371365698</v>
      </c>
      <c r="AE46" s="13">
        <f>('TUSD BE'!$AI$46+'TUSD BF'!$AI$46+'TUSD CVA'!$AI$46)*(1 - CUSTOS!$M$38)</f>
        <v>0</v>
      </c>
      <c r="AF46" s="13">
        <f ca="1">('TUSD BE'!$AJ$46+'TUSD BF'!$AJ$46+'TUSD CVA'!$AJ$46)*(1 - CUSTOS!$M$38)</f>
        <v>0</v>
      </c>
      <c r="AG46" s="13">
        <f ca="1">('TUSD BE'!$AK$46+'TUSD BF'!$AK$46+'TUSD CVA'!$AK$46)*(1 - CUSTOS!$M$38)</f>
        <v>0</v>
      </c>
      <c r="AI46" s="13">
        <v>28.158693066008901</v>
      </c>
      <c r="AJ46" s="13">
        <v>0.66842911452298404</v>
      </c>
      <c r="AK46" s="13">
        <v>0</v>
      </c>
      <c r="AL46" s="13">
        <v>0</v>
      </c>
      <c r="AM46" s="13">
        <v>0</v>
      </c>
      <c r="AN46" s="13">
        <v>48.774485624490403</v>
      </c>
      <c r="AO46" s="13">
        <v>7.6551136477998201</v>
      </c>
      <c r="AP46" s="13">
        <v>0</v>
      </c>
      <c r="AQ46" s="13">
        <v>17.5086298535998</v>
      </c>
      <c r="AR46" s="13">
        <v>3.2821844674702501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118.23485860464601</v>
      </c>
      <c r="AY46" s="13">
        <v>0</v>
      </c>
      <c r="AZ46" s="13">
        <v>0</v>
      </c>
      <c r="BA46" s="13">
        <v>12.486275525591999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4"/>
      <c r="B47" s="94"/>
      <c r="C47" s="94"/>
      <c r="D47" s="23" t="s">
        <v>90</v>
      </c>
      <c r="E47" s="23" t="s">
        <v>25</v>
      </c>
      <c r="F47" s="23" t="s">
        <v>25</v>
      </c>
      <c r="G47" s="24" t="s">
        <v>80</v>
      </c>
      <c r="H47" s="24" t="s">
        <v>74</v>
      </c>
      <c r="I47" s="24">
        <f>'MERCADO TUSD'!$U$44</f>
        <v>0</v>
      </c>
      <c r="J47" s="15"/>
      <c r="L47" s="13">
        <f>('TUSD BE'!$L$47+'TUSD BF'!$L$47+'TUSD CVA'!$L$47)*(1 - CUSTOS!$M$39)</f>
        <v>30.007191608577795</v>
      </c>
      <c r="M47" s="13">
        <f>('TUSD BE'!$M$47+'TUSD BF'!$M$47+'TUSD CVA'!$M$47)*(1 - CUSTOS!$M$39)</f>
        <v>0.68359586123932081</v>
      </c>
      <c r="N47" s="13">
        <f ca="1">('TUSD BE'!$N$47+'TUSD BF'!$N$47+'TUSD CVA'!$N$47)*(1 - CUSTOS!$M$39)</f>
        <v>0</v>
      </c>
      <c r="O47" s="13">
        <f>('TUSD BE'!$O$47+'TUSD BF'!$O$47+'TUSD CVA'!$O$47)*(1 - CUSTOS!$M$39)</f>
        <v>0</v>
      </c>
      <c r="P47" s="13">
        <f>('TUSD BE'!$P$47+'TUSD BF'!$P$47+'TUSD CVA'!$P$47)*(1 - CUSTOS!$M$39)</f>
        <v>0</v>
      </c>
      <c r="Q47" s="13">
        <f>('TUSD BE'!$Q$47+'TUSD BF'!$Q$47+'TUSD CVA'!$Q$47)*(1 - CUSTOS!$M$39)</f>
        <v>84.562385305852217</v>
      </c>
      <c r="R47" s="13">
        <f>('TUSD BE'!$R$47+'TUSD BF'!$R$47+'TUSD CVA'!$R$47)*(1 - CUSTOS!$M$39)</f>
        <v>13.363959473487334</v>
      </c>
      <c r="S47" s="13">
        <f>('TUSD BE'!$S$47+'TUSD BF'!$S$47+'TUSD CVA'!$S$47)*(1 - CUSTOS!$M$39)</f>
        <v>0</v>
      </c>
      <c r="T47" s="13">
        <f>('TUSD BE'!$U$47+'TUSD BF'!$U$47+'TUSD CVA'!$U$47)*(1 - CUSTOS!$M$39)</f>
        <v>26.757573117237211</v>
      </c>
      <c r="U47" s="13">
        <f>('TUSD BE'!$V$47+'TUSD BF'!$V$47+'TUSD CVA'!$V$47)*(1 - CUSTOS!$M$39)</f>
        <v>3.7651744525818049</v>
      </c>
      <c r="V47" s="13">
        <f>('TUSD BE'!$W$47+'TUSD BF'!$W$47+'TUSD CVA'!$W$47)*(1 - CUSTOS!$M$39)</f>
        <v>0</v>
      </c>
      <c r="W47" s="13">
        <f>('TUSD BE'!$X$47+'TUSD BF'!$X$47+'TUSD CVA'!$X$47)*(1 - CUSTOS!$M$39)</f>
        <v>0</v>
      </c>
      <c r="X47" s="13">
        <f>('TUSD BE'!$Y$47+'TUSD BF'!$Y$47+'TUSD CVA'!$Y$47)*(1 - CUSTOS!$M$39)</f>
        <v>0</v>
      </c>
      <c r="Y47" s="13">
        <f>('TUSD BE'!$Z$47+'TUSD BF'!$Z$47+'TUSD CVA'!$Z$47)*(1 - CUSTOS!$M$39)</f>
        <v>0</v>
      </c>
      <c r="Z47" s="13">
        <f>('TUSD BE'!$AA$47+'TUSD BF'!$AA$47+'TUSD CVA'!$AA$47)*(1 - CUSTOS!$M$39)</f>
        <v>0</v>
      </c>
      <c r="AA47" s="13">
        <f>('TUSD BE'!$AC$47+'TUSD BF'!$AC$47+'TUSD CVA'!$AC$47)*(1 - CUSTOS!$M$39)</f>
        <v>152.80633774447142</v>
      </c>
      <c r="AB47" s="13">
        <f ca="1">('TUSD BE'!$AE$47+'TUSD BF'!$AE$47+'TUSD CVA'!$AE$47)*(1 - CUSTOS!$M$39)</f>
        <v>0</v>
      </c>
      <c r="AC47" s="13">
        <f ca="1">('TUSD BE'!$AF$47+'TUSD BF'!$AF$47+'TUSD CVA'!$AF$47)*(1 - CUSTOS!$M$39)</f>
        <v>0</v>
      </c>
      <c r="AD47" s="13">
        <f>('TUSD BE'!$AH$47+'TUSD BF'!$AH$47+'TUSD CVA'!$AH$47)*(1 - CUSTOS!$M$39)</f>
        <v>11.239594371365698</v>
      </c>
      <c r="AE47" s="13">
        <f>('TUSD BE'!$AI$47+'TUSD BF'!$AI$47+'TUSD CVA'!$AI$47)*(1 - CUSTOS!$M$39)</f>
        <v>0</v>
      </c>
      <c r="AF47" s="13">
        <f ca="1">('TUSD BE'!$AJ$47+'TUSD BF'!$AJ$47+'TUSD CVA'!$AJ$47)*(1 - CUSTOS!$M$39)</f>
        <v>0</v>
      </c>
      <c r="AG47" s="13">
        <f ca="1">('TUSD BE'!$AK$47+'TUSD BF'!$AK$47+'TUSD CVA'!$AK$47)*(1 - CUSTOS!$M$39)</f>
        <v>0</v>
      </c>
      <c r="AI47" s="13">
        <v>28.158693066008901</v>
      </c>
      <c r="AJ47" s="13">
        <v>0.66842911452298404</v>
      </c>
      <c r="AK47" s="13">
        <v>0</v>
      </c>
      <c r="AL47" s="13">
        <v>0</v>
      </c>
      <c r="AM47" s="13">
        <v>0</v>
      </c>
      <c r="AN47" s="13">
        <v>48.774485624490403</v>
      </c>
      <c r="AO47" s="13">
        <v>7.6551136477998201</v>
      </c>
      <c r="AP47" s="13">
        <v>0</v>
      </c>
      <c r="AQ47" s="13">
        <v>17.5086298535998</v>
      </c>
      <c r="AR47" s="13">
        <v>3.2821844674702501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118.23485860464601</v>
      </c>
      <c r="AY47" s="13">
        <v>0</v>
      </c>
      <c r="AZ47" s="13">
        <v>0</v>
      </c>
      <c r="BA47" s="13">
        <v>12.486275525591999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4"/>
      <c r="B48" s="94"/>
      <c r="C48" s="94"/>
      <c r="D48" s="23" t="s">
        <v>91</v>
      </c>
      <c r="E48" s="23" t="s">
        <v>25</v>
      </c>
      <c r="F48" s="23" t="s">
        <v>25</v>
      </c>
      <c r="G48" s="24" t="s">
        <v>80</v>
      </c>
      <c r="H48" s="24" t="s">
        <v>74</v>
      </c>
      <c r="I48" s="24">
        <f>'MERCADO TUSD'!$U$45</f>
        <v>0</v>
      </c>
      <c r="J48" s="15"/>
      <c r="L48" s="13">
        <f>('TUSD BE'!$L$48+'TUSD BF'!$L$48+'TUSD CVA'!$L$48)*(1 - CUSTOS!$M$40)</f>
        <v>29.368740723288909</v>
      </c>
      <c r="M48" s="13">
        <f>('TUSD BE'!$M$48+'TUSD BF'!$M$48+'TUSD CVA'!$M$48)*(1 - CUSTOS!$M$40)</f>
        <v>0.66905126844699492</v>
      </c>
      <c r="N48" s="13">
        <f ca="1">('TUSD BE'!$N$48+'TUSD BF'!$N$48+'TUSD CVA'!$N$48)*(1 - CUSTOS!$M$40)</f>
        <v>0</v>
      </c>
      <c r="O48" s="13">
        <f>('TUSD BE'!$O$48+'TUSD BF'!$O$48+'TUSD CVA'!$O$48)*(1 - CUSTOS!$M$40)</f>
        <v>0</v>
      </c>
      <c r="P48" s="13">
        <f>('TUSD BE'!$P$48+'TUSD BF'!$P$48+'TUSD CVA'!$P$48)*(1 - CUSTOS!$M$40)</f>
        <v>0</v>
      </c>
      <c r="Q48" s="13">
        <f>('TUSD BE'!$Q$48+'TUSD BF'!$Q$48+'TUSD CVA'!$Q$48)*(1 - CUSTOS!$M$40)</f>
        <v>82.763185618493679</v>
      </c>
      <c r="R48" s="13">
        <f>('TUSD BE'!$R$48+'TUSD BF'!$R$48+'TUSD CVA'!$R$48)*(1 - CUSTOS!$M$40)</f>
        <v>13.079619910221647</v>
      </c>
      <c r="S48" s="13">
        <f>('TUSD BE'!$S$48+'TUSD BF'!$S$48+'TUSD CVA'!$S$48)*(1 - CUSTOS!$M$40)</f>
        <v>0</v>
      </c>
      <c r="T48" s="13">
        <f>('TUSD BE'!$U$48+'TUSD BF'!$U$48+'TUSD CVA'!$U$48)*(1 - CUSTOS!$M$40)</f>
        <v>26.188263050913019</v>
      </c>
      <c r="U48" s="13">
        <f>('TUSD BE'!$V$48+'TUSD BF'!$V$48+'TUSD CVA'!$V$48)*(1 - CUSTOS!$M$40)</f>
        <v>3.6850643578460223</v>
      </c>
      <c r="V48" s="13">
        <f>('TUSD BE'!$W$48+'TUSD BF'!$W$48+'TUSD CVA'!$W$48)*(1 - CUSTOS!$M$40)</f>
        <v>0</v>
      </c>
      <c r="W48" s="13">
        <f>('TUSD BE'!$X$48+'TUSD BF'!$X$48+'TUSD CVA'!$X$48)*(1 - CUSTOS!$M$40)</f>
        <v>0</v>
      </c>
      <c r="X48" s="13">
        <f>('TUSD BE'!$Y$48+'TUSD BF'!$Y$48+'TUSD CVA'!$Y$48)*(1 - CUSTOS!$M$40)</f>
        <v>0</v>
      </c>
      <c r="Y48" s="13">
        <f>('TUSD BE'!$Z$48+'TUSD BF'!$Z$48+'TUSD CVA'!$Z$48)*(1 - CUSTOS!$M$40)</f>
        <v>0</v>
      </c>
      <c r="Z48" s="13">
        <f>('TUSD BE'!$AA$48+'TUSD BF'!$AA$48+'TUSD CVA'!$AA$48)*(1 - CUSTOS!$M$40)</f>
        <v>0</v>
      </c>
      <c r="AA48" s="13">
        <f>('TUSD BE'!$AC$48+'TUSD BF'!$AC$48+'TUSD CVA'!$AC$48)*(1 - CUSTOS!$M$40)</f>
        <v>149.55513906905713</v>
      </c>
      <c r="AB48" s="13">
        <f ca="1">('TUSD BE'!$AE$48+'TUSD BF'!$AE$48+'TUSD CVA'!$AE$48)*(1 - CUSTOS!$M$40)</f>
        <v>0</v>
      </c>
      <c r="AC48" s="13">
        <f ca="1">('TUSD BE'!$AF$48+'TUSD BF'!$AF$48+'TUSD CVA'!$AF$48)*(1 - CUSTOS!$M$40)</f>
        <v>0</v>
      </c>
      <c r="AD48" s="13">
        <f>('TUSD BE'!$AH$48+'TUSD BF'!$AH$48+'TUSD CVA'!$AH$48)*(1 - CUSTOS!$M$40)</f>
        <v>11.00045406559196</v>
      </c>
      <c r="AE48" s="13">
        <f>('TUSD BE'!$AI$48+'TUSD BF'!$AI$48+'TUSD CVA'!$AI$48)*(1 - CUSTOS!$M$40)</f>
        <v>0</v>
      </c>
      <c r="AF48" s="13">
        <f ca="1">('TUSD BE'!$AJ$48+'TUSD BF'!$AJ$48+'TUSD CVA'!$AJ$48)*(1 - CUSTOS!$M$40)</f>
        <v>0</v>
      </c>
      <c r="AG48" s="13">
        <f ca="1">('TUSD BE'!$AK$48+'TUSD BF'!$AK$48+'TUSD CVA'!$AK$48)*(1 - CUSTOS!$M$40)</f>
        <v>0</v>
      </c>
      <c r="AI48" s="13">
        <v>26.8787524720994</v>
      </c>
      <c r="AJ48" s="13">
        <v>0.63804597295375798</v>
      </c>
      <c r="AK48" s="13">
        <v>0</v>
      </c>
      <c r="AL48" s="13">
        <v>0</v>
      </c>
      <c r="AM48" s="13">
        <v>0</v>
      </c>
      <c r="AN48" s="13">
        <v>46.557463550649999</v>
      </c>
      <c r="AO48" s="13">
        <v>7.3071539365361904</v>
      </c>
      <c r="AP48" s="13">
        <v>0</v>
      </c>
      <c r="AQ48" s="13">
        <v>16.712783042072498</v>
      </c>
      <c r="AR48" s="13">
        <v>3.1329942644034201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112.86054684989</v>
      </c>
      <c r="AY48" s="13">
        <v>0</v>
      </c>
      <c r="AZ48" s="13">
        <v>0</v>
      </c>
      <c r="BA48" s="13">
        <v>11.918717547156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4" t="s">
        <v>33</v>
      </c>
      <c r="B49" s="94" t="s">
        <v>55</v>
      </c>
      <c r="C49" s="94" t="s">
        <v>25</v>
      </c>
      <c r="D49" s="94" t="s">
        <v>25</v>
      </c>
      <c r="E49" s="94" t="s">
        <v>25</v>
      </c>
      <c r="F49" s="94" t="s">
        <v>25</v>
      </c>
      <c r="G49" s="24" t="s">
        <v>75</v>
      </c>
      <c r="H49" s="24" t="s">
        <v>74</v>
      </c>
      <c r="I49" s="24">
        <f>'MERCADO TUSD'!$U$46</f>
        <v>0</v>
      </c>
      <c r="J49" s="15"/>
      <c r="L49" s="13">
        <f>('TUSD BE'!$L$49+'TUSD BF'!$L$49+'TUSD CVA'!$L$49)*1</f>
        <v>31.922544264444465</v>
      </c>
      <c r="M49" s="13">
        <f>('TUSD BE'!$M$49+'TUSD BF'!$M$49+'TUSD CVA'!$M$49)*1</f>
        <v>0.72722963961629883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89.959984367927902</v>
      </c>
      <c r="R49" s="13">
        <f>('TUSD BE'!$R$49+'TUSD BF'!$R$49+'TUSD CVA'!$R$49)*1</f>
        <v>14.216978163284399</v>
      </c>
      <c r="S49" s="13">
        <f>('TUSD BE'!$S$49+'TUSD BF'!$S$49+'TUSD CVA'!$S$49)*1</f>
        <v>0</v>
      </c>
      <c r="T49" s="13">
        <f>('TUSD BE'!$U$49+'TUSD BF'!$U$49+'TUSD CVA'!$U$49)*1</f>
        <v>98.206032495150282</v>
      </c>
      <c r="U49" s="13">
        <f>('TUSD BE'!$V$49+'TUSD BF'!$V$49+'TUSD CVA'!$V$49)*1</f>
        <v>13.819452274573537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0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560.83169628695975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11.957015288686913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31.9985148477374</v>
      </c>
      <c r="AJ49" s="13">
        <v>0.75957853923066398</v>
      </c>
      <c r="AK49" s="13">
        <v>0</v>
      </c>
      <c r="AL49" s="13">
        <v>0</v>
      </c>
      <c r="AM49" s="13">
        <v>0</v>
      </c>
      <c r="AN49" s="13">
        <v>55.425551846011899</v>
      </c>
      <c r="AO49" s="13">
        <v>8.6989927815907002</v>
      </c>
      <c r="AP49" s="13">
        <v>0</v>
      </c>
      <c r="AQ49" s="13">
        <v>68.641726017443702</v>
      </c>
      <c r="AR49" s="13">
        <v>12.8680313088141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463.53432222004898</v>
      </c>
      <c r="AY49" s="13">
        <v>0</v>
      </c>
      <c r="AZ49" s="13">
        <v>0</v>
      </c>
      <c r="BA49" s="13">
        <v>14.188949460899901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4"/>
      <c r="B50" s="94"/>
      <c r="C50" s="94"/>
      <c r="D50" s="94"/>
      <c r="E50" s="94"/>
      <c r="F50" s="94"/>
      <c r="G50" s="24" t="s">
        <v>86</v>
      </c>
      <c r="H50" s="24" t="s">
        <v>74</v>
      </c>
      <c r="I50" s="24">
        <f>'MERCADO TUSD'!$U$47</f>
        <v>0</v>
      </c>
      <c r="J50" s="15"/>
      <c r="L50" s="13">
        <f>('TUSD BE'!$L$50+'TUSD BF'!$L$50+'TUSD CVA'!$L$50)*1</f>
        <v>31.922544264444465</v>
      </c>
      <c r="M50" s="13">
        <f>('TUSD BE'!$M$50+'TUSD BF'!$M$50+'TUSD CVA'!$M$50)*1</f>
        <v>0.72722963961629883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89.959984367927902</v>
      </c>
      <c r="R50" s="13">
        <f>('TUSD BE'!$R$50+'TUSD BF'!$R$50+'TUSD CVA'!$R$50)*1</f>
        <v>14.216978163284399</v>
      </c>
      <c r="S50" s="13">
        <f>('TUSD BE'!$S$50+'TUSD BF'!$S$50+'TUSD CVA'!$S$50)*1</f>
        <v>0</v>
      </c>
      <c r="T50" s="13">
        <f>('TUSD BE'!$U$50+'TUSD BF'!$U$50+'TUSD CVA'!$U$50)*1</f>
        <v>58.923619497090172</v>
      </c>
      <c r="U50" s="13">
        <f>('TUSD BE'!$V$50+'TUSD BF'!$V$50+'TUSD CVA'!$V$50)*1</f>
        <v>8.2918326911719564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0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336.4990344881769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11.957015288686913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31.9985148477374</v>
      </c>
      <c r="AJ50" s="13">
        <v>0.75957853923066398</v>
      </c>
      <c r="AK50" s="13">
        <v>0</v>
      </c>
      <c r="AL50" s="13">
        <v>0</v>
      </c>
      <c r="AM50" s="13">
        <v>0</v>
      </c>
      <c r="AN50" s="13">
        <v>55.425551846011899</v>
      </c>
      <c r="AO50" s="13">
        <v>8.6989927815907002</v>
      </c>
      <c r="AP50" s="13">
        <v>0</v>
      </c>
      <c r="AQ50" s="13">
        <v>41.184965351286102</v>
      </c>
      <c r="AR50" s="13">
        <v>7.7209421604687698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278.120581744601</v>
      </c>
      <c r="AY50" s="13">
        <v>0</v>
      </c>
      <c r="AZ50" s="13">
        <v>0</v>
      </c>
      <c r="BA50" s="13">
        <v>14.188949460899901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4"/>
      <c r="B51" s="94"/>
      <c r="C51" s="94"/>
      <c r="D51" s="94"/>
      <c r="E51" s="94"/>
      <c r="F51" s="94"/>
      <c r="G51" s="24" t="s">
        <v>76</v>
      </c>
      <c r="H51" s="24" t="s">
        <v>74</v>
      </c>
      <c r="I51" s="24">
        <f>'MERCADO TUSD'!$U$48</f>
        <v>0</v>
      </c>
      <c r="J51" s="15"/>
      <c r="L51" s="13">
        <f>('TUSD BE'!$L$51+'TUSD BF'!$L$51+'TUSD CVA'!$L$51)*1</f>
        <v>31.922544264444465</v>
      </c>
      <c r="M51" s="13">
        <f>('TUSD BE'!$M$51+'TUSD BF'!$M$51+'TUSD CVA'!$M$51)*1</f>
        <v>0.72722963961629883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89.959984367927902</v>
      </c>
      <c r="R51" s="13">
        <f>('TUSD BE'!$R$51+'TUSD BF'!$R$51+'TUSD CVA'!$R$51)*1</f>
        <v>14.216978163284399</v>
      </c>
      <c r="S51" s="13">
        <f>('TUSD BE'!$S$51+'TUSD BF'!$S$51+'TUSD CVA'!$S$51)*1</f>
        <v>0</v>
      </c>
      <c r="T51" s="13">
        <f>('TUSD BE'!$U$51+'TUSD BF'!$U$51+'TUSD CVA'!$U$51)*1</f>
        <v>19.641206499030055</v>
      </c>
      <c r="U51" s="13">
        <f>('TUSD BE'!$V$51+'TUSD BF'!$V$51+'TUSD CVA'!$V$51)*1</f>
        <v>2.7638674082821595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0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112.16645626939901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11.957015288686913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31.9985148477374</v>
      </c>
      <c r="AJ51" s="13">
        <v>0.75957853923066398</v>
      </c>
      <c r="AK51" s="13">
        <v>0</v>
      </c>
      <c r="AL51" s="13">
        <v>0</v>
      </c>
      <c r="AM51" s="13">
        <v>0</v>
      </c>
      <c r="AN51" s="13">
        <v>55.425551846011899</v>
      </c>
      <c r="AO51" s="13">
        <v>8.6989927815907002</v>
      </c>
      <c r="AP51" s="13">
        <v>0</v>
      </c>
      <c r="AQ51" s="13">
        <v>13.7282925091036</v>
      </c>
      <c r="AR51" s="13">
        <v>2.5736062617628099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92.706957143435204</v>
      </c>
      <c r="AY51" s="13">
        <v>0</v>
      </c>
      <c r="AZ51" s="13">
        <v>0</v>
      </c>
      <c r="BA51" s="13">
        <v>14.188949460899901</v>
      </c>
      <c r="BB51" s="13">
        <v>0</v>
      </c>
      <c r="BC51" s="13">
        <v>0</v>
      </c>
      <c r="BD51" s="13">
        <v>0</v>
      </c>
    </row>
    <row r="52" spans="1:56" ht="11.25" customHeight="1" x14ac:dyDescent="0.25">
      <c r="A52" s="94"/>
      <c r="B52" s="23" t="s">
        <v>23</v>
      </c>
      <c r="C52" s="23" t="s">
        <v>25</v>
      </c>
      <c r="D52" s="23" t="s">
        <v>25</v>
      </c>
      <c r="E52" s="23" t="s">
        <v>25</v>
      </c>
      <c r="F52" s="23" t="s">
        <v>25</v>
      </c>
      <c r="G52" s="24" t="s">
        <v>80</v>
      </c>
      <c r="H52" s="24" t="s">
        <v>74</v>
      </c>
      <c r="I52" s="24">
        <f>'MERCADO TUSD'!$U$49</f>
        <v>21501.073</v>
      </c>
      <c r="J52" s="15"/>
      <c r="L52" s="13">
        <f>('TUSD BE'!$L$52+'TUSD BF'!$L$52+'TUSD CVA'!$L$52)*1</f>
        <v>31.922544264444465</v>
      </c>
      <c r="M52" s="13">
        <f>('TUSD BE'!$M$52+'TUSD BF'!$M$52+'TUSD CVA'!$M$52)*1</f>
        <v>0.72722963961629883</v>
      </c>
      <c r="N52" s="13">
        <f ca="1">('TUSD BE'!$N$52+'TUSD BF'!$N$52+'TUSD CVA'!$N$52)*1</f>
        <v>0</v>
      </c>
      <c r="O52" s="13">
        <f>('TUSD BE'!$O$52+'TUSD BF'!$O$52+'TUSD CVA'!$O$52)*1</f>
        <v>0</v>
      </c>
      <c r="P52" s="13">
        <f>('TUSD BE'!$P$52+'TUSD BF'!$P$52+'TUSD CVA'!$P$52)*1</f>
        <v>0</v>
      </c>
      <c r="Q52" s="13">
        <f>('TUSD BE'!$Q$52+'TUSD BF'!$Q$52+'TUSD CVA'!$Q$52)*1</f>
        <v>89.959984367927902</v>
      </c>
      <c r="R52" s="13">
        <f>('TUSD BE'!$R$52+'TUSD BF'!$R$52+'TUSD CVA'!$R$52)*1</f>
        <v>14.216978163284399</v>
      </c>
      <c r="S52" s="13">
        <f>('TUSD BE'!$S$52+'TUSD BF'!$S$52+'TUSD CVA'!$S$52)*1</f>
        <v>0</v>
      </c>
      <c r="T52" s="13">
        <f>('TUSD BE'!$U$52+'TUSD BF'!$U$52+'TUSD CVA'!$U$52)*1</f>
        <v>28.465503316209801</v>
      </c>
      <c r="U52" s="13">
        <f>('TUSD BE'!$V$52+'TUSD BF'!$V$52+'TUSD CVA'!$V$52)*1</f>
        <v>4.0055047367891543</v>
      </c>
      <c r="V52" s="13">
        <f>('TUSD BE'!$W$52+'TUSD BF'!$W$52+'TUSD CVA'!$W$52)*1</f>
        <v>0</v>
      </c>
      <c r="W52" s="13">
        <f>('TUSD BE'!$X$52+'TUSD BF'!$X$52+'TUSD CVA'!$X$52)*1</f>
        <v>0</v>
      </c>
      <c r="X52" s="13">
        <f>('TUSD BE'!$Y$52+'TUSD BF'!$Y$52+'TUSD CVA'!$Y$52)*1</f>
        <v>0</v>
      </c>
      <c r="Y52" s="13">
        <f>('TUSD BE'!$Z$52+'TUSD BF'!$Z$52+'TUSD CVA'!$Z$52)*1</f>
        <v>0</v>
      </c>
      <c r="Z52" s="13">
        <f>('TUSD BE'!$AA$52+'TUSD BF'!$AA$52+'TUSD CVA'!$AA$52)*1</f>
        <v>0</v>
      </c>
      <c r="AA52" s="13">
        <f>('TUSD BE'!$AC$52+'TUSD BF'!$AC$52+'TUSD CVA'!$AC$52)*1</f>
        <v>162.55993377071428</v>
      </c>
      <c r="AB52" s="13">
        <f ca="1">('TUSD BE'!$AE$52+'TUSD BF'!$AE$52+'TUSD CVA'!$AE$52)*1</f>
        <v>0</v>
      </c>
      <c r="AC52" s="13">
        <f ca="1">('TUSD BE'!$AF$52+'TUSD BF'!$AF$52+'TUSD CVA'!$AF$52)*1</f>
        <v>0</v>
      </c>
      <c r="AD52" s="13">
        <f>('TUSD BE'!$AH$52+'TUSD BF'!$AH$52+'TUSD CVA'!$AH$52)*1</f>
        <v>11.957015288686913</v>
      </c>
      <c r="AE52" s="13">
        <f>('TUSD BE'!$AI$52+'TUSD BF'!$AI$52+'TUSD CVA'!$AI$52)*1</f>
        <v>0</v>
      </c>
      <c r="AF52" s="13">
        <f ca="1">('TUSD BE'!$AJ$52+'TUSD BF'!$AJ$52+'TUSD CVA'!$AJ$52)*1</f>
        <v>0</v>
      </c>
      <c r="AG52" s="13">
        <f ca="1">('TUSD BE'!$AK$52+'TUSD BF'!$AK$52+'TUSD CVA'!$AK$52)*1</f>
        <v>0</v>
      </c>
      <c r="AI52" s="13">
        <v>31.9985148477374</v>
      </c>
      <c r="AJ52" s="13">
        <v>0.75957853923066398</v>
      </c>
      <c r="AK52" s="13">
        <v>0</v>
      </c>
      <c r="AL52" s="13">
        <v>0</v>
      </c>
      <c r="AM52" s="13">
        <v>0</v>
      </c>
      <c r="AN52" s="13">
        <v>55.425551846011899</v>
      </c>
      <c r="AO52" s="13">
        <v>8.6989927815907002</v>
      </c>
      <c r="AP52" s="13">
        <v>0</v>
      </c>
      <c r="AQ52" s="13">
        <v>19.896170288181601</v>
      </c>
      <c r="AR52" s="13">
        <v>3.7297550766707399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134.35779386891599</v>
      </c>
      <c r="AY52" s="13">
        <v>0</v>
      </c>
      <c r="AZ52" s="13">
        <v>0</v>
      </c>
      <c r="BA52" s="13">
        <v>14.188949460899901</v>
      </c>
      <c r="BB52" s="13">
        <v>0</v>
      </c>
      <c r="BC52" s="13">
        <v>0</v>
      </c>
      <c r="BD52" s="13">
        <v>0</v>
      </c>
    </row>
    <row r="53" spans="1:56" ht="11.25" customHeight="1" x14ac:dyDescent="0.25">
      <c r="A53" s="94"/>
      <c r="B53" s="23" t="s">
        <v>89</v>
      </c>
      <c r="C53" s="23" t="s">
        <v>25</v>
      </c>
      <c r="D53" s="23" t="s">
        <v>25</v>
      </c>
      <c r="E53" s="23" t="s">
        <v>25</v>
      </c>
      <c r="F53" s="23" t="s">
        <v>25</v>
      </c>
      <c r="G53" s="24" t="s">
        <v>80</v>
      </c>
      <c r="H53" s="24" t="s">
        <v>74</v>
      </c>
      <c r="I53" s="24">
        <f>'MERCADO TUSD'!$U$50</f>
        <v>0</v>
      </c>
      <c r="J53" s="15"/>
      <c r="L53" s="13">
        <f>('TUSD BE'!$L$53+'TUSD BF'!$L$53+'TUSD CVA'!$L$53)*1</f>
        <v>31.922544264444465</v>
      </c>
      <c r="M53" s="13">
        <f>('TUSD BE'!$M$53+'TUSD BF'!$M$53+'TUSD CVA'!$M$53)*1</f>
        <v>0.72722963961629883</v>
      </c>
      <c r="N53" s="13">
        <f ca="1">('TUSD BE'!$N$53+'TUSD BF'!$N$53+'TUSD CVA'!$N$53)*1</f>
        <v>0</v>
      </c>
      <c r="O53" s="13">
        <f>('TUSD BE'!$O$53+'TUSD BF'!$O$53+'TUSD CVA'!$O$53)*1</f>
        <v>0</v>
      </c>
      <c r="P53" s="13">
        <f>('TUSD BE'!$P$53+'TUSD BF'!$P$53+'TUSD CVA'!$P$53)*1</f>
        <v>0</v>
      </c>
      <c r="Q53" s="13">
        <f>('TUSD BE'!$Q$53+'TUSD BF'!$Q$53+'TUSD CVA'!$Q$53)*1</f>
        <v>89.959984367927902</v>
      </c>
      <c r="R53" s="13">
        <f>('TUSD BE'!$R$53+'TUSD BF'!$R$53+'TUSD CVA'!$R$53)*1</f>
        <v>14.216978163284399</v>
      </c>
      <c r="S53" s="13">
        <f>('TUSD BE'!$S$53+'TUSD BF'!$S$53+'TUSD CVA'!$S$53)*1</f>
        <v>0</v>
      </c>
      <c r="T53" s="13">
        <f>('TUSD BE'!$U$53+'TUSD BF'!$U$53+'TUSD CVA'!$U$53)*1</f>
        <v>28.465503316209801</v>
      </c>
      <c r="U53" s="13">
        <f>('TUSD BE'!$V$53+'TUSD BF'!$V$53+'TUSD CVA'!$V$53)*1</f>
        <v>4.0055047367891543</v>
      </c>
      <c r="V53" s="13">
        <f>('TUSD BE'!$W$53+'TUSD BF'!$W$53+'TUSD CVA'!$W$53)*1</f>
        <v>0</v>
      </c>
      <c r="W53" s="13">
        <f>('TUSD BE'!$X$53+'TUSD BF'!$X$53+'TUSD CVA'!$X$53)*1</f>
        <v>0</v>
      </c>
      <c r="X53" s="13">
        <f>('TUSD BE'!$Y$53+'TUSD BF'!$Y$53+'TUSD CVA'!$Y$53)*1</f>
        <v>0</v>
      </c>
      <c r="Y53" s="13">
        <f>('TUSD BE'!$Z$53+'TUSD BF'!$Z$53+'TUSD CVA'!$Z$53)*1</f>
        <v>0</v>
      </c>
      <c r="Z53" s="13">
        <f>('TUSD BE'!$AA$53+'TUSD BF'!$AA$53+'TUSD CVA'!$AA$53)*1</f>
        <v>0</v>
      </c>
      <c r="AA53" s="13">
        <f>('TUSD BE'!$AC$53+'TUSD BF'!$AC$53+'TUSD CVA'!$AC$53)*1</f>
        <v>162.55993377071428</v>
      </c>
      <c r="AB53" s="13">
        <f ca="1">('TUSD BE'!$AE$53+'TUSD BF'!$AE$53+'TUSD CVA'!$AE$53)*1</f>
        <v>0</v>
      </c>
      <c r="AC53" s="13">
        <f ca="1">('TUSD BE'!$AF$53+'TUSD BF'!$AF$53+'TUSD CVA'!$AF$53)*1</f>
        <v>0</v>
      </c>
      <c r="AD53" s="13">
        <f>('TUSD BE'!$AH$53+'TUSD BF'!$AH$53+'TUSD CVA'!$AH$53)*1</f>
        <v>11.957015288686913</v>
      </c>
      <c r="AE53" s="13">
        <f>('TUSD BE'!$AI$53+'TUSD BF'!$AI$53+'TUSD CVA'!$AI$53)*1</f>
        <v>0</v>
      </c>
      <c r="AF53" s="13">
        <f ca="1">('TUSD BE'!$AJ$53+'TUSD BF'!$AJ$53+'TUSD CVA'!$AJ$53)*1</f>
        <v>0</v>
      </c>
      <c r="AG53" s="13">
        <f ca="1">('TUSD BE'!$AK$53+'TUSD BF'!$AK$53+'TUSD CVA'!$AK$53)*1</f>
        <v>0</v>
      </c>
      <c r="AI53" s="13">
        <v>31.9985148477374</v>
      </c>
      <c r="AJ53" s="13">
        <v>0.75957853923066398</v>
      </c>
      <c r="AK53" s="13">
        <v>0</v>
      </c>
      <c r="AL53" s="13">
        <v>0</v>
      </c>
      <c r="AM53" s="13">
        <v>0</v>
      </c>
      <c r="AN53" s="13">
        <v>55.425551846011899</v>
      </c>
      <c r="AO53" s="13">
        <v>8.6989927815907002</v>
      </c>
      <c r="AP53" s="13">
        <v>0</v>
      </c>
      <c r="AQ53" s="13">
        <v>19.896170288181601</v>
      </c>
      <c r="AR53" s="13">
        <v>3.7297550766707399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134.35779386891599</v>
      </c>
      <c r="AY53" s="13">
        <v>0</v>
      </c>
      <c r="AZ53" s="13">
        <v>0</v>
      </c>
      <c r="BA53" s="13">
        <v>14.188949460899901</v>
      </c>
      <c r="BB53" s="13">
        <v>0</v>
      </c>
      <c r="BC53" s="13">
        <v>0</v>
      </c>
      <c r="BD53" s="13">
        <v>0</v>
      </c>
    </row>
    <row r="54" spans="1:56" ht="11.25" customHeight="1" x14ac:dyDescent="0.25">
      <c r="A54" s="94" t="s">
        <v>45</v>
      </c>
      <c r="B54" s="94" t="s">
        <v>23</v>
      </c>
      <c r="C54" s="94" t="s">
        <v>46</v>
      </c>
      <c r="D54" s="23" t="s">
        <v>47</v>
      </c>
      <c r="E54" s="23" t="s">
        <v>25</v>
      </c>
      <c r="F54" s="23" t="s">
        <v>25</v>
      </c>
      <c r="G54" s="24" t="s">
        <v>80</v>
      </c>
      <c r="H54" s="24" t="s">
        <v>74</v>
      </c>
      <c r="I54" s="24">
        <f>'MERCADO TUSD'!$U$51</f>
        <v>10480.718000000001</v>
      </c>
      <c r="J54" s="15"/>
      <c r="L54" s="13">
        <f>('TUSD BE'!$L$54+'TUSD BF'!$L$54+'TUSD CVA'!$L$54)*1</f>
        <v>17.557399345444459</v>
      </c>
      <c r="M54" s="13">
        <f>('TUSD BE'!$M$54+'TUSD BF'!$M$54+'TUSD CVA'!$M$54)*1</f>
        <v>0.39997630178896437</v>
      </c>
      <c r="N54" s="13">
        <f ca="1">('TUSD BE'!$N$54+'TUSD BF'!$N$54+'TUSD CVA'!$N$54)*1</f>
        <v>0</v>
      </c>
      <c r="O54" s="13">
        <f>('TUSD BE'!$O$54+'TUSD BF'!$O$54+'TUSD CVA'!$O$54)*1</f>
        <v>0</v>
      </c>
      <c r="P54" s="13">
        <f>('TUSD BE'!$P$54+'TUSD BF'!$P$54+'TUSD CVA'!$P$54)*1</f>
        <v>0</v>
      </c>
      <c r="Q54" s="13">
        <f>('TUSD BE'!$Q$54+'TUSD BF'!$Q$54+'TUSD CVA'!$Q$54)*1</f>
        <v>49.477991402360345</v>
      </c>
      <c r="R54" s="13">
        <f>('TUSD BE'!$R$54+'TUSD BF'!$R$54+'TUSD CVA'!$R$54)*1</f>
        <v>7.8193379898064199</v>
      </c>
      <c r="S54" s="13">
        <f>('TUSD BE'!$S$54+'TUSD BF'!$S$54+'TUSD CVA'!$S$54)*1</f>
        <v>0</v>
      </c>
      <c r="T54" s="13">
        <f>('TUSD BE'!$U$54+'TUSD BF'!$U$54+'TUSD CVA'!$U$54)*1</f>
        <v>15.656026823915392</v>
      </c>
      <c r="U54" s="13">
        <f>('TUSD BE'!$V$54+'TUSD BF'!$V$54+'TUSD CVA'!$V$54)*1</f>
        <v>2.203027605234035</v>
      </c>
      <c r="V54" s="13">
        <f>('TUSD BE'!$W$54+'TUSD BF'!$W$54+'TUSD CVA'!$W$54)*1</f>
        <v>0</v>
      </c>
      <c r="W54" s="13">
        <f>('TUSD BE'!$X$54+'TUSD BF'!$X$54+'TUSD CVA'!$X$54)*1</f>
        <v>0</v>
      </c>
      <c r="X54" s="13">
        <f>('TUSD BE'!$Y$54+'TUSD BF'!$Y$54+'TUSD CVA'!$Y$54)*1</f>
        <v>0</v>
      </c>
      <c r="Y54" s="13">
        <f>('TUSD BE'!$Z$54+'TUSD BF'!$Z$54+'TUSD CVA'!$Z$54)*1</f>
        <v>0</v>
      </c>
      <c r="Z54" s="13">
        <f>('TUSD BE'!$AA$54+'TUSD BF'!$AA$54+'TUSD CVA'!$AA$54)*1</f>
        <v>0</v>
      </c>
      <c r="AA54" s="13">
        <f>('TUSD BE'!$AC$54+'TUSD BF'!$AC$54+'TUSD CVA'!$AC$54)*1</f>
        <v>89.407963573892857</v>
      </c>
      <c r="AB54" s="13">
        <f ca="1">('TUSD BE'!$AE$54+'TUSD BF'!$AE$54+'TUSD CVA'!$AE$54)*1</f>
        <v>0</v>
      </c>
      <c r="AC54" s="13">
        <f ca="1">('TUSD BE'!$AF$54+'TUSD BF'!$AF$54+'TUSD CVA'!$AF$54)*1</f>
        <v>0</v>
      </c>
      <c r="AD54" s="13">
        <f>('TUSD BE'!$AH$54+'TUSD BF'!$AH$54+'TUSD CVA'!$AH$54)*1</f>
        <v>6.5763584087778026</v>
      </c>
      <c r="AE54" s="13">
        <f>('TUSD BE'!$AI$54+'TUSD BF'!$AI$54+'TUSD CVA'!$AI$54)*1</f>
        <v>0</v>
      </c>
      <c r="AF54" s="13">
        <f ca="1">('TUSD BE'!$AJ$54+'TUSD BF'!$AJ$54+'TUSD CVA'!$AJ$54)*1</f>
        <v>0</v>
      </c>
      <c r="AG54" s="13">
        <f ca="1">('TUSD BE'!$AK$54+'TUSD BF'!$AK$54+'TUSD CVA'!$AK$54)*1</f>
        <v>0</v>
      </c>
      <c r="AI54" s="13">
        <v>17.5991831662556</v>
      </c>
      <c r="AJ54" s="13">
        <v>0.41776819657686498</v>
      </c>
      <c r="AK54" s="13">
        <v>0</v>
      </c>
      <c r="AL54" s="13">
        <v>0</v>
      </c>
      <c r="AM54" s="13">
        <v>0</v>
      </c>
      <c r="AN54" s="13">
        <v>30.484053515306499</v>
      </c>
      <c r="AO54" s="13">
        <v>4.7844460298748901</v>
      </c>
      <c r="AP54" s="13">
        <v>0</v>
      </c>
      <c r="AQ54" s="13">
        <v>10.9428936584999</v>
      </c>
      <c r="AR54" s="13">
        <v>2.0513652921689101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73.896786627904007</v>
      </c>
      <c r="AY54" s="13">
        <v>0</v>
      </c>
      <c r="AZ54" s="13">
        <v>0</v>
      </c>
      <c r="BA54" s="13">
        <v>7.8039222034949702</v>
      </c>
      <c r="BB54" s="13">
        <v>0</v>
      </c>
      <c r="BC54" s="13">
        <v>0</v>
      </c>
      <c r="BD54" s="13">
        <v>0</v>
      </c>
    </row>
    <row r="55" spans="1:56" ht="11.25" customHeight="1" x14ac:dyDescent="0.25">
      <c r="A55" s="94"/>
      <c r="B55" s="94"/>
      <c r="C55" s="94"/>
      <c r="D55" s="24" t="s">
        <v>92</v>
      </c>
      <c r="E55" s="24" t="s">
        <v>25</v>
      </c>
      <c r="F55" s="24" t="s">
        <v>25</v>
      </c>
      <c r="G55" s="24" t="s">
        <v>80</v>
      </c>
      <c r="H55" s="24" t="s">
        <v>74</v>
      </c>
      <c r="I55" s="24">
        <f>'MERCADO TUSD'!$U$52</f>
        <v>0</v>
      </c>
      <c r="J55" s="15"/>
      <c r="L55" s="13">
        <f>('TUSD BE'!$L$55+'TUSD BF'!$L$55+'TUSD CVA'!$L$55)*1</f>
        <v>19.153526558666677</v>
      </c>
      <c r="M55" s="13">
        <f>('TUSD BE'!$M$55+'TUSD BF'!$M$55+'TUSD CVA'!$M$55)*1</f>
        <v>0.43633778376977922</v>
      </c>
      <c r="N55" s="13">
        <f ca="1">('TUSD BE'!$N$55+'TUSD BF'!$N$55+'TUSD CVA'!$N$55)*1</f>
        <v>0</v>
      </c>
      <c r="O55" s="13">
        <f>('TUSD BE'!$O$55+'TUSD BF'!$O$55+'TUSD CVA'!$O$55)*1</f>
        <v>0</v>
      </c>
      <c r="P55" s="13">
        <f>('TUSD BE'!$P$55+'TUSD BF'!$P$55+'TUSD CVA'!$P$55)*1</f>
        <v>0</v>
      </c>
      <c r="Q55" s="13">
        <f>('TUSD BE'!$Q$55+'TUSD BF'!$Q$55+'TUSD CVA'!$Q$55)*1</f>
        <v>53.97599062075674</v>
      </c>
      <c r="R55" s="13">
        <f>('TUSD BE'!$R$55+'TUSD BF'!$R$55+'TUSD CVA'!$R$55)*1</f>
        <v>8.5301868979706388</v>
      </c>
      <c r="S55" s="13">
        <f>('TUSD BE'!$S$55+'TUSD BF'!$S$55+'TUSD CVA'!$S$55)*1</f>
        <v>0</v>
      </c>
      <c r="T55" s="13">
        <f>('TUSD BE'!$U$55+'TUSD BF'!$U$55+'TUSD CVA'!$U$55)*1</f>
        <v>17.079301989725884</v>
      </c>
      <c r="U55" s="13">
        <f>('TUSD BE'!$V$55+'TUSD BF'!$V$55+'TUSD CVA'!$V$55)*1</f>
        <v>2.4033028420734928</v>
      </c>
      <c r="V55" s="13">
        <f>('TUSD BE'!$W$55+'TUSD BF'!$W$55+'TUSD CVA'!$W$55)*1</f>
        <v>0</v>
      </c>
      <c r="W55" s="13">
        <f>('TUSD BE'!$X$55+'TUSD BF'!$X$55+'TUSD CVA'!$X$55)*1</f>
        <v>0</v>
      </c>
      <c r="X55" s="13">
        <f>('TUSD BE'!$Y$55+'TUSD BF'!$Y$55+'TUSD CVA'!$Y$55)*1</f>
        <v>0</v>
      </c>
      <c r="Y55" s="13">
        <f>('TUSD BE'!$Z$55+'TUSD BF'!$Z$55+'TUSD CVA'!$Z$55)*1</f>
        <v>0</v>
      </c>
      <c r="Z55" s="13">
        <f>('TUSD BE'!$AA$55+'TUSD BF'!$AA$55+'TUSD CVA'!$AA$55)*1</f>
        <v>0</v>
      </c>
      <c r="AA55" s="13">
        <f>('TUSD BE'!$AC$55+'TUSD BF'!$AC$55+'TUSD CVA'!$AC$55)*1</f>
        <v>97.53596026242856</v>
      </c>
      <c r="AB55" s="13">
        <f ca="1">('TUSD BE'!$AE$55+'TUSD BF'!$AE$55+'TUSD CVA'!$AE$55)*1</f>
        <v>0</v>
      </c>
      <c r="AC55" s="13">
        <f ca="1">('TUSD BE'!$AF$55+'TUSD BF'!$AF$55+'TUSD CVA'!$AF$55)*1</f>
        <v>0</v>
      </c>
      <c r="AD55" s="13">
        <f>('TUSD BE'!$AH$55+'TUSD BF'!$AH$55+'TUSD CVA'!$AH$55)*1</f>
        <v>7.174209173212148</v>
      </c>
      <c r="AE55" s="13">
        <f>('TUSD BE'!$AI$55+'TUSD BF'!$AI$55+'TUSD CVA'!$AI$55)*1</f>
        <v>0</v>
      </c>
      <c r="AF55" s="13">
        <f ca="1">('TUSD BE'!$AJ$55+'TUSD BF'!$AJ$55+'TUSD CVA'!$AJ$55)*1</f>
        <v>0</v>
      </c>
      <c r="AG55" s="13">
        <f ca="1">('TUSD BE'!$AK$55+'TUSD BF'!$AK$55+'TUSD CVA'!$AK$55)*1</f>
        <v>0</v>
      </c>
      <c r="AI55" s="13">
        <v>19.199108908642401</v>
      </c>
      <c r="AJ55" s="13">
        <v>0.45574712353839902</v>
      </c>
      <c r="AK55" s="13">
        <v>0</v>
      </c>
      <c r="AL55" s="13">
        <v>0</v>
      </c>
      <c r="AM55" s="13">
        <v>0</v>
      </c>
      <c r="AN55" s="13">
        <v>33.255331107607098</v>
      </c>
      <c r="AO55" s="13">
        <v>5.2193956689544203</v>
      </c>
      <c r="AP55" s="13">
        <v>0</v>
      </c>
      <c r="AQ55" s="13">
        <v>11.937702172908899</v>
      </c>
      <c r="AR55" s="13">
        <v>2.2378530460024399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80.614676321349805</v>
      </c>
      <c r="AY55" s="13">
        <v>0</v>
      </c>
      <c r="AZ55" s="13">
        <v>0</v>
      </c>
      <c r="BA55" s="13">
        <v>8.5133696765399591</v>
      </c>
      <c r="BB55" s="13">
        <v>0</v>
      </c>
      <c r="BC55" s="13">
        <v>0</v>
      </c>
      <c r="BD55" s="13">
        <v>0</v>
      </c>
    </row>
    <row r="57" spans="1:56" ht="11.25" customHeight="1" x14ac:dyDescent="0.25">
      <c r="L57" s="92" t="s">
        <v>749</v>
      </c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I57" s="92" t="s">
        <v>750</v>
      </c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</row>
    <row r="58" spans="1:56" ht="11.25" customHeight="1" x14ac:dyDescent="0.25">
      <c r="L58" s="92" t="s">
        <v>448</v>
      </c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I58" s="92" t="s">
        <v>448</v>
      </c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</row>
    <row r="59" spans="1:56" ht="11.25" customHeight="1" x14ac:dyDescent="0.25">
      <c r="L59" s="92" t="s">
        <v>449</v>
      </c>
      <c r="M59" s="92"/>
      <c r="N59" s="92"/>
      <c r="O59" s="92"/>
      <c r="P59" s="92"/>
      <c r="Q59" s="92"/>
      <c r="R59" s="92"/>
      <c r="S59" s="92"/>
      <c r="T59" s="92" t="s">
        <v>458</v>
      </c>
      <c r="U59" s="92"/>
      <c r="V59" s="92"/>
      <c r="W59" s="92"/>
      <c r="X59" s="92"/>
      <c r="Y59" s="92"/>
      <c r="Z59" s="92"/>
      <c r="AA59" s="10" t="s">
        <v>466</v>
      </c>
      <c r="AB59" s="92" t="s">
        <v>468</v>
      </c>
      <c r="AC59" s="92"/>
      <c r="AD59" s="92" t="s">
        <v>471</v>
      </c>
      <c r="AE59" s="92"/>
      <c r="AF59" s="92"/>
      <c r="AG59" s="92"/>
      <c r="AI59" s="92" t="s">
        <v>449</v>
      </c>
      <c r="AJ59" s="92"/>
      <c r="AK59" s="92"/>
      <c r="AL59" s="92"/>
      <c r="AM59" s="92"/>
      <c r="AN59" s="92"/>
      <c r="AO59" s="92"/>
      <c r="AP59" s="92"/>
      <c r="AQ59" s="92" t="s">
        <v>458</v>
      </c>
      <c r="AR59" s="92"/>
      <c r="AS59" s="92"/>
      <c r="AT59" s="92"/>
      <c r="AU59" s="92"/>
      <c r="AV59" s="92"/>
      <c r="AW59" s="92"/>
      <c r="AX59" s="10" t="s">
        <v>466</v>
      </c>
      <c r="AY59" s="92" t="s">
        <v>468</v>
      </c>
      <c r="AZ59" s="92"/>
      <c r="BA59" s="92" t="s">
        <v>471</v>
      </c>
      <c r="BB59" s="92"/>
      <c r="BC59" s="92"/>
      <c r="BD59" s="92"/>
    </row>
    <row r="60" spans="1:56" ht="11.25" customHeight="1" x14ac:dyDescent="0.25">
      <c r="L60" s="10" t="s">
        <v>534</v>
      </c>
      <c r="M60" s="10" t="s">
        <v>450</v>
      </c>
      <c r="N60" s="10" t="s">
        <v>451</v>
      </c>
      <c r="O60" s="10" t="s">
        <v>452</v>
      </c>
      <c r="P60" s="10" t="s">
        <v>453</v>
      </c>
      <c r="Q60" s="10" t="s">
        <v>454</v>
      </c>
      <c r="R60" s="10" t="s">
        <v>455</v>
      </c>
      <c r="S60" s="10" t="s">
        <v>456</v>
      </c>
      <c r="T60" s="10" t="s">
        <v>459</v>
      </c>
      <c r="U60" s="10" t="s">
        <v>460</v>
      </c>
      <c r="V60" s="10" t="s">
        <v>461</v>
      </c>
      <c r="W60" s="10" t="s">
        <v>462</v>
      </c>
      <c r="X60" s="10" t="s">
        <v>463</v>
      </c>
      <c r="Y60" s="10" t="s">
        <v>464</v>
      </c>
      <c r="Z60" s="10" t="s">
        <v>465</v>
      </c>
      <c r="AA60" s="10" t="s">
        <v>467</v>
      </c>
      <c r="AB60" s="10" t="s">
        <v>469</v>
      </c>
      <c r="AC60" s="10" t="s">
        <v>470</v>
      </c>
      <c r="AD60" s="10" t="s">
        <v>472</v>
      </c>
      <c r="AE60" s="10" t="s">
        <v>473</v>
      </c>
      <c r="AF60" s="10" t="s">
        <v>474</v>
      </c>
      <c r="AG60" s="10" t="s">
        <v>475</v>
      </c>
      <c r="AI60" s="10" t="s">
        <v>534</v>
      </c>
      <c r="AJ60" s="10" t="s">
        <v>450</v>
      </c>
      <c r="AK60" s="10" t="s">
        <v>451</v>
      </c>
      <c r="AL60" s="10" t="s">
        <v>452</v>
      </c>
      <c r="AM60" s="10" t="s">
        <v>453</v>
      </c>
      <c r="AN60" s="10" t="s">
        <v>454</v>
      </c>
      <c r="AO60" s="10" t="s">
        <v>455</v>
      </c>
      <c r="AP60" s="10" t="s">
        <v>456</v>
      </c>
      <c r="AQ60" s="10" t="s">
        <v>459</v>
      </c>
      <c r="AR60" s="10" t="s">
        <v>460</v>
      </c>
      <c r="AS60" s="10" t="s">
        <v>461</v>
      </c>
      <c r="AT60" s="10" t="s">
        <v>462</v>
      </c>
      <c r="AU60" s="10" t="s">
        <v>463</v>
      </c>
      <c r="AV60" s="10" t="s">
        <v>464</v>
      </c>
      <c r="AW60" s="10" t="s">
        <v>465</v>
      </c>
      <c r="AX60" s="10" t="s">
        <v>467</v>
      </c>
      <c r="AY60" s="10" t="s">
        <v>469</v>
      </c>
      <c r="AZ60" s="10" t="s">
        <v>470</v>
      </c>
      <c r="BA60" s="10" t="s">
        <v>472</v>
      </c>
      <c r="BB60" s="10" t="s">
        <v>473</v>
      </c>
      <c r="BC60" s="10" t="s">
        <v>474</v>
      </c>
      <c r="BD60" s="10" t="s">
        <v>475</v>
      </c>
    </row>
    <row r="61" spans="1:56" ht="11.25" customHeight="1" x14ac:dyDescent="0.25">
      <c r="A61" s="9" t="s">
        <v>35</v>
      </c>
      <c r="B61" s="9" t="s">
        <v>751</v>
      </c>
      <c r="C61" s="9" t="s">
        <v>752</v>
      </c>
      <c r="D61" s="9" t="s">
        <v>753</v>
      </c>
      <c r="E61" s="9" t="s">
        <v>754</v>
      </c>
      <c r="F61" s="9" t="s">
        <v>755</v>
      </c>
      <c r="G61" s="9" t="s">
        <v>756</v>
      </c>
      <c r="L61" s="13">
        <f>$I$5*$L$5</f>
        <v>0</v>
      </c>
      <c r="M61" s="13">
        <f>$I$5*$M$5</f>
        <v>0</v>
      </c>
      <c r="N61" s="13">
        <f ca="1">$I$5*$N$5</f>
        <v>0</v>
      </c>
      <c r="O61" s="13">
        <f>$I$5*$O$5</f>
        <v>0</v>
      </c>
      <c r="P61" s="13">
        <f>$I$5*$P$5</f>
        <v>0</v>
      </c>
      <c r="Q61" s="13">
        <f>$I$5*$Q$5</f>
        <v>0</v>
      </c>
      <c r="R61" s="13">
        <f>$I$5*$R$5</f>
        <v>0</v>
      </c>
      <c r="S61" s="13">
        <f>$I$5*$S$5</f>
        <v>0</v>
      </c>
      <c r="T61" s="13">
        <f>$I$5*$T$5</f>
        <v>208468.10185996228</v>
      </c>
      <c r="U61" s="13">
        <f>$I$5*$U$5</f>
        <v>27760.338754071989</v>
      </c>
      <c r="V61" s="13">
        <f>$I$5*$V$5</f>
        <v>0</v>
      </c>
      <c r="W61" s="13">
        <f>$I$5*$W$5</f>
        <v>0</v>
      </c>
      <c r="X61" s="13">
        <f>$I$5*$X$5</f>
        <v>0</v>
      </c>
      <c r="Y61" s="13">
        <f>$I$5*$Y$5</f>
        <v>0</v>
      </c>
      <c r="Z61" s="13">
        <f>$I$5*$Z$5</f>
        <v>0</v>
      </c>
      <c r="AA61" s="13">
        <f>$I$5*$AA$5</f>
        <v>562300.29058519145</v>
      </c>
      <c r="AB61" s="13">
        <f ca="1">$I$5*$AB$5</f>
        <v>0</v>
      </c>
      <c r="AC61" s="13">
        <f ca="1">$I$5*$AC$5</f>
        <v>0</v>
      </c>
      <c r="AD61" s="13">
        <f>$I$5*$AD$5</f>
        <v>0</v>
      </c>
      <c r="AE61" s="13">
        <f>$I$5*$AE$5</f>
        <v>0</v>
      </c>
      <c r="AF61" s="13">
        <f ca="1">$I$5*$AF$5</f>
        <v>0</v>
      </c>
      <c r="AG61" s="13">
        <f ca="1">$I$5*$AG$5</f>
        <v>0</v>
      </c>
      <c r="AI61" s="13">
        <f>$I$5*$AI$5</f>
        <v>0</v>
      </c>
      <c r="AJ61" s="13">
        <f>$I$5*$AJ$5</f>
        <v>0</v>
      </c>
      <c r="AK61" s="13">
        <f>$I$5*$AK$5</f>
        <v>0</v>
      </c>
      <c r="AL61" s="13">
        <f>$I$5*$AL$5</f>
        <v>0</v>
      </c>
      <c r="AM61" s="13">
        <f>$I$5*$AM$5</f>
        <v>0</v>
      </c>
      <c r="AN61" s="13">
        <f>$I$5*$AN$5</f>
        <v>0</v>
      </c>
      <c r="AO61" s="13">
        <f>$I$5*$AO$5</f>
        <v>0</v>
      </c>
      <c r="AP61" s="13">
        <f>$I$5*$AP$5</f>
        <v>0</v>
      </c>
      <c r="AQ61" s="13">
        <f>$I$5*$AQ$5</f>
        <v>145711.21291896334</v>
      </c>
      <c r="AR61" s="13">
        <f>$I$5*$AR$5</f>
        <v>25848.181046508278</v>
      </c>
      <c r="AS61" s="13">
        <f>$I$5*$AS$5</f>
        <v>0</v>
      </c>
      <c r="AT61" s="13">
        <f>$I$5*$AT$5</f>
        <v>0</v>
      </c>
      <c r="AU61" s="13">
        <f>$I$5*$AU$5</f>
        <v>0</v>
      </c>
      <c r="AV61" s="13">
        <f>$I$5*$AV$5</f>
        <v>0</v>
      </c>
      <c r="AW61" s="13">
        <f>$I$5*$AW$5</f>
        <v>0</v>
      </c>
      <c r="AX61" s="13">
        <f>$I$5*$AX$5</f>
        <v>464747.48417618318</v>
      </c>
      <c r="AY61" s="13">
        <f>$I$5*$AY$5</f>
        <v>0</v>
      </c>
      <c r="AZ61" s="13">
        <f>$I$5*$AZ$5</f>
        <v>0</v>
      </c>
      <c r="BA61" s="13">
        <f>$I$5*$BA$5</f>
        <v>0</v>
      </c>
      <c r="BB61" s="13">
        <f>$I$5*$BB$5</f>
        <v>0</v>
      </c>
      <c r="BC61" s="13">
        <f>$I$5*$BC$5</f>
        <v>0</v>
      </c>
      <c r="BD61" s="13">
        <f>$I$5*$BD$5</f>
        <v>0</v>
      </c>
    </row>
    <row r="62" spans="1:56" ht="11.25" customHeight="1" x14ac:dyDescent="0.25">
      <c r="A62" s="9" t="s">
        <v>35</v>
      </c>
      <c r="B62" s="9" t="s">
        <v>751</v>
      </c>
      <c r="C62" s="9" t="s">
        <v>752</v>
      </c>
      <c r="D62" s="9" t="s">
        <v>753</v>
      </c>
      <c r="E62" s="9" t="s">
        <v>754</v>
      </c>
      <c r="F62" s="9" t="s">
        <v>755</v>
      </c>
      <c r="G62" s="9" t="s">
        <v>757</v>
      </c>
      <c r="L62" s="13">
        <f>$I$6*$L$6</f>
        <v>0</v>
      </c>
      <c r="M62" s="13">
        <f>$I$6*$M$6</f>
        <v>0</v>
      </c>
      <c r="N62" s="13">
        <f ca="1">$I$6*$N$6</f>
        <v>0</v>
      </c>
      <c r="O62" s="13">
        <f>$I$6*$O$6</f>
        <v>0</v>
      </c>
      <c r="P62" s="13">
        <f>$I$6*$P$6</f>
        <v>0</v>
      </c>
      <c r="Q62" s="13">
        <f>$I$6*$Q$6</f>
        <v>0</v>
      </c>
      <c r="R62" s="13">
        <f>$I$6*$R$6</f>
        <v>0</v>
      </c>
      <c r="S62" s="13">
        <f>$I$6*$S$6</f>
        <v>0</v>
      </c>
      <c r="T62" s="13">
        <f>$I$6*$T$6</f>
        <v>193038.16383050915</v>
      </c>
      <c r="U62" s="13">
        <f>$I$6*$U$6</f>
        <v>25318.133541957475</v>
      </c>
      <c r="V62" s="13">
        <f>$I$6*$V$6</f>
        <v>0</v>
      </c>
      <c r="W62" s="13">
        <f>$I$6*$W$6</f>
        <v>0</v>
      </c>
      <c r="X62" s="13">
        <f>$I$6*$X$6</f>
        <v>0</v>
      </c>
      <c r="Y62" s="13">
        <f>$I$6*$Y$6</f>
        <v>0</v>
      </c>
      <c r="Z62" s="13">
        <f>$I$6*$Z$6</f>
        <v>0</v>
      </c>
      <c r="AA62" s="13">
        <f>$I$6*$AA$6</f>
        <v>121572.025656118</v>
      </c>
      <c r="AB62" s="13">
        <f ca="1">$I$6*$AB$6</f>
        <v>0</v>
      </c>
      <c r="AC62" s="13">
        <f ca="1">$I$6*$AC$6</f>
        <v>0</v>
      </c>
      <c r="AD62" s="13">
        <f>$I$6*$AD$6</f>
        <v>0</v>
      </c>
      <c r="AE62" s="13">
        <f>$I$6*$AE$6</f>
        <v>0</v>
      </c>
      <c r="AF62" s="13">
        <f ca="1">$I$6*$AF$6</f>
        <v>0</v>
      </c>
      <c r="AG62" s="13">
        <f ca="1">$I$6*$AG$6</f>
        <v>0</v>
      </c>
      <c r="AI62" s="13">
        <f>$I$6*$AI$6</f>
        <v>0</v>
      </c>
      <c r="AJ62" s="13">
        <f>$I$6*$AJ$6</f>
        <v>0</v>
      </c>
      <c r="AK62" s="13">
        <f>$I$6*$AK$6</f>
        <v>0</v>
      </c>
      <c r="AL62" s="13">
        <f>$I$6*$AL$6</f>
        <v>0</v>
      </c>
      <c r="AM62" s="13">
        <f>$I$6*$AM$6</f>
        <v>0</v>
      </c>
      <c r="AN62" s="13">
        <f>$I$6*$AN$6</f>
        <v>0</v>
      </c>
      <c r="AO62" s="13">
        <f>$I$6*$AO$6</f>
        <v>0</v>
      </c>
      <c r="AP62" s="13">
        <f>$I$6*$AP$6</f>
        <v>0</v>
      </c>
      <c r="AQ62" s="13">
        <f>$I$6*$AQ$6</f>
        <v>134926.60643093783</v>
      </c>
      <c r="AR62" s="13">
        <f>$I$6*$AR$6</f>
        <v>23576.408708927007</v>
      </c>
      <c r="AS62" s="13">
        <f>$I$6*$AS$6</f>
        <v>0</v>
      </c>
      <c r="AT62" s="13">
        <f>$I$6*$AT$6</f>
        <v>0</v>
      </c>
      <c r="AU62" s="13">
        <f>$I$6*$AU$6</f>
        <v>0</v>
      </c>
      <c r="AV62" s="13">
        <f>$I$6*$AV$6</f>
        <v>0</v>
      </c>
      <c r="AW62" s="13">
        <f>$I$6*$AW$6</f>
        <v>0</v>
      </c>
      <c r="AX62" s="13">
        <f>$I$6*$AX$6</f>
        <v>100481.15939551816</v>
      </c>
      <c r="AY62" s="13">
        <f>$I$6*$AY$6</f>
        <v>0</v>
      </c>
      <c r="AZ62" s="13">
        <f>$I$6*$AZ$6</f>
        <v>0</v>
      </c>
      <c r="BA62" s="13">
        <f>$I$6*$BA$6</f>
        <v>0</v>
      </c>
      <c r="BB62" s="13">
        <f>$I$6*$BB$6</f>
        <v>0</v>
      </c>
      <c r="BC62" s="13">
        <f>$I$6*$BC$6</f>
        <v>0</v>
      </c>
      <c r="BD62" s="13">
        <f>$I$6*$BD$6</f>
        <v>0</v>
      </c>
    </row>
    <row r="63" spans="1:56" ht="11.25" customHeight="1" x14ac:dyDescent="0.25">
      <c r="A63" s="9" t="s">
        <v>35</v>
      </c>
      <c r="B63" s="9" t="s">
        <v>751</v>
      </c>
      <c r="C63" s="9" t="s">
        <v>752</v>
      </c>
      <c r="D63" s="9" t="s">
        <v>753</v>
      </c>
      <c r="E63" s="9" t="s">
        <v>754</v>
      </c>
      <c r="F63" s="9" t="s">
        <v>755</v>
      </c>
      <c r="G63" s="9" t="s">
        <v>758</v>
      </c>
      <c r="L63" s="13">
        <f>$I$7*$L$7</f>
        <v>264408.58720918599</v>
      </c>
      <c r="M63" s="13">
        <f>$I$7*$M$7</f>
        <v>3059.3810545617935</v>
      </c>
      <c r="N63" s="13">
        <f ca="1">$I$7*$N$7</f>
        <v>0</v>
      </c>
      <c r="O63" s="13">
        <f>$I$7*$O$7</f>
        <v>0</v>
      </c>
      <c r="P63" s="13">
        <f>$I$7*$P$7</f>
        <v>0</v>
      </c>
      <c r="Q63" s="13">
        <f>$I$7*$Q$7</f>
        <v>745122.07344880991</v>
      </c>
      <c r="R63" s="13">
        <f>$I$7*$R$7</f>
        <v>189930.04216897464</v>
      </c>
      <c r="S63" s="13">
        <f>$I$7*$S$7</f>
        <v>0</v>
      </c>
      <c r="T63" s="13">
        <f>$I$7*$T$7</f>
        <v>0</v>
      </c>
      <c r="U63" s="13">
        <f>$I$7*$U$7</f>
        <v>0</v>
      </c>
      <c r="V63" s="13">
        <f>$I$7*$V$7</f>
        <v>0</v>
      </c>
      <c r="W63" s="13">
        <f>$I$7*$W$7</f>
        <v>0</v>
      </c>
      <c r="X63" s="13">
        <f>$I$7*$X$7</f>
        <v>0</v>
      </c>
      <c r="Y63" s="13">
        <f>$I$7*$Y$7</f>
        <v>0</v>
      </c>
      <c r="Z63" s="13">
        <f>$I$7*$Z$7</f>
        <v>0</v>
      </c>
      <c r="AA63" s="13">
        <f>$I$7*$AA$7</f>
        <v>0</v>
      </c>
      <c r="AB63" s="13">
        <f ca="1">$I$7*$AB$7</f>
        <v>0</v>
      </c>
      <c r="AC63" s="13">
        <f ca="1">$I$7*$AC$7</f>
        <v>0</v>
      </c>
      <c r="AD63" s="13">
        <f>$I$7*$AD$7</f>
        <v>34934.666928233855</v>
      </c>
      <c r="AE63" s="13">
        <f>$I$7*$AE$7</f>
        <v>0</v>
      </c>
      <c r="AF63" s="13">
        <f ca="1">$I$7*$AF$7</f>
        <v>0</v>
      </c>
      <c r="AG63" s="13">
        <f ca="1">$I$7*$AG$7</f>
        <v>0</v>
      </c>
      <c r="AI63" s="13">
        <f>$I$7*$AI$7</f>
        <v>286411.85680000967</v>
      </c>
      <c r="AJ63" s="13">
        <f>$I$7*$AJ$7</f>
        <v>2886.6764134495443</v>
      </c>
      <c r="AK63" s="13">
        <f>$I$7*$AK$7</f>
        <v>0</v>
      </c>
      <c r="AL63" s="13">
        <f>$I$7*$AL$7</f>
        <v>0</v>
      </c>
      <c r="AM63" s="13">
        <f>$I$7*$AM$7</f>
        <v>0</v>
      </c>
      <c r="AN63" s="13">
        <f>$I$7*$AN$7</f>
        <v>496102.25018002343</v>
      </c>
      <c r="AO63" s="13">
        <f>$I$7*$AO$7</f>
        <v>116213.16758451273</v>
      </c>
      <c r="AP63" s="13">
        <f>$I$7*$AP$7</f>
        <v>0</v>
      </c>
      <c r="AQ63" s="13">
        <f>$I$7*$AQ$7</f>
        <v>0</v>
      </c>
      <c r="AR63" s="13">
        <f>$I$7*$AR$7</f>
        <v>0</v>
      </c>
      <c r="AS63" s="13">
        <f>$I$7*$AS$7</f>
        <v>0</v>
      </c>
      <c r="AT63" s="13">
        <f>$I$7*$AT$7</f>
        <v>0</v>
      </c>
      <c r="AU63" s="13">
        <f>$I$7*$AU$7</f>
        <v>0</v>
      </c>
      <c r="AV63" s="13">
        <f>$I$7*$AV$7</f>
        <v>0</v>
      </c>
      <c r="AW63" s="13">
        <f>$I$7*$AW$7</f>
        <v>0</v>
      </c>
      <c r="AX63" s="13">
        <f>$I$7*$AX$7</f>
        <v>0</v>
      </c>
      <c r="AY63" s="13">
        <f>$I$7*$AY$7</f>
        <v>0</v>
      </c>
      <c r="AZ63" s="13">
        <f>$I$7*$AZ$7</f>
        <v>0</v>
      </c>
      <c r="BA63" s="13">
        <f>$I$7*$BA$7</f>
        <v>41455.503580163218</v>
      </c>
      <c r="BB63" s="13">
        <f>$I$7*$BB$7</f>
        <v>0</v>
      </c>
      <c r="BC63" s="13">
        <f>$I$7*$BC$7</f>
        <v>0</v>
      </c>
      <c r="BD63" s="13">
        <f>$I$7*$BD$7</f>
        <v>0</v>
      </c>
    </row>
    <row r="64" spans="1:56" ht="11.25" customHeight="1" x14ac:dyDescent="0.25">
      <c r="A64" s="9" t="s">
        <v>35</v>
      </c>
      <c r="B64" s="9" t="s">
        <v>751</v>
      </c>
      <c r="C64" s="9" t="s">
        <v>752</v>
      </c>
      <c r="D64" s="9" t="s">
        <v>753</v>
      </c>
      <c r="E64" s="9" t="s">
        <v>759</v>
      </c>
      <c r="F64" s="9" t="s">
        <v>760</v>
      </c>
      <c r="G64" s="9" t="s">
        <v>761</v>
      </c>
      <c r="L64" s="13">
        <f>$I$8*$L$8</f>
        <v>0</v>
      </c>
      <c r="M64" s="13">
        <f>$I$8*$M$8</f>
        <v>0</v>
      </c>
      <c r="N64" s="13">
        <f ca="1">$I$8*$N$8</f>
        <v>0</v>
      </c>
      <c r="O64" s="13">
        <f>$I$8*$O$8</f>
        <v>0</v>
      </c>
      <c r="P64" s="13">
        <f>$I$8*$P$8</f>
        <v>0</v>
      </c>
      <c r="Q64" s="13">
        <f>$I$8*$Q$8</f>
        <v>0</v>
      </c>
      <c r="R64" s="13">
        <f>$I$8*$R$8</f>
        <v>0</v>
      </c>
      <c r="S64" s="13">
        <f>$I$8*$S$8</f>
        <v>0</v>
      </c>
      <c r="T64" s="13">
        <f>$I$8*$T$8</f>
        <v>0</v>
      </c>
      <c r="U64" s="13">
        <f>$I$8*$U$8</f>
        <v>0</v>
      </c>
      <c r="V64" s="13">
        <f>$I$8*$V$8</f>
        <v>0</v>
      </c>
      <c r="W64" s="13">
        <f>$I$8*$W$8</f>
        <v>0</v>
      </c>
      <c r="X64" s="13">
        <f>$I$8*$X$8</f>
        <v>0</v>
      </c>
      <c r="Y64" s="13">
        <f>$I$8*$Y$8</f>
        <v>0</v>
      </c>
      <c r="Z64" s="13">
        <f>$I$8*$Z$8</f>
        <v>0</v>
      </c>
      <c r="AA64" s="13">
        <f>$I$8*$AA$8</f>
        <v>0</v>
      </c>
      <c r="AB64" s="13">
        <f ca="1">$I$8*$AB$8</f>
        <v>0</v>
      </c>
      <c r="AC64" s="13">
        <f ca="1">$I$8*$AC$8</f>
        <v>0</v>
      </c>
      <c r="AD64" s="13">
        <f>$I$8*$AD$8</f>
        <v>0</v>
      </c>
      <c r="AE64" s="13">
        <f>$I$8*$AE$8</f>
        <v>0</v>
      </c>
      <c r="AF64" s="13">
        <f ca="1">$I$8*$AF$8</f>
        <v>0</v>
      </c>
      <c r="AG64" s="13">
        <f ca="1">$I$8*$AG$8</f>
        <v>0</v>
      </c>
      <c r="AI64" s="13">
        <f>$I$8*$AI$8</f>
        <v>0</v>
      </c>
      <c r="AJ64" s="13">
        <f>$I$8*$AJ$8</f>
        <v>0</v>
      </c>
      <c r="AK64" s="13">
        <f>$I$8*$AK$8</f>
        <v>0</v>
      </c>
      <c r="AL64" s="13">
        <f>$I$8*$AL$8</f>
        <v>0</v>
      </c>
      <c r="AM64" s="13">
        <f>$I$8*$AM$8</f>
        <v>0</v>
      </c>
      <c r="AN64" s="13">
        <f>$I$8*$AN$8</f>
        <v>0</v>
      </c>
      <c r="AO64" s="13">
        <f>$I$8*$AO$8</f>
        <v>0</v>
      </c>
      <c r="AP64" s="13">
        <f>$I$8*$AP$8</f>
        <v>0</v>
      </c>
      <c r="AQ64" s="13">
        <f>$I$8*$AQ$8</f>
        <v>0</v>
      </c>
      <c r="AR64" s="13">
        <f>$I$8*$AR$8</f>
        <v>0</v>
      </c>
      <c r="AS64" s="13">
        <f>$I$8*$AS$8</f>
        <v>0</v>
      </c>
      <c r="AT64" s="13">
        <f>$I$8*$AT$8</f>
        <v>0</v>
      </c>
      <c r="AU64" s="13">
        <f>$I$8*$AU$8</f>
        <v>0</v>
      </c>
      <c r="AV64" s="13">
        <f>$I$8*$AV$8</f>
        <v>0</v>
      </c>
      <c r="AW64" s="13">
        <f>$I$8*$AW$8</f>
        <v>0</v>
      </c>
      <c r="AX64" s="13">
        <f>$I$8*$AX$8</f>
        <v>0</v>
      </c>
      <c r="AY64" s="13">
        <f>$I$8*$AY$8</f>
        <v>0</v>
      </c>
      <c r="AZ64" s="13">
        <f>$I$8*$AZ$8</f>
        <v>0</v>
      </c>
      <c r="BA64" s="13">
        <f>$I$8*$BA$8</f>
        <v>0</v>
      </c>
      <c r="BB64" s="13">
        <f>$I$8*$BB$8</f>
        <v>0</v>
      </c>
      <c r="BC64" s="13">
        <f>$I$8*$BC$8</f>
        <v>0</v>
      </c>
      <c r="BD64" s="13">
        <f>$I$8*$BD$8</f>
        <v>0</v>
      </c>
    </row>
    <row r="65" spans="1:56" ht="11.25" customHeight="1" x14ac:dyDescent="0.25">
      <c r="A65" s="9" t="s">
        <v>39</v>
      </c>
      <c r="B65" s="9" t="s">
        <v>762</v>
      </c>
      <c r="C65" s="9" t="s">
        <v>763</v>
      </c>
      <c r="D65" s="9" t="s">
        <v>764</v>
      </c>
      <c r="E65" s="9" t="s">
        <v>765</v>
      </c>
      <c r="F65" s="9" t="s">
        <v>766</v>
      </c>
      <c r="G65" s="9" t="s">
        <v>767</v>
      </c>
      <c r="L65" s="13">
        <f>$I$9*$L$9</f>
        <v>0</v>
      </c>
      <c r="M65" s="13">
        <f>$I$9*$M$9</f>
        <v>0</v>
      </c>
      <c r="N65" s="13">
        <f ca="1">$I$9*$N$9</f>
        <v>0</v>
      </c>
      <c r="O65" s="13">
        <f>$I$9*$O$9</f>
        <v>0</v>
      </c>
      <c r="P65" s="13">
        <f>$I$9*$P$9</f>
        <v>0</v>
      </c>
      <c r="Q65" s="13">
        <f>$I$9*$Q$9</f>
        <v>0</v>
      </c>
      <c r="R65" s="13">
        <f>$I$9*$R$9</f>
        <v>0</v>
      </c>
      <c r="S65" s="13">
        <f>$I$9*$S$9</f>
        <v>0</v>
      </c>
      <c r="T65" s="13">
        <f>$I$9*$T$9</f>
        <v>552072.62455977767</v>
      </c>
      <c r="U65" s="13">
        <f>$I$9*$U$9</f>
        <v>77896.642677715077</v>
      </c>
      <c r="V65" s="13">
        <f>$I$9*$V$9</f>
        <v>0</v>
      </c>
      <c r="W65" s="13">
        <f>$I$9*$W$9</f>
        <v>0</v>
      </c>
      <c r="X65" s="13">
        <f>$I$9*$X$9</f>
        <v>0</v>
      </c>
      <c r="Y65" s="13">
        <f>$I$9*$Y$9</f>
        <v>0</v>
      </c>
      <c r="Z65" s="13">
        <f>$I$9*$Z$9</f>
        <v>0</v>
      </c>
      <c r="AA65" s="13">
        <f>$I$9*$AA$9</f>
        <v>3057456.273396547</v>
      </c>
      <c r="AB65" s="13">
        <f ca="1">$I$9*$AB$9</f>
        <v>0</v>
      </c>
      <c r="AC65" s="13">
        <f ca="1">$I$9*$AC$9</f>
        <v>0</v>
      </c>
      <c r="AD65" s="13">
        <f>$I$9*$AD$9</f>
        <v>0</v>
      </c>
      <c r="AE65" s="13">
        <f>$I$9*$AE$9</f>
        <v>0</v>
      </c>
      <c r="AF65" s="13">
        <f ca="1">$I$9*$AF$9</f>
        <v>0</v>
      </c>
      <c r="AG65" s="13">
        <f ca="1">$I$9*$AG$9</f>
        <v>0</v>
      </c>
      <c r="AI65" s="13">
        <f>$I$9*$AI$9</f>
        <v>0</v>
      </c>
      <c r="AJ65" s="13">
        <f>$I$9*$AJ$9</f>
        <v>0</v>
      </c>
      <c r="AK65" s="13">
        <f>$I$9*$AK$9</f>
        <v>0</v>
      </c>
      <c r="AL65" s="13">
        <f>$I$9*$AL$9</f>
        <v>0</v>
      </c>
      <c r="AM65" s="13">
        <f>$I$9*$AM$9</f>
        <v>0</v>
      </c>
      <c r="AN65" s="13">
        <f>$I$9*$AN$9</f>
        <v>0</v>
      </c>
      <c r="AO65" s="13">
        <f>$I$9*$AO$9</f>
        <v>0</v>
      </c>
      <c r="AP65" s="13">
        <f>$I$9*$AP$9</f>
        <v>0</v>
      </c>
      <c r="AQ65" s="13">
        <f>$I$9*$AQ$9</f>
        <v>385873.09182545153</v>
      </c>
      <c r="AR65" s="13">
        <f>$I$9*$AR$9</f>
        <v>72536.097590330668</v>
      </c>
      <c r="AS65" s="13">
        <f>$I$9*$AS$9</f>
        <v>0</v>
      </c>
      <c r="AT65" s="13">
        <f>$I$9*$AT$9</f>
        <v>0</v>
      </c>
      <c r="AU65" s="13">
        <f>$I$9*$AU$9</f>
        <v>0</v>
      </c>
      <c r="AV65" s="13">
        <f>$I$9*$AV$9</f>
        <v>0</v>
      </c>
      <c r="AW65" s="13">
        <f>$I$9*$AW$9</f>
        <v>0</v>
      </c>
      <c r="AX65" s="13">
        <f>$I$9*$AX$9</f>
        <v>2527027.9267002959</v>
      </c>
      <c r="AY65" s="13">
        <f>$I$9*$AY$9</f>
        <v>0</v>
      </c>
      <c r="AZ65" s="13">
        <f>$I$9*$AZ$9</f>
        <v>0</v>
      </c>
      <c r="BA65" s="13">
        <f>$I$9*$BA$9</f>
        <v>0</v>
      </c>
      <c r="BB65" s="13">
        <f>$I$9*$BB$9</f>
        <v>0</v>
      </c>
      <c r="BC65" s="13">
        <f>$I$9*$BC$9</f>
        <v>0</v>
      </c>
      <c r="BD65" s="13">
        <f>$I$9*$BD$9</f>
        <v>0</v>
      </c>
    </row>
    <row r="66" spans="1:56" ht="11.25" customHeight="1" x14ac:dyDescent="0.25">
      <c r="A66" s="9" t="s">
        <v>39</v>
      </c>
      <c r="B66" s="9" t="s">
        <v>762</v>
      </c>
      <c r="C66" s="9" t="s">
        <v>763</v>
      </c>
      <c r="D66" s="9" t="s">
        <v>764</v>
      </c>
      <c r="E66" s="9" t="s">
        <v>765</v>
      </c>
      <c r="F66" s="9" t="s">
        <v>766</v>
      </c>
      <c r="G66" s="9" t="s">
        <v>768</v>
      </c>
      <c r="L66" s="13">
        <f>$I$10*$L$10</f>
        <v>0</v>
      </c>
      <c r="M66" s="13">
        <f>$I$10*$M$10</f>
        <v>0</v>
      </c>
      <c r="N66" s="13">
        <f ca="1">$I$10*$N$10</f>
        <v>0</v>
      </c>
      <c r="O66" s="13">
        <f>$I$10*$O$10</f>
        <v>0</v>
      </c>
      <c r="P66" s="13">
        <f>$I$10*$P$10</f>
        <v>0</v>
      </c>
      <c r="Q66" s="13">
        <f>$I$10*$Q$10</f>
        <v>0</v>
      </c>
      <c r="R66" s="13">
        <f>$I$10*$R$10</f>
        <v>0</v>
      </c>
      <c r="S66" s="13">
        <f>$I$10*$S$10</f>
        <v>0</v>
      </c>
      <c r="T66" s="13">
        <f>$I$10*$T$10</f>
        <v>525971.97061736637</v>
      </c>
      <c r="U66" s="13">
        <f>$I$10*$U$10</f>
        <v>73648.216178121758</v>
      </c>
      <c r="V66" s="13">
        <f>$I$10*$V$10</f>
        <v>0</v>
      </c>
      <c r="W66" s="13">
        <f>$I$10*$W$10</f>
        <v>0</v>
      </c>
      <c r="X66" s="13">
        <f>$I$10*$X$10</f>
        <v>0</v>
      </c>
      <c r="Y66" s="13">
        <f>$I$10*$Y$10</f>
        <v>0</v>
      </c>
      <c r="Z66" s="13">
        <f>$I$10*$Z$10</f>
        <v>0</v>
      </c>
      <c r="AA66" s="13">
        <f>$I$10*$AA$10</f>
        <v>877568.93789634539</v>
      </c>
      <c r="AB66" s="13">
        <f ca="1">$I$10*$AB$10</f>
        <v>0</v>
      </c>
      <c r="AC66" s="13">
        <f ca="1">$I$10*$AC$10</f>
        <v>0</v>
      </c>
      <c r="AD66" s="13">
        <f>$I$10*$AD$10</f>
        <v>0</v>
      </c>
      <c r="AE66" s="13">
        <f>$I$10*$AE$10</f>
        <v>0</v>
      </c>
      <c r="AF66" s="13">
        <f ca="1">$I$10*$AF$10</f>
        <v>0</v>
      </c>
      <c r="AG66" s="13">
        <f ca="1">$I$10*$AG$10</f>
        <v>0</v>
      </c>
      <c r="AI66" s="13">
        <f>$I$10*$AI$10</f>
        <v>0</v>
      </c>
      <c r="AJ66" s="13">
        <f>$I$10*$AJ$10</f>
        <v>0</v>
      </c>
      <c r="AK66" s="13">
        <f>$I$10*$AK$10</f>
        <v>0</v>
      </c>
      <c r="AL66" s="13">
        <f>$I$10*$AL$10</f>
        <v>0</v>
      </c>
      <c r="AM66" s="13">
        <f>$I$10*$AM$10</f>
        <v>0</v>
      </c>
      <c r="AN66" s="13">
        <f>$I$10*$AN$10</f>
        <v>0</v>
      </c>
      <c r="AO66" s="13">
        <f>$I$10*$AO$10</f>
        <v>0</v>
      </c>
      <c r="AP66" s="13">
        <f>$I$10*$AP$10</f>
        <v>0</v>
      </c>
      <c r="AQ66" s="13">
        <f>$I$10*$AQ$10</f>
        <v>367633.03870081279</v>
      </c>
      <c r="AR66" s="13">
        <f>$I$10*$AR$10</f>
        <v>68575.125458321942</v>
      </c>
      <c r="AS66" s="13">
        <f>$I$10*$AS$10</f>
        <v>0</v>
      </c>
      <c r="AT66" s="13">
        <f>$I$10*$AT$10</f>
        <v>0</v>
      </c>
      <c r="AU66" s="13">
        <f>$I$10*$AU$10</f>
        <v>0</v>
      </c>
      <c r="AV66" s="13">
        <f>$I$10*$AV$10</f>
        <v>0</v>
      </c>
      <c r="AW66" s="13">
        <f>$I$10*$AW$10</f>
        <v>0</v>
      </c>
      <c r="AX66" s="13">
        <f>$I$10*$AX$10</f>
        <v>725323.70524681127</v>
      </c>
      <c r="AY66" s="13">
        <f>$I$10*$AY$10</f>
        <v>0</v>
      </c>
      <c r="AZ66" s="13">
        <f>$I$10*$AZ$10</f>
        <v>0</v>
      </c>
      <c r="BA66" s="13">
        <f>$I$10*$BA$10</f>
        <v>0</v>
      </c>
      <c r="BB66" s="13">
        <f>$I$10*$BB$10</f>
        <v>0</v>
      </c>
      <c r="BC66" s="13">
        <f>$I$10*$BC$10</f>
        <v>0</v>
      </c>
      <c r="BD66" s="13">
        <f>$I$10*$BD$10</f>
        <v>0</v>
      </c>
    </row>
    <row r="67" spans="1:56" ht="11.25" customHeight="1" x14ac:dyDescent="0.25">
      <c r="A67" s="9" t="s">
        <v>39</v>
      </c>
      <c r="B67" s="9" t="s">
        <v>762</v>
      </c>
      <c r="C67" s="9" t="s">
        <v>763</v>
      </c>
      <c r="D67" s="9" t="s">
        <v>764</v>
      </c>
      <c r="E67" s="9" t="s">
        <v>765</v>
      </c>
      <c r="F67" s="9" t="s">
        <v>766</v>
      </c>
      <c r="G67" s="9" t="s">
        <v>769</v>
      </c>
      <c r="L67" s="13">
        <f>$I$11*$L$11</f>
        <v>1139293.5029052761</v>
      </c>
      <c r="M67" s="13">
        <f>$I$11*$M$11</f>
        <v>18212.779126980386</v>
      </c>
      <c r="N67" s="13">
        <f ca="1">$I$11*$N$11</f>
        <v>0</v>
      </c>
      <c r="O67" s="13">
        <f>$I$11*$O$11</f>
        <v>0</v>
      </c>
      <c r="P67" s="13">
        <f>$I$11*$P$11</f>
        <v>0</v>
      </c>
      <c r="Q67" s="13">
        <f>$I$11*$Q$11</f>
        <v>3210609.5573965702</v>
      </c>
      <c r="R67" s="13">
        <f>$I$11*$R$11</f>
        <v>604040.60402454657</v>
      </c>
      <c r="S67" s="13">
        <f>$I$11*$S$11</f>
        <v>0</v>
      </c>
      <c r="T67" s="13">
        <f>$I$11*$T$11</f>
        <v>0</v>
      </c>
      <c r="U67" s="13">
        <f>$I$11*$U$11</f>
        <v>0</v>
      </c>
      <c r="V67" s="13">
        <f>$I$11*$V$11</f>
        <v>0</v>
      </c>
      <c r="W67" s="13">
        <f>$I$11*$W$11</f>
        <v>0</v>
      </c>
      <c r="X67" s="13">
        <f>$I$11*$X$11</f>
        <v>0</v>
      </c>
      <c r="Y67" s="13">
        <f>$I$11*$Y$11</f>
        <v>0</v>
      </c>
      <c r="Z67" s="13">
        <f>$I$11*$Z$11</f>
        <v>0</v>
      </c>
      <c r="AA67" s="13">
        <f>$I$11*$AA$11</f>
        <v>0</v>
      </c>
      <c r="AB67" s="13">
        <f ca="1">$I$11*$AB$11</f>
        <v>0</v>
      </c>
      <c r="AC67" s="13">
        <f ca="1">$I$11*$AC$11</f>
        <v>0</v>
      </c>
      <c r="AD67" s="13">
        <f>$I$11*$AD$11</f>
        <v>196140.9261976807</v>
      </c>
      <c r="AE67" s="13">
        <f>$I$11*$AE$11</f>
        <v>0</v>
      </c>
      <c r="AF67" s="13">
        <f ca="1">$I$11*$AF$11</f>
        <v>0</v>
      </c>
      <c r="AG67" s="13">
        <f ca="1">$I$11*$AG$11</f>
        <v>0</v>
      </c>
      <c r="AI67" s="13">
        <f>$I$11*$AI$11</f>
        <v>1182790.7275820067</v>
      </c>
      <c r="AJ67" s="13">
        <f>$I$11*$AJ$11</f>
        <v>18439.522740670513</v>
      </c>
      <c r="AK67" s="13">
        <f>$I$11*$AK$11</f>
        <v>0</v>
      </c>
      <c r="AL67" s="13">
        <f>$I$11*$AL$11</f>
        <v>0</v>
      </c>
      <c r="AM67" s="13">
        <f>$I$11*$AM$11</f>
        <v>0</v>
      </c>
      <c r="AN67" s="13">
        <f>$I$11*$AN$11</f>
        <v>2048745.9841972685</v>
      </c>
      <c r="AO67" s="13">
        <f>$I$11*$AO$11</f>
        <v>369596.46373848798</v>
      </c>
      <c r="AP67" s="13">
        <f>$I$11*$AP$11</f>
        <v>0</v>
      </c>
      <c r="AQ67" s="13">
        <f>$I$11*$AQ$11</f>
        <v>0</v>
      </c>
      <c r="AR67" s="13">
        <f>$I$11*$AR$11</f>
        <v>0</v>
      </c>
      <c r="AS67" s="13">
        <f>$I$11*$AS$11</f>
        <v>0</v>
      </c>
      <c r="AT67" s="13">
        <f>$I$11*$AT$11</f>
        <v>0</v>
      </c>
      <c r="AU67" s="13">
        <f>$I$11*$AU$11</f>
        <v>0</v>
      </c>
      <c r="AV67" s="13">
        <f>$I$11*$AV$11</f>
        <v>0</v>
      </c>
      <c r="AW67" s="13">
        <f>$I$11*$AW$11</f>
        <v>0</v>
      </c>
      <c r="AX67" s="13">
        <f>$I$11*$AX$11</f>
        <v>0</v>
      </c>
      <c r="AY67" s="13">
        <f>$I$11*$AY$11</f>
        <v>0</v>
      </c>
      <c r="AZ67" s="13">
        <f>$I$11*$AZ$11</f>
        <v>0</v>
      </c>
      <c r="BA67" s="13">
        <f>$I$11*$BA$11</f>
        <v>232754.39056476668</v>
      </c>
      <c r="BB67" s="13">
        <f>$I$11*$BB$11</f>
        <v>0</v>
      </c>
      <c r="BC67" s="13">
        <f>$I$11*$BC$11</f>
        <v>0</v>
      </c>
      <c r="BD67" s="13">
        <f>$I$11*$BD$11</f>
        <v>0</v>
      </c>
    </row>
    <row r="68" spans="1:56" ht="11.25" customHeight="1" x14ac:dyDescent="0.25">
      <c r="A68" s="9" t="s">
        <v>39</v>
      </c>
      <c r="B68" s="9" t="s">
        <v>762</v>
      </c>
      <c r="C68" s="9" t="s">
        <v>763</v>
      </c>
      <c r="D68" s="9" t="s">
        <v>764</v>
      </c>
      <c r="E68" s="9" t="s">
        <v>770</v>
      </c>
      <c r="F68" s="9" t="s">
        <v>771</v>
      </c>
      <c r="G68" s="9" t="s">
        <v>772</v>
      </c>
      <c r="L68" s="13">
        <f>$I$12*$L$12</f>
        <v>0</v>
      </c>
      <c r="M68" s="13">
        <f>$I$12*$M$12</f>
        <v>0</v>
      </c>
      <c r="N68" s="13">
        <f ca="1">$I$12*$N$12</f>
        <v>0</v>
      </c>
      <c r="O68" s="13">
        <f>$I$12*$O$12</f>
        <v>0</v>
      </c>
      <c r="P68" s="13">
        <f>$I$12*$P$12</f>
        <v>0</v>
      </c>
      <c r="Q68" s="13">
        <f>$I$12*$Q$12</f>
        <v>0</v>
      </c>
      <c r="R68" s="13">
        <f>$I$12*$R$12</f>
        <v>0</v>
      </c>
      <c r="S68" s="13">
        <f>$I$12*$S$12</f>
        <v>0</v>
      </c>
      <c r="T68" s="13">
        <f>$I$12*$T$12</f>
        <v>0</v>
      </c>
      <c r="U68" s="13">
        <f>$I$12*$U$12</f>
        <v>0</v>
      </c>
      <c r="V68" s="13">
        <f>$I$12*$V$12</f>
        <v>0</v>
      </c>
      <c r="W68" s="13">
        <f>$I$12*$W$12</f>
        <v>0</v>
      </c>
      <c r="X68" s="13">
        <f>$I$12*$X$12</f>
        <v>0</v>
      </c>
      <c r="Y68" s="13">
        <f>$I$12*$Y$12</f>
        <v>0</v>
      </c>
      <c r="Z68" s="13">
        <f>$I$12*$Z$12</f>
        <v>0</v>
      </c>
      <c r="AA68" s="13">
        <f>$I$12*$AA$12</f>
        <v>0</v>
      </c>
      <c r="AB68" s="13">
        <f ca="1">$I$12*$AB$12</f>
        <v>0</v>
      </c>
      <c r="AC68" s="13">
        <f ca="1">$I$12*$AC$12</f>
        <v>0</v>
      </c>
      <c r="AD68" s="13">
        <f>$I$12*$AD$12</f>
        <v>0</v>
      </c>
      <c r="AE68" s="13">
        <f>$I$12*$AE$12</f>
        <v>0</v>
      </c>
      <c r="AF68" s="13">
        <f ca="1">$I$12*$AF$12</f>
        <v>0</v>
      </c>
      <c r="AG68" s="13">
        <f ca="1">$I$12*$AG$12</f>
        <v>0</v>
      </c>
      <c r="AI68" s="13">
        <f>$I$12*$AI$12</f>
        <v>0</v>
      </c>
      <c r="AJ68" s="13">
        <f>$I$12*$AJ$12</f>
        <v>0</v>
      </c>
      <c r="AK68" s="13">
        <f>$I$12*$AK$12</f>
        <v>0</v>
      </c>
      <c r="AL68" s="13">
        <f>$I$12*$AL$12</f>
        <v>0</v>
      </c>
      <c r="AM68" s="13">
        <f>$I$12*$AM$12</f>
        <v>0</v>
      </c>
      <c r="AN68" s="13">
        <f>$I$12*$AN$12</f>
        <v>0</v>
      </c>
      <c r="AO68" s="13">
        <f>$I$12*$AO$12</f>
        <v>0</v>
      </c>
      <c r="AP68" s="13">
        <f>$I$12*$AP$12</f>
        <v>0</v>
      </c>
      <c r="AQ68" s="13">
        <f>$I$12*$AQ$12</f>
        <v>0</v>
      </c>
      <c r="AR68" s="13">
        <f>$I$12*$AR$12</f>
        <v>0</v>
      </c>
      <c r="AS68" s="13">
        <f>$I$12*$AS$12</f>
        <v>0</v>
      </c>
      <c r="AT68" s="13">
        <f>$I$12*$AT$12</f>
        <v>0</v>
      </c>
      <c r="AU68" s="13">
        <f>$I$12*$AU$12</f>
        <v>0</v>
      </c>
      <c r="AV68" s="13">
        <f>$I$12*$AV$12</f>
        <v>0</v>
      </c>
      <c r="AW68" s="13">
        <f>$I$12*$AW$12</f>
        <v>0</v>
      </c>
      <c r="AX68" s="13">
        <f>$I$12*$AX$12</f>
        <v>0</v>
      </c>
      <c r="AY68" s="13">
        <f>$I$12*$AY$12</f>
        <v>0</v>
      </c>
      <c r="AZ68" s="13">
        <f>$I$12*$AZ$12</f>
        <v>0</v>
      </c>
      <c r="BA68" s="13">
        <f>$I$12*$BA$12</f>
        <v>0</v>
      </c>
      <c r="BB68" s="13">
        <f>$I$12*$BB$12</f>
        <v>0</v>
      </c>
      <c r="BC68" s="13">
        <f>$I$12*$BC$12</f>
        <v>0</v>
      </c>
      <c r="BD68" s="13">
        <f>$I$12*$BD$12</f>
        <v>0</v>
      </c>
    </row>
    <row r="69" spans="1:56" ht="11.25" customHeight="1" x14ac:dyDescent="0.25">
      <c r="A69" s="9" t="s">
        <v>39</v>
      </c>
      <c r="B69" s="9" t="s">
        <v>773</v>
      </c>
      <c r="C69" s="9" t="s">
        <v>774</v>
      </c>
      <c r="D69" s="9" t="s">
        <v>775</v>
      </c>
      <c r="E69" s="9" t="s">
        <v>776</v>
      </c>
      <c r="F69" s="9" t="s">
        <v>777</v>
      </c>
      <c r="G69" s="9" t="s">
        <v>778</v>
      </c>
      <c r="L69" s="13">
        <f>$I$13*$L$13</f>
        <v>0</v>
      </c>
      <c r="M69" s="13">
        <f>$I$13*$M$13</f>
        <v>0</v>
      </c>
      <c r="N69" s="13">
        <f ca="1">$I$13*$N$13</f>
        <v>0</v>
      </c>
      <c r="O69" s="13">
        <f>$I$13*$O$13</f>
        <v>0</v>
      </c>
      <c r="P69" s="13">
        <f>$I$13*$P$13</f>
        <v>0</v>
      </c>
      <c r="Q69" s="13">
        <f>$I$13*$Q$13</f>
        <v>0</v>
      </c>
      <c r="R69" s="13">
        <f>$I$13*$R$13</f>
        <v>0</v>
      </c>
      <c r="S69" s="13">
        <f>$I$13*$S$13</f>
        <v>0</v>
      </c>
      <c r="T69" s="13">
        <f>$I$13*$T$13</f>
        <v>0</v>
      </c>
      <c r="U69" s="13">
        <f>$I$13*$U$13</f>
        <v>0</v>
      </c>
      <c r="V69" s="13">
        <f>$I$13*$V$13</f>
        <v>0</v>
      </c>
      <c r="W69" s="13">
        <f>$I$13*$W$13</f>
        <v>0</v>
      </c>
      <c r="X69" s="13">
        <f>$I$13*$X$13</f>
        <v>0</v>
      </c>
      <c r="Y69" s="13">
        <f>$I$13*$Y$13</f>
        <v>0</v>
      </c>
      <c r="Z69" s="13">
        <f>$I$13*$Z$13</f>
        <v>0</v>
      </c>
      <c r="AA69" s="13">
        <f>$I$13*$AA$13</f>
        <v>0</v>
      </c>
      <c r="AB69" s="13">
        <f ca="1">$I$13*$AB$13</f>
        <v>0</v>
      </c>
      <c r="AC69" s="13">
        <f ca="1">$I$13*$AC$13</f>
        <v>0</v>
      </c>
      <c r="AD69" s="13">
        <f>$I$13*$AD$13</f>
        <v>0</v>
      </c>
      <c r="AE69" s="13">
        <f>$I$13*$AE$13</f>
        <v>0</v>
      </c>
      <c r="AF69" s="13">
        <f ca="1">$I$13*$AF$13</f>
        <v>0</v>
      </c>
      <c r="AG69" s="13">
        <f ca="1">$I$13*$AG$13</f>
        <v>0</v>
      </c>
      <c r="AI69" s="13">
        <f>$I$13*$AI$13</f>
        <v>0</v>
      </c>
      <c r="AJ69" s="13">
        <f>$I$13*$AJ$13</f>
        <v>0</v>
      </c>
      <c r="AK69" s="13">
        <f>$I$13*$AK$13</f>
        <v>0</v>
      </c>
      <c r="AL69" s="13">
        <f>$I$13*$AL$13</f>
        <v>0</v>
      </c>
      <c r="AM69" s="13">
        <f>$I$13*$AM$13</f>
        <v>0</v>
      </c>
      <c r="AN69" s="13">
        <f>$I$13*$AN$13</f>
        <v>0</v>
      </c>
      <c r="AO69" s="13">
        <f>$I$13*$AO$13</f>
        <v>0</v>
      </c>
      <c r="AP69" s="13">
        <f>$I$13*$AP$13</f>
        <v>0</v>
      </c>
      <c r="AQ69" s="13">
        <f>$I$13*$AQ$13</f>
        <v>0</v>
      </c>
      <c r="AR69" s="13">
        <f>$I$13*$AR$13</f>
        <v>0</v>
      </c>
      <c r="AS69" s="13">
        <f>$I$13*$AS$13</f>
        <v>0</v>
      </c>
      <c r="AT69" s="13">
        <f>$I$13*$AT$13</f>
        <v>0</v>
      </c>
      <c r="AU69" s="13">
        <f>$I$13*$AU$13</f>
        <v>0</v>
      </c>
      <c r="AV69" s="13">
        <f>$I$13*$AV$13</f>
        <v>0</v>
      </c>
      <c r="AW69" s="13">
        <f>$I$13*$AW$13</f>
        <v>0</v>
      </c>
      <c r="AX69" s="13">
        <f>$I$13*$AX$13</f>
        <v>0</v>
      </c>
      <c r="AY69" s="13">
        <f>$I$13*$AY$13</f>
        <v>0</v>
      </c>
      <c r="AZ69" s="13">
        <f>$I$13*$AZ$13</f>
        <v>0</v>
      </c>
      <c r="BA69" s="13">
        <f>$I$13*$BA$13</f>
        <v>0</v>
      </c>
      <c r="BB69" s="13">
        <f>$I$13*$BB$13</f>
        <v>0</v>
      </c>
      <c r="BC69" s="13">
        <f>$I$13*$BC$13</f>
        <v>0</v>
      </c>
      <c r="BD69" s="13">
        <f>$I$13*$BD$13</f>
        <v>0</v>
      </c>
    </row>
    <row r="70" spans="1:56" ht="11.25" customHeight="1" x14ac:dyDescent="0.25">
      <c r="A70" s="9" t="s">
        <v>39</v>
      </c>
      <c r="B70" s="9" t="s">
        <v>779</v>
      </c>
      <c r="C70" s="9" t="s">
        <v>780</v>
      </c>
      <c r="D70" s="9" t="s">
        <v>781</v>
      </c>
      <c r="E70" s="9" t="s">
        <v>782</v>
      </c>
      <c r="F70" s="9" t="s">
        <v>783</v>
      </c>
      <c r="G70" s="9" t="s">
        <v>784</v>
      </c>
      <c r="L70" s="13">
        <f>$I$14*$L$14</f>
        <v>0</v>
      </c>
      <c r="M70" s="13">
        <f>$I$14*$M$14</f>
        <v>0</v>
      </c>
      <c r="N70" s="13">
        <f ca="1">$I$14*$N$14</f>
        <v>0</v>
      </c>
      <c r="O70" s="13">
        <f>$I$14*$O$14</f>
        <v>0</v>
      </c>
      <c r="P70" s="13">
        <f>$I$14*$P$14</f>
        <v>0</v>
      </c>
      <c r="Q70" s="13">
        <f>$I$14*$Q$14</f>
        <v>0</v>
      </c>
      <c r="R70" s="13">
        <f>$I$14*$R$14</f>
        <v>0</v>
      </c>
      <c r="S70" s="13">
        <f>$I$14*$S$14</f>
        <v>0</v>
      </c>
      <c r="T70" s="13">
        <f>$I$14*$T$14</f>
        <v>4130243.5858441577</v>
      </c>
      <c r="U70" s="13">
        <f>$I$14*$U$14</f>
        <v>578329.43478244706</v>
      </c>
      <c r="V70" s="13">
        <f>$I$14*$V$14</f>
        <v>0</v>
      </c>
      <c r="W70" s="13">
        <f>$I$14*$W$14</f>
        <v>0</v>
      </c>
      <c r="X70" s="13">
        <f>$I$14*$X$14</f>
        <v>0</v>
      </c>
      <c r="Y70" s="13">
        <f>$I$14*$Y$14</f>
        <v>0</v>
      </c>
      <c r="Z70" s="13">
        <f>$I$14*$Z$14</f>
        <v>0</v>
      </c>
      <c r="AA70" s="13">
        <f>$I$14*$AA$14</f>
        <v>6891191.3169594593</v>
      </c>
      <c r="AB70" s="13">
        <f ca="1">$I$14*$AB$14</f>
        <v>0</v>
      </c>
      <c r="AC70" s="13">
        <f ca="1">$I$14*$AC$14</f>
        <v>0</v>
      </c>
      <c r="AD70" s="13">
        <f>$I$14*$AD$14</f>
        <v>0</v>
      </c>
      <c r="AE70" s="13">
        <f>$I$14*$AE$14</f>
        <v>0</v>
      </c>
      <c r="AF70" s="13">
        <f ca="1">$I$14*$AF$14</f>
        <v>0</v>
      </c>
      <c r="AG70" s="13">
        <f ca="1">$I$14*$AG$14</f>
        <v>0</v>
      </c>
      <c r="AI70" s="13">
        <f>$I$14*$AI$14</f>
        <v>0</v>
      </c>
      <c r="AJ70" s="13">
        <f>$I$14*$AJ$14</f>
        <v>0</v>
      </c>
      <c r="AK70" s="13">
        <f>$I$14*$AK$14</f>
        <v>0</v>
      </c>
      <c r="AL70" s="13">
        <f>$I$14*$AL$14</f>
        <v>0</v>
      </c>
      <c r="AM70" s="13">
        <f>$I$14*$AM$14</f>
        <v>0</v>
      </c>
      <c r="AN70" s="13">
        <f>$I$14*$AN$14</f>
        <v>0</v>
      </c>
      <c r="AO70" s="13">
        <f>$I$14*$AO$14</f>
        <v>0</v>
      </c>
      <c r="AP70" s="13">
        <f>$I$14*$AP$14</f>
        <v>0</v>
      </c>
      <c r="AQ70" s="13">
        <f>$I$14*$AQ$14</f>
        <v>2886872.4663334647</v>
      </c>
      <c r="AR70" s="13">
        <f>$I$14*$AR$14</f>
        <v>538492.52031480963</v>
      </c>
      <c r="AS70" s="13">
        <f>$I$14*$AS$14</f>
        <v>0</v>
      </c>
      <c r="AT70" s="13">
        <f>$I$14*$AT$14</f>
        <v>0</v>
      </c>
      <c r="AU70" s="13">
        <f>$I$14*$AU$14</f>
        <v>0</v>
      </c>
      <c r="AV70" s="13">
        <f>$I$14*$AV$14</f>
        <v>0</v>
      </c>
      <c r="AW70" s="13">
        <f>$I$14*$AW$14</f>
        <v>0</v>
      </c>
      <c r="AX70" s="13">
        <f>$I$14*$AX$14</f>
        <v>5695671.5350060295</v>
      </c>
      <c r="AY70" s="13">
        <f>$I$14*$AY$14</f>
        <v>0</v>
      </c>
      <c r="AZ70" s="13">
        <f>$I$14*$AZ$14</f>
        <v>0</v>
      </c>
      <c r="BA70" s="13">
        <f>$I$14*$BA$14</f>
        <v>0</v>
      </c>
      <c r="BB70" s="13">
        <f>$I$14*$BB$14</f>
        <v>0</v>
      </c>
      <c r="BC70" s="13">
        <f>$I$14*$BC$14</f>
        <v>0</v>
      </c>
      <c r="BD70" s="13">
        <f>$I$14*$BD$14</f>
        <v>0</v>
      </c>
    </row>
    <row r="71" spans="1:56" ht="11.25" customHeight="1" x14ac:dyDescent="0.25">
      <c r="A71" s="9" t="s">
        <v>39</v>
      </c>
      <c r="B71" s="9" t="s">
        <v>779</v>
      </c>
      <c r="C71" s="9" t="s">
        <v>780</v>
      </c>
      <c r="D71" s="9" t="s">
        <v>781</v>
      </c>
      <c r="E71" s="9" t="s">
        <v>782</v>
      </c>
      <c r="F71" s="9" t="s">
        <v>783</v>
      </c>
      <c r="G71" s="9" t="s">
        <v>785</v>
      </c>
      <c r="L71" s="13">
        <f>$I$15*$L$15</f>
        <v>280302.41083608271</v>
      </c>
      <c r="M71" s="13">
        <f>$I$15*$M$15</f>
        <v>4480.9225053064647</v>
      </c>
      <c r="N71" s="13">
        <f ca="1">$I$15*$N$15</f>
        <v>0</v>
      </c>
      <c r="O71" s="13">
        <f>$I$15*$O$15</f>
        <v>0</v>
      </c>
      <c r="P71" s="13">
        <f>$I$15*$P$15</f>
        <v>0</v>
      </c>
      <c r="Q71" s="13">
        <f>$I$15*$Q$15</f>
        <v>789911.99098100234</v>
      </c>
      <c r="R71" s="13">
        <f>$I$15*$R$15</f>
        <v>148613.18625902955</v>
      </c>
      <c r="S71" s="13">
        <f>$I$15*$S$15</f>
        <v>0</v>
      </c>
      <c r="T71" s="13">
        <f>$I$15*$T$15</f>
        <v>1773084.8310700932</v>
      </c>
      <c r="U71" s="13">
        <f>$I$15*$U$15</f>
        <v>250216.7038142161</v>
      </c>
      <c r="V71" s="13">
        <f>$I$15*$V$15</f>
        <v>0</v>
      </c>
      <c r="W71" s="13">
        <f>$I$15*$W$15</f>
        <v>0</v>
      </c>
      <c r="X71" s="13">
        <f>$I$15*$X$15</f>
        <v>0</v>
      </c>
      <c r="Y71" s="13">
        <f>$I$15*$Y$15</f>
        <v>0</v>
      </c>
      <c r="Z71" s="13">
        <f>$I$15*$Z$15</f>
        <v>0</v>
      </c>
      <c r="AA71" s="13">
        <f>$I$15*$AA$15</f>
        <v>9819680.2686715424</v>
      </c>
      <c r="AB71" s="13">
        <f ca="1">$I$15*$AB$15</f>
        <v>0</v>
      </c>
      <c r="AC71" s="13">
        <f ca="1">$I$15*$AC$15</f>
        <v>0</v>
      </c>
      <c r="AD71" s="13">
        <f>$I$15*$AD$15</f>
        <v>48256.901611948495</v>
      </c>
      <c r="AE71" s="13">
        <f>$I$15*$AE$15</f>
        <v>0</v>
      </c>
      <c r="AF71" s="13">
        <f ca="1">$I$15*$AF$15</f>
        <v>0</v>
      </c>
      <c r="AG71" s="13">
        <f ca="1">$I$15*$AG$15</f>
        <v>0</v>
      </c>
      <c r="AI71" s="13">
        <f>$I$15*$AI$15</f>
        <v>291004.11053899064</v>
      </c>
      <c r="AJ71" s="13">
        <f>$I$15*$AJ$15</f>
        <v>4536.7086406587277</v>
      </c>
      <c r="AK71" s="13">
        <f>$I$15*$AK$15</f>
        <v>0</v>
      </c>
      <c r="AL71" s="13">
        <f>$I$15*$AL$15</f>
        <v>0</v>
      </c>
      <c r="AM71" s="13">
        <f>$I$15*$AM$15</f>
        <v>0</v>
      </c>
      <c r="AN71" s="13">
        <f>$I$15*$AN$15</f>
        <v>504056.62552872783</v>
      </c>
      <c r="AO71" s="13">
        <f>$I$15*$AO$15</f>
        <v>90932.476625386727</v>
      </c>
      <c r="AP71" s="13">
        <f>$I$15*$AP$15</f>
        <v>0</v>
      </c>
      <c r="AQ71" s="13">
        <f>$I$15*$AQ$15</f>
        <v>1239307.8901703975</v>
      </c>
      <c r="AR71" s="13">
        <f>$I$15*$AR$15</f>
        <v>232990.09132133267</v>
      </c>
      <c r="AS71" s="13">
        <f>$I$15*$AS$15</f>
        <v>0</v>
      </c>
      <c r="AT71" s="13">
        <f>$I$15*$AT$15</f>
        <v>0</v>
      </c>
      <c r="AU71" s="13">
        <f>$I$15*$AU$15</f>
        <v>0</v>
      </c>
      <c r="AV71" s="13">
        <f>$I$15*$AV$15</f>
        <v>0</v>
      </c>
      <c r="AW71" s="13">
        <f>$I$15*$AW$15</f>
        <v>0</v>
      </c>
      <c r="AX71" s="13">
        <f>$I$15*$AX$15</f>
        <v>8116087.3709061071</v>
      </c>
      <c r="AY71" s="13">
        <f>$I$15*$AY$15</f>
        <v>0</v>
      </c>
      <c r="AZ71" s="13">
        <f>$I$15*$AZ$15</f>
        <v>0</v>
      </c>
      <c r="BA71" s="13">
        <f>$I$15*$BA$15</f>
        <v>57264.977498438035</v>
      </c>
      <c r="BB71" s="13">
        <f>$I$15*$BB$15</f>
        <v>0</v>
      </c>
      <c r="BC71" s="13">
        <f>$I$15*$BC$15</f>
        <v>0</v>
      </c>
      <c r="BD71" s="13">
        <f>$I$15*$BD$15</f>
        <v>0</v>
      </c>
    </row>
    <row r="72" spans="1:56" ht="11.25" customHeight="1" x14ac:dyDescent="0.25">
      <c r="A72" s="9" t="s">
        <v>39</v>
      </c>
      <c r="B72" s="9" t="s">
        <v>779</v>
      </c>
      <c r="C72" s="9" t="s">
        <v>780</v>
      </c>
      <c r="D72" s="9" t="s">
        <v>781</v>
      </c>
      <c r="E72" s="9" t="s">
        <v>782</v>
      </c>
      <c r="F72" s="9" t="s">
        <v>783</v>
      </c>
      <c r="G72" s="9" t="s">
        <v>786</v>
      </c>
      <c r="L72" s="13">
        <f>$I$16*$L$16</f>
        <v>4358060.3659486016</v>
      </c>
      <c r="M72" s="13">
        <f>$I$16*$M$16</f>
        <v>69668.079967685408</v>
      </c>
      <c r="N72" s="13">
        <f ca="1">$I$16*$N$16</f>
        <v>0</v>
      </c>
      <c r="O72" s="13">
        <f>$I$16*$O$16</f>
        <v>0</v>
      </c>
      <c r="P72" s="13">
        <f>$I$16*$P$16</f>
        <v>0</v>
      </c>
      <c r="Q72" s="13">
        <f>$I$16*$Q$16</f>
        <v>12281321.913049748</v>
      </c>
      <c r="R72" s="13">
        <f>$I$16*$R$16</f>
        <v>2310594.6001711716</v>
      </c>
      <c r="S72" s="13">
        <f>$I$16*$S$16</f>
        <v>0</v>
      </c>
      <c r="T72" s="13">
        <f>$I$16*$T$16</f>
        <v>0</v>
      </c>
      <c r="U72" s="13">
        <f>$I$16*$U$16</f>
        <v>0</v>
      </c>
      <c r="V72" s="13">
        <f>$I$16*$V$16</f>
        <v>0</v>
      </c>
      <c r="W72" s="13">
        <f>$I$16*$W$16</f>
        <v>0</v>
      </c>
      <c r="X72" s="13">
        <f>$I$16*$X$16</f>
        <v>0</v>
      </c>
      <c r="Y72" s="13">
        <f>$I$16*$Y$16</f>
        <v>0</v>
      </c>
      <c r="Z72" s="13">
        <f>$I$16*$Z$16</f>
        <v>0</v>
      </c>
      <c r="AA72" s="13">
        <f>$I$16*$AA$16</f>
        <v>0</v>
      </c>
      <c r="AB72" s="13">
        <f ca="1">$I$16*$AB$16</f>
        <v>0</v>
      </c>
      <c r="AC72" s="13">
        <f ca="1">$I$16*$AC$16</f>
        <v>0</v>
      </c>
      <c r="AD72" s="13">
        <f>$I$16*$AD$16</f>
        <v>750284.27215882391</v>
      </c>
      <c r="AE72" s="13">
        <f>$I$16*$AE$16</f>
        <v>0</v>
      </c>
      <c r="AF72" s="13">
        <f ca="1">$I$16*$AF$16</f>
        <v>0</v>
      </c>
      <c r="AG72" s="13">
        <f ca="1">$I$16*$AG$16</f>
        <v>0</v>
      </c>
      <c r="AI72" s="13">
        <f>$I$16*$AI$16</f>
        <v>4524447.2806540942</v>
      </c>
      <c r="AJ72" s="13">
        <f>$I$16*$AJ$16</f>
        <v>70535.426576381957</v>
      </c>
      <c r="AK72" s="13">
        <f>$I$16*$AK$16</f>
        <v>0</v>
      </c>
      <c r="AL72" s="13">
        <f>$I$16*$AL$16</f>
        <v>0</v>
      </c>
      <c r="AM72" s="13">
        <f>$I$16*$AM$16</f>
        <v>0</v>
      </c>
      <c r="AN72" s="13">
        <f>$I$16*$AN$16</f>
        <v>7836925.823642497</v>
      </c>
      <c r="AO72" s="13">
        <f>$I$16*$AO$16</f>
        <v>1413791.7015290693</v>
      </c>
      <c r="AP72" s="13">
        <f>$I$16*$AP$16</f>
        <v>0</v>
      </c>
      <c r="AQ72" s="13">
        <f>$I$16*$AQ$16</f>
        <v>0</v>
      </c>
      <c r="AR72" s="13">
        <f>$I$16*$AR$16</f>
        <v>0</v>
      </c>
      <c r="AS72" s="13">
        <f>$I$16*$AS$16</f>
        <v>0</v>
      </c>
      <c r="AT72" s="13">
        <f>$I$16*$AT$16</f>
        <v>0</v>
      </c>
      <c r="AU72" s="13">
        <f>$I$16*$AU$16</f>
        <v>0</v>
      </c>
      <c r="AV72" s="13">
        <f>$I$16*$AV$16</f>
        <v>0</v>
      </c>
      <c r="AW72" s="13">
        <f>$I$16*$AW$16</f>
        <v>0</v>
      </c>
      <c r="AX72" s="13">
        <f>$I$16*$AX$16</f>
        <v>0</v>
      </c>
      <c r="AY72" s="13">
        <f>$I$16*$AY$16</f>
        <v>0</v>
      </c>
      <c r="AZ72" s="13">
        <f>$I$16*$AZ$16</f>
        <v>0</v>
      </c>
      <c r="BA72" s="13">
        <f>$I$16*$BA$16</f>
        <v>890339.21630743064</v>
      </c>
      <c r="BB72" s="13">
        <f>$I$16*$BB$16</f>
        <v>0</v>
      </c>
      <c r="BC72" s="13">
        <f>$I$16*$BC$16</f>
        <v>0</v>
      </c>
      <c r="BD72" s="13">
        <f>$I$16*$BD$16</f>
        <v>0</v>
      </c>
    </row>
    <row r="73" spans="1:56" ht="11.25" customHeight="1" x14ac:dyDescent="0.25">
      <c r="A73" s="9" t="s">
        <v>39</v>
      </c>
      <c r="B73" s="9" t="s">
        <v>779</v>
      </c>
      <c r="C73" s="9" t="s">
        <v>780</v>
      </c>
      <c r="D73" s="9" t="s">
        <v>781</v>
      </c>
      <c r="E73" s="9" t="s">
        <v>787</v>
      </c>
      <c r="F73" s="9" t="s">
        <v>788</v>
      </c>
      <c r="G73" s="9" t="s">
        <v>789</v>
      </c>
      <c r="L73" s="13">
        <f>$I$17*$L$17</f>
        <v>0</v>
      </c>
      <c r="M73" s="13">
        <f>$I$17*$M$17</f>
        <v>0</v>
      </c>
      <c r="N73" s="13">
        <f ca="1">$I$17*$N$17</f>
        <v>0</v>
      </c>
      <c r="O73" s="13">
        <f>$I$17*$O$17</f>
        <v>0</v>
      </c>
      <c r="P73" s="13">
        <f>$I$17*$P$17</f>
        <v>0</v>
      </c>
      <c r="Q73" s="13">
        <f>$I$17*$Q$17</f>
        <v>0</v>
      </c>
      <c r="R73" s="13">
        <f>$I$17*$R$17</f>
        <v>0</v>
      </c>
      <c r="S73" s="13">
        <f>$I$17*$S$17</f>
        <v>0</v>
      </c>
      <c r="T73" s="13">
        <f>$I$17*$T$17</f>
        <v>0</v>
      </c>
      <c r="U73" s="13">
        <f>$I$17*$U$17</f>
        <v>0</v>
      </c>
      <c r="V73" s="13">
        <f>$I$17*$V$17</f>
        <v>0</v>
      </c>
      <c r="W73" s="13">
        <f>$I$17*$W$17</f>
        <v>0</v>
      </c>
      <c r="X73" s="13">
        <f>$I$17*$X$17</f>
        <v>0</v>
      </c>
      <c r="Y73" s="13">
        <f>$I$17*$Y$17</f>
        <v>0</v>
      </c>
      <c r="Z73" s="13">
        <f>$I$17*$Z$17</f>
        <v>0</v>
      </c>
      <c r="AA73" s="13">
        <f>$I$17*$AA$17</f>
        <v>0</v>
      </c>
      <c r="AB73" s="13">
        <f ca="1">$I$17*$AB$17</f>
        <v>0</v>
      </c>
      <c r="AC73" s="13">
        <f ca="1">$I$17*$AC$17</f>
        <v>0</v>
      </c>
      <c r="AD73" s="13">
        <f>$I$17*$AD$17</f>
        <v>0</v>
      </c>
      <c r="AE73" s="13">
        <f>$I$17*$AE$17</f>
        <v>0</v>
      </c>
      <c r="AF73" s="13">
        <f ca="1">$I$17*$AF$17</f>
        <v>0</v>
      </c>
      <c r="AG73" s="13">
        <f ca="1">$I$17*$AG$17</f>
        <v>0</v>
      </c>
      <c r="AI73" s="13">
        <f>$I$17*$AI$17</f>
        <v>0</v>
      </c>
      <c r="AJ73" s="13">
        <f>$I$17*$AJ$17</f>
        <v>0</v>
      </c>
      <c r="AK73" s="13">
        <f>$I$17*$AK$17</f>
        <v>0</v>
      </c>
      <c r="AL73" s="13">
        <f>$I$17*$AL$17</f>
        <v>0</v>
      </c>
      <c r="AM73" s="13">
        <f>$I$17*$AM$17</f>
        <v>0</v>
      </c>
      <c r="AN73" s="13">
        <f>$I$17*$AN$17</f>
        <v>0</v>
      </c>
      <c r="AO73" s="13">
        <f>$I$17*$AO$17</f>
        <v>0</v>
      </c>
      <c r="AP73" s="13">
        <f>$I$17*$AP$17</f>
        <v>0</v>
      </c>
      <c r="AQ73" s="13">
        <f>$I$17*$AQ$17</f>
        <v>0</v>
      </c>
      <c r="AR73" s="13">
        <f>$I$17*$AR$17</f>
        <v>0</v>
      </c>
      <c r="AS73" s="13">
        <f>$I$17*$AS$17</f>
        <v>0</v>
      </c>
      <c r="AT73" s="13">
        <f>$I$17*$AT$17</f>
        <v>0</v>
      </c>
      <c r="AU73" s="13">
        <f>$I$17*$AU$17</f>
        <v>0</v>
      </c>
      <c r="AV73" s="13">
        <f>$I$17*$AV$17</f>
        <v>0</v>
      </c>
      <c r="AW73" s="13">
        <f>$I$17*$AW$17</f>
        <v>0</v>
      </c>
      <c r="AX73" s="13">
        <f>$I$17*$AX$17</f>
        <v>0</v>
      </c>
      <c r="AY73" s="13">
        <f>$I$17*$AY$17</f>
        <v>0</v>
      </c>
      <c r="AZ73" s="13">
        <f>$I$17*$AZ$17</f>
        <v>0</v>
      </c>
      <c r="BA73" s="13">
        <f>$I$17*$BA$17</f>
        <v>0</v>
      </c>
      <c r="BB73" s="13">
        <f>$I$17*$BB$17</f>
        <v>0</v>
      </c>
      <c r="BC73" s="13">
        <f>$I$17*$BC$17</f>
        <v>0</v>
      </c>
      <c r="BD73" s="13">
        <f>$I$17*$BD$17</f>
        <v>0</v>
      </c>
    </row>
    <row r="74" spans="1:56" ht="11.25" customHeight="1" x14ac:dyDescent="0.25">
      <c r="A74" s="9" t="s">
        <v>39</v>
      </c>
      <c r="B74" s="9" t="s">
        <v>779</v>
      </c>
      <c r="C74" s="9" t="s">
        <v>780</v>
      </c>
      <c r="D74" s="9" t="s">
        <v>781</v>
      </c>
      <c r="E74" s="9" t="s">
        <v>787</v>
      </c>
      <c r="F74" s="9" t="s">
        <v>788</v>
      </c>
      <c r="G74" s="9" t="s">
        <v>790</v>
      </c>
      <c r="L74" s="13">
        <f>$I$18*$L$18</f>
        <v>0</v>
      </c>
      <c r="M74" s="13">
        <f>$I$18*$M$18</f>
        <v>0</v>
      </c>
      <c r="N74" s="13">
        <f ca="1">$I$18*$N$18</f>
        <v>0</v>
      </c>
      <c r="O74" s="13">
        <f>$I$18*$O$18</f>
        <v>0</v>
      </c>
      <c r="P74" s="13">
        <f>$I$18*$P$18</f>
        <v>0</v>
      </c>
      <c r="Q74" s="13">
        <f>$I$18*$Q$18</f>
        <v>0</v>
      </c>
      <c r="R74" s="13">
        <f>$I$18*$R$18</f>
        <v>0</v>
      </c>
      <c r="S74" s="13">
        <f>$I$18*$S$18</f>
        <v>0</v>
      </c>
      <c r="T74" s="13">
        <f>$I$18*$T$18</f>
        <v>0</v>
      </c>
      <c r="U74" s="13">
        <f>$I$18*$U$18</f>
        <v>0</v>
      </c>
      <c r="V74" s="13">
        <f>$I$18*$V$18</f>
        <v>0</v>
      </c>
      <c r="W74" s="13">
        <f>$I$18*$W$18</f>
        <v>0</v>
      </c>
      <c r="X74" s="13">
        <f>$I$18*$X$18</f>
        <v>0</v>
      </c>
      <c r="Y74" s="13">
        <f>$I$18*$Y$18</f>
        <v>0</v>
      </c>
      <c r="Z74" s="13">
        <f>$I$18*$Z$18</f>
        <v>0</v>
      </c>
      <c r="AA74" s="13">
        <f>$I$18*$AA$18</f>
        <v>0</v>
      </c>
      <c r="AB74" s="13">
        <f ca="1">$I$18*$AB$18</f>
        <v>0</v>
      </c>
      <c r="AC74" s="13">
        <f ca="1">$I$18*$AC$18</f>
        <v>0</v>
      </c>
      <c r="AD74" s="13">
        <f>$I$18*$AD$18</f>
        <v>0</v>
      </c>
      <c r="AE74" s="13">
        <f>$I$18*$AE$18</f>
        <v>0</v>
      </c>
      <c r="AF74" s="13">
        <f ca="1">$I$18*$AF$18</f>
        <v>0</v>
      </c>
      <c r="AG74" s="13">
        <f ca="1">$I$18*$AG$18</f>
        <v>0</v>
      </c>
      <c r="AI74" s="13">
        <f>$I$18*$AI$18</f>
        <v>0</v>
      </c>
      <c r="AJ74" s="13">
        <f>$I$18*$AJ$18</f>
        <v>0</v>
      </c>
      <c r="AK74" s="13">
        <f>$I$18*$AK$18</f>
        <v>0</v>
      </c>
      <c r="AL74" s="13">
        <f>$I$18*$AL$18</f>
        <v>0</v>
      </c>
      <c r="AM74" s="13">
        <f>$I$18*$AM$18</f>
        <v>0</v>
      </c>
      <c r="AN74" s="13">
        <f>$I$18*$AN$18</f>
        <v>0</v>
      </c>
      <c r="AO74" s="13">
        <f>$I$18*$AO$18</f>
        <v>0</v>
      </c>
      <c r="AP74" s="13">
        <f>$I$18*$AP$18</f>
        <v>0</v>
      </c>
      <c r="AQ74" s="13">
        <f>$I$18*$AQ$18</f>
        <v>0</v>
      </c>
      <c r="AR74" s="13">
        <f>$I$18*$AR$18</f>
        <v>0</v>
      </c>
      <c r="AS74" s="13">
        <f>$I$18*$AS$18</f>
        <v>0</v>
      </c>
      <c r="AT74" s="13">
        <f>$I$18*$AT$18</f>
        <v>0</v>
      </c>
      <c r="AU74" s="13">
        <f>$I$18*$AU$18</f>
        <v>0</v>
      </c>
      <c r="AV74" s="13">
        <f>$I$18*$AV$18</f>
        <v>0</v>
      </c>
      <c r="AW74" s="13">
        <f>$I$18*$AW$18</f>
        <v>0</v>
      </c>
      <c r="AX74" s="13">
        <f>$I$18*$AX$18</f>
        <v>0</v>
      </c>
      <c r="AY74" s="13">
        <f>$I$18*$AY$18</f>
        <v>0</v>
      </c>
      <c r="AZ74" s="13">
        <f>$I$18*$AZ$18</f>
        <v>0</v>
      </c>
      <c r="BA74" s="13">
        <f>$I$18*$BA$18</f>
        <v>0</v>
      </c>
      <c r="BB74" s="13">
        <f>$I$18*$BB$18</f>
        <v>0</v>
      </c>
      <c r="BC74" s="13">
        <f>$I$18*$BC$18</f>
        <v>0</v>
      </c>
      <c r="BD74" s="13">
        <f>$I$18*$BD$18</f>
        <v>0</v>
      </c>
    </row>
    <row r="75" spans="1:56" ht="11.25" customHeight="1" x14ac:dyDescent="0.25">
      <c r="A75" s="9" t="s">
        <v>83</v>
      </c>
      <c r="B75" s="9" t="s">
        <v>791</v>
      </c>
      <c r="C75" s="9" t="s">
        <v>792</v>
      </c>
      <c r="D75" s="9" t="s">
        <v>793</v>
      </c>
      <c r="E75" s="9" t="s">
        <v>794</v>
      </c>
      <c r="F75" s="9" t="s">
        <v>795</v>
      </c>
      <c r="G75" s="9" t="s">
        <v>796</v>
      </c>
      <c r="L75" s="13">
        <f>$I$19*$L$19</f>
        <v>0</v>
      </c>
      <c r="M75" s="13">
        <f>$I$19*$M$19</f>
        <v>1.0792597540369143E-10</v>
      </c>
      <c r="N75" s="13">
        <f ca="1">$I$19*$N$19</f>
        <v>0</v>
      </c>
      <c r="O75" s="13">
        <f>$I$19*$O$19</f>
        <v>0</v>
      </c>
      <c r="P75" s="13">
        <f>$I$19*$P$19</f>
        <v>0</v>
      </c>
      <c r="Q75" s="13">
        <f>$I$19*$Q$19</f>
        <v>0</v>
      </c>
      <c r="R75" s="13">
        <f>$I$19*$R$19</f>
        <v>0</v>
      </c>
      <c r="S75" s="13">
        <f>$I$19*$S$19</f>
        <v>0</v>
      </c>
      <c r="T75" s="13">
        <f>$I$19*$T$19</f>
        <v>0</v>
      </c>
      <c r="U75" s="13">
        <f>$I$19*$U$19</f>
        <v>0</v>
      </c>
      <c r="V75" s="13">
        <f>$I$19*$V$19</f>
        <v>0</v>
      </c>
      <c r="W75" s="13">
        <f>$I$19*$W$19</f>
        <v>0</v>
      </c>
      <c r="X75" s="13">
        <f>$I$19*$X$19</f>
        <v>0</v>
      </c>
      <c r="Y75" s="13">
        <f>$I$19*$Y$19</f>
        <v>0</v>
      </c>
      <c r="Z75" s="13">
        <f>$I$19*$Z$19</f>
        <v>0</v>
      </c>
      <c r="AA75" s="13">
        <f>$I$19*$AA$19</f>
        <v>5.0932819273865289E-8</v>
      </c>
      <c r="AB75" s="13">
        <f ca="1">$I$19*$AB$19</f>
        <v>0</v>
      </c>
      <c r="AC75" s="13">
        <f ca="1">$I$19*$AC$19</f>
        <v>0</v>
      </c>
      <c r="AD75" s="13">
        <f>$I$19*$AD$19</f>
        <v>0</v>
      </c>
      <c r="AE75" s="13">
        <f>$I$19*$AE$19</f>
        <v>0</v>
      </c>
      <c r="AF75" s="13">
        <f ca="1">$I$19*$AF$19</f>
        <v>0</v>
      </c>
      <c r="AG75" s="13">
        <f ca="1">$I$19*$AG$19</f>
        <v>0</v>
      </c>
      <c r="AI75" s="13">
        <f>$I$19*$AI$19</f>
        <v>0</v>
      </c>
      <c r="AJ75" s="13">
        <f>$I$19*$AJ$19</f>
        <v>9.5521770308088509E-11</v>
      </c>
      <c r="AK75" s="13">
        <f>$I$19*$AK$19</f>
        <v>0</v>
      </c>
      <c r="AL75" s="13">
        <f>$I$19*$AL$19</f>
        <v>0</v>
      </c>
      <c r="AM75" s="13">
        <f>$I$19*$AM$19</f>
        <v>0</v>
      </c>
      <c r="AN75" s="13">
        <f>$I$19*$AN$19</f>
        <v>0</v>
      </c>
      <c r="AO75" s="13">
        <f>$I$19*$AO$19</f>
        <v>0</v>
      </c>
      <c r="AP75" s="13">
        <f>$I$19*$AP$19</f>
        <v>0</v>
      </c>
      <c r="AQ75" s="13">
        <f>$I$19*$AQ$19</f>
        <v>0</v>
      </c>
      <c r="AR75" s="13">
        <f>$I$19*$AR$19</f>
        <v>0</v>
      </c>
      <c r="AS75" s="13">
        <f>$I$19*$AS$19</f>
        <v>0</v>
      </c>
      <c r="AT75" s="13">
        <f>$I$19*$AT$19</f>
        <v>0</v>
      </c>
      <c r="AU75" s="13">
        <f>$I$19*$AU$19</f>
        <v>0</v>
      </c>
      <c r="AV75" s="13">
        <f>$I$19*$AV$19</f>
        <v>0</v>
      </c>
      <c r="AW75" s="13">
        <f>$I$19*$AW$19</f>
        <v>0</v>
      </c>
      <c r="AX75" s="13">
        <f>$I$19*$AX$19</f>
        <v>4.20965471498244E-8</v>
      </c>
      <c r="AY75" s="13">
        <f>$I$19*$AY$19</f>
        <v>0</v>
      </c>
      <c r="AZ75" s="13">
        <f>$I$19*$AZ$19</f>
        <v>0</v>
      </c>
      <c r="BA75" s="13">
        <f>$I$19*$BA$19</f>
        <v>0</v>
      </c>
      <c r="BB75" s="13">
        <f>$I$19*$BB$19</f>
        <v>0</v>
      </c>
      <c r="BC75" s="13">
        <f>$I$19*$BC$19</f>
        <v>0</v>
      </c>
      <c r="BD75" s="13">
        <f>$I$19*$BD$19</f>
        <v>0</v>
      </c>
    </row>
    <row r="76" spans="1:56" ht="11.25" customHeight="1" x14ac:dyDescent="0.25">
      <c r="A76" s="9" t="s">
        <v>83</v>
      </c>
      <c r="B76" s="9" t="s">
        <v>791</v>
      </c>
      <c r="C76" s="9" t="s">
        <v>792</v>
      </c>
      <c r="D76" s="9" t="s">
        <v>793</v>
      </c>
      <c r="E76" s="9" t="s">
        <v>797</v>
      </c>
      <c r="F76" s="9" t="s">
        <v>798</v>
      </c>
      <c r="G76" s="9" t="s">
        <v>799</v>
      </c>
      <c r="L76" s="13">
        <f>$I$20*$L$20</f>
        <v>0</v>
      </c>
      <c r="M76" s="13">
        <f>$I$20*$M$20</f>
        <v>1.0792597540369143E-10</v>
      </c>
      <c r="N76" s="13">
        <f ca="1">$I$20*$N$20</f>
        <v>0</v>
      </c>
      <c r="O76" s="13">
        <f>$I$20*$O$20</f>
        <v>0</v>
      </c>
      <c r="P76" s="13">
        <f>$I$20*$P$20</f>
        <v>0</v>
      </c>
      <c r="Q76" s="13">
        <f>$I$20*$Q$20</f>
        <v>0</v>
      </c>
      <c r="R76" s="13">
        <f>$I$20*$R$20</f>
        <v>0</v>
      </c>
      <c r="S76" s="13">
        <f>$I$20*$S$20</f>
        <v>0</v>
      </c>
      <c r="T76" s="13">
        <f>$I$20*$T$20</f>
        <v>0</v>
      </c>
      <c r="U76" s="13">
        <f>$I$20*$U$20</f>
        <v>0</v>
      </c>
      <c r="V76" s="13">
        <f>$I$20*$V$20</f>
        <v>0</v>
      </c>
      <c r="W76" s="13">
        <f>$I$20*$W$20</f>
        <v>0</v>
      </c>
      <c r="X76" s="13">
        <f>$I$20*$X$20</f>
        <v>0</v>
      </c>
      <c r="Y76" s="13">
        <f>$I$20*$Y$20</f>
        <v>0</v>
      </c>
      <c r="Z76" s="13">
        <f>$I$20*$Z$20</f>
        <v>0</v>
      </c>
      <c r="AA76" s="13">
        <f>$I$20*$AA$20</f>
        <v>1.0362499765391033E-7</v>
      </c>
      <c r="AB76" s="13">
        <f ca="1">$I$20*$AB$20</f>
        <v>0</v>
      </c>
      <c r="AC76" s="13">
        <f ca="1">$I$20*$AC$20</f>
        <v>0</v>
      </c>
      <c r="AD76" s="13">
        <f>$I$20*$AD$20</f>
        <v>0</v>
      </c>
      <c r="AE76" s="13">
        <f>$I$20*$AE$20</f>
        <v>0</v>
      </c>
      <c r="AF76" s="13">
        <f ca="1">$I$20*$AF$20</f>
        <v>0</v>
      </c>
      <c r="AG76" s="13">
        <f ca="1">$I$20*$AG$20</f>
        <v>0</v>
      </c>
      <c r="AI76" s="13">
        <f>$I$20*$AI$20</f>
        <v>0</v>
      </c>
      <c r="AJ76" s="13">
        <f>$I$20*$AJ$20</f>
        <v>9.5521770308088509E-11</v>
      </c>
      <c r="AK76" s="13">
        <f>$I$20*$AK$20</f>
        <v>0</v>
      </c>
      <c r="AL76" s="13">
        <f>$I$20*$AL$20</f>
        <v>0</v>
      </c>
      <c r="AM76" s="13">
        <f>$I$20*$AM$20</f>
        <v>0</v>
      </c>
      <c r="AN76" s="13">
        <f>$I$20*$AN$20</f>
        <v>0</v>
      </c>
      <c r="AO76" s="13">
        <f>$I$20*$AO$20</f>
        <v>0</v>
      </c>
      <c r="AP76" s="13">
        <f>$I$20*$AP$20</f>
        <v>0</v>
      </c>
      <c r="AQ76" s="13">
        <f>$I$20*$AQ$20</f>
        <v>0</v>
      </c>
      <c r="AR76" s="13">
        <f>$I$20*$AR$20</f>
        <v>0</v>
      </c>
      <c r="AS76" s="13">
        <f>$I$20*$AS$20</f>
        <v>0</v>
      </c>
      <c r="AT76" s="13">
        <f>$I$20*$AT$20</f>
        <v>0</v>
      </c>
      <c r="AU76" s="13">
        <f>$I$20*$AU$20</f>
        <v>0</v>
      </c>
      <c r="AV76" s="13">
        <f>$I$20*$AV$20</f>
        <v>0</v>
      </c>
      <c r="AW76" s="13">
        <f>$I$20*$AW$20</f>
        <v>0</v>
      </c>
      <c r="AX76" s="13">
        <f>$I$20*$AX$20</f>
        <v>8.5647316534279896E-8</v>
      </c>
      <c r="AY76" s="13">
        <f>$I$20*$AY$20</f>
        <v>0</v>
      </c>
      <c r="AZ76" s="13">
        <f>$I$20*$AZ$20</f>
        <v>0</v>
      </c>
      <c r="BA76" s="13">
        <f>$I$20*$BA$20</f>
        <v>0</v>
      </c>
      <c r="BB76" s="13">
        <f>$I$20*$BB$20</f>
        <v>0</v>
      </c>
      <c r="BC76" s="13">
        <f>$I$20*$BC$20</f>
        <v>0</v>
      </c>
      <c r="BD76" s="13">
        <f>$I$20*$BD$20</f>
        <v>0</v>
      </c>
    </row>
    <row r="77" spans="1:56" ht="11.25" customHeight="1" x14ac:dyDescent="0.25">
      <c r="A77" s="9" t="s">
        <v>22</v>
      </c>
      <c r="B77" s="9" t="s">
        <v>800</v>
      </c>
      <c r="C77" s="9" t="s">
        <v>801</v>
      </c>
      <c r="D77" s="9" t="s">
        <v>802</v>
      </c>
      <c r="E77" s="9" t="s">
        <v>803</v>
      </c>
      <c r="F77" s="9" t="s">
        <v>804</v>
      </c>
      <c r="G77" s="9" t="s">
        <v>805</v>
      </c>
      <c r="L77" s="13">
        <f>$I$21*$L$21</f>
        <v>4.9160718167244477</v>
      </c>
      <c r="M77" s="13">
        <f>$I$21*$M$21</f>
        <v>0.11199336450091002</v>
      </c>
      <c r="N77" s="13">
        <f ca="1">$I$21*$N$21</f>
        <v>0</v>
      </c>
      <c r="O77" s="13">
        <f>$I$21*$O$21</f>
        <v>0</v>
      </c>
      <c r="P77" s="13">
        <f>$I$21*$P$21</f>
        <v>0</v>
      </c>
      <c r="Q77" s="13">
        <f>$I$21*$Q$21</f>
        <v>13.853837592660897</v>
      </c>
      <c r="R77" s="13">
        <f>$I$21*$R$21</f>
        <v>2.1894146371457972</v>
      </c>
      <c r="S77" s="13">
        <f>$I$21*$S$21</f>
        <v>0</v>
      </c>
      <c r="T77" s="13">
        <f>$I$21*$T$21</f>
        <v>11.83592790947654</v>
      </c>
      <c r="U77" s="13">
        <f>$I$21*$U$21</f>
        <v>1.6655598531851772</v>
      </c>
      <c r="V77" s="13">
        <f>$I$21*$V$21</f>
        <v>0</v>
      </c>
      <c r="W77" s="13">
        <f>$I$21*$W$21</f>
        <v>0</v>
      </c>
      <c r="X77" s="13">
        <f>$I$21*$X$21</f>
        <v>0</v>
      </c>
      <c r="Y77" s="13">
        <f>$I$21*$Y$21</f>
        <v>0</v>
      </c>
      <c r="Z77" s="13">
        <f>$I$21*$Z$21</f>
        <v>0</v>
      </c>
      <c r="AA77" s="13">
        <f>$I$21*$AA$21</f>
        <v>67.592415313334683</v>
      </c>
      <c r="AB77" s="13">
        <f ca="1">$I$21*$AB$21</f>
        <v>0</v>
      </c>
      <c r="AC77" s="13">
        <f ca="1">$I$21*$AC$21</f>
        <v>0</v>
      </c>
      <c r="AD77" s="13">
        <f>$I$21*$AD$21</f>
        <v>1.8413803544577845</v>
      </c>
      <c r="AE77" s="13">
        <f>$I$21*$AE$21</f>
        <v>0</v>
      </c>
      <c r="AF77" s="13">
        <f ca="1">$I$21*$AF$21</f>
        <v>0</v>
      </c>
      <c r="AG77" s="13">
        <f ca="1">$I$21*$AG$21</f>
        <v>0</v>
      </c>
      <c r="AI77" s="13">
        <f>$I$21*$AI$21</f>
        <v>4.9277712865515593</v>
      </c>
      <c r="AJ77" s="13">
        <f>$I$21*$AJ$21</f>
        <v>0.11697509504152226</v>
      </c>
      <c r="AK77" s="13">
        <f>$I$21*$AK$21</f>
        <v>0</v>
      </c>
      <c r="AL77" s="13">
        <f>$I$21*$AL$21</f>
        <v>0</v>
      </c>
      <c r="AM77" s="13">
        <f>$I$21*$AM$21</f>
        <v>0</v>
      </c>
      <c r="AN77" s="13">
        <f>$I$21*$AN$21</f>
        <v>8.5355349842858317</v>
      </c>
      <c r="AO77" s="13">
        <f>$I$21*$AO$21</f>
        <v>1.3396448883649679</v>
      </c>
      <c r="AP77" s="13">
        <f>$I$21*$AP$21</f>
        <v>0</v>
      </c>
      <c r="AQ77" s="13">
        <f>$I$21*$AQ$21</f>
        <v>8.2727978510630837</v>
      </c>
      <c r="AR77" s="13">
        <f>$I$21*$AR$21</f>
        <v>1.5508948601463393</v>
      </c>
      <c r="AS77" s="13">
        <f>$I$21*$AS$21</f>
        <v>0</v>
      </c>
      <c r="AT77" s="13">
        <f>$I$21*$AT$21</f>
        <v>0</v>
      </c>
      <c r="AU77" s="13">
        <f>$I$21*$AU$21</f>
        <v>0</v>
      </c>
      <c r="AV77" s="13">
        <f>$I$21*$AV$21</f>
        <v>0</v>
      </c>
      <c r="AW77" s="13">
        <f>$I$21*$AW$21</f>
        <v>0</v>
      </c>
      <c r="AX77" s="13">
        <f>$I$21*$AX$21</f>
        <v>55.865962660607643</v>
      </c>
      <c r="AY77" s="13">
        <f>$I$21*$AY$21</f>
        <v>0</v>
      </c>
      <c r="AZ77" s="13">
        <f>$I$21*$AZ$21</f>
        <v>0</v>
      </c>
      <c r="BA77" s="13">
        <f>$I$21*$BA$21</f>
        <v>2.1850982169785849</v>
      </c>
      <c r="BB77" s="13">
        <f>$I$21*$BB$21</f>
        <v>0</v>
      </c>
      <c r="BC77" s="13">
        <f>$I$21*$BC$21</f>
        <v>0</v>
      </c>
      <c r="BD77" s="13">
        <f>$I$21*$BD$21</f>
        <v>0</v>
      </c>
    </row>
    <row r="78" spans="1:56" ht="11.25" customHeight="1" x14ac:dyDescent="0.25">
      <c r="A78" s="9" t="s">
        <v>22</v>
      </c>
      <c r="B78" s="9" t="s">
        <v>800</v>
      </c>
      <c r="C78" s="9" t="s">
        <v>801</v>
      </c>
      <c r="D78" s="9" t="s">
        <v>802</v>
      </c>
      <c r="E78" s="9" t="s">
        <v>803</v>
      </c>
      <c r="F78" s="9" t="s">
        <v>804</v>
      </c>
      <c r="G78" s="9" t="s">
        <v>806</v>
      </c>
      <c r="L78" s="13">
        <f>$I$22*$L$22</f>
        <v>2.745338806742224</v>
      </c>
      <c r="M78" s="13">
        <f>$I$22*$M$22</f>
        <v>6.2541749007001698E-2</v>
      </c>
      <c r="N78" s="13">
        <f ca="1">$I$22*$N$22</f>
        <v>0</v>
      </c>
      <c r="O78" s="13">
        <f>$I$22*$O$22</f>
        <v>0</v>
      </c>
      <c r="P78" s="13">
        <f>$I$22*$P$22</f>
        <v>0</v>
      </c>
      <c r="Q78" s="13">
        <f>$I$22*$Q$22</f>
        <v>7.7365586556417991</v>
      </c>
      <c r="R78" s="13">
        <f>$I$22*$R$22</f>
        <v>1.2226601220424582</v>
      </c>
      <c r="S78" s="13">
        <f>$I$22*$S$22</f>
        <v>0</v>
      </c>
      <c r="T78" s="13">
        <f>$I$22*$T$22</f>
        <v>3.9657991355373756</v>
      </c>
      <c r="U78" s="13">
        <f>$I$22*$U$22</f>
        <v>0.55807466807505246</v>
      </c>
      <c r="V78" s="13">
        <f>$I$22*$V$22</f>
        <v>0</v>
      </c>
      <c r="W78" s="13">
        <f>$I$22*$W$22</f>
        <v>0</v>
      </c>
      <c r="X78" s="13">
        <f>$I$22*$X$22</f>
        <v>0</v>
      </c>
      <c r="Y78" s="13">
        <f>$I$22*$Y$22</f>
        <v>0</v>
      </c>
      <c r="Z78" s="13">
        <f>$I$22*$Z$22</f>
        <v>0</v>
      </c>
      <c r="AA78" s="13">
        <f>$I$22*$AA$22</f>
        <v>22.647853998148957</v>
      </c>
      <c r="AB78" s="13">
        <f ca="1">$I$22*$AB$22</f>
        <v>0</v>
      </c>
      <c r="AC78" s="13">
        <f ca="1">$I$22*$AC$22</f>
        <v>0</v>
      </c>
      <c r="AD78" s="13">
        <f>$I$22*$AD$22</f>
        <v>1.0283033148270744</v>
      </c>
      <c r="AE78" s="13">
        <f>$I$22*$AE$22</f>
        <v>0</v>
      </c>
      <c r="AF78" s="13">
        <f ca="1">$I$22*$AF$22</f>
        <v>0</v>
      </c>
      <c r="AG78" s="13">
        <f ca="1">$I$22*$AG$22</f>
        <v>0</v>
      </c>
      <c r="AI78" s="13">
        <f>$I$22*$AI$22</f>
        <v>2.751872276905416</v>
      </c>
      <c r="AJ78" s="13">
        <f>$I$22*$AJ$22</f>
        <v>6.5323754373837098E-2</v>
      </c>
      <c r="AK78" s="13">
        <f>$I$22*$AK$22</f>
        <v>0</v>
      </c>
      <c r="AL78" s="13">
        <f>$I$22*$AL$22</f>
        <v>0</v>
      </c>
      <c r="AM78" s="13">
        <f>$I$22*$AM$22</f>
        <v>0</v>
      </c>
      <c r="AN78" s="13">
        <f>$I$22*$AN$22</f>
        <v>4.7665974587570226</v>
      </c>
      <c r="AO78" s="13">
        <f>$I$22*$AO$22</f>
        <v>0.74811337921680021</v>
      </c>
      <c r="AP78" s="13">
        <f>$I$22*$AP$22</f>
        <v>0</v>
      </c>
      <c r="AQ78" s="13">
        <f>$I$22*$AQ$22</f>
        <v>2.7719229641994145</v>
      </c>
      <c r="AR78" s="13">
        <f>$I$22*$AR$22</f>
        <v>0.51964836355437272</v>
      </c>
      <c r="AS78" s="13">
        <f>$I$22*$AS$22</f>
        <v>0</v>
      </c>
      <c r="AT78" s="13">
        <f>$I$22*$AT$22</f>
        <v>0</v>
      </c>
      <c r="AU78" s="13">
        <f>$I$22*$AU$22</f>
        <v>0</v>
      </c>
      <c r="AV78" s="13">
        <f>$I$22*$AV$22</f>
        <v>0</v>
      </c>
      <c r="AW78" s="13">
        <f>$I$22*$AW$22</f>
        <v>0</v>
      </c>
      <c r="AX78" s="13">
        <f>$I$22*$AX$22</f>
        <v>18.718734119886012</v>
      </c>
      <c r="AY78" s="13">
        <f>$I$22*$AY$22</f>
        <v>0</v>
      </c>
      <c r="AZ78" s="13">
        <f>$I$22*$AZ$22</f>
        <v>0</v>
      </c>
      <c r="BA78" s="13">
        <f>$I$22*$BA$22</f>
        <v>1.2202496536373912</v>
      </c>
      <c r="BB78" s="13">
        <f>$I$22*$BB$22</f>
        <v>0</v>
      </c>
      <c r="BC78" s="13">
        <f>$I$22*$BC$22</f>
        <v>0</v>
      </c>
      <c r="BD78" s="13">
        <f>$I$22*$BD$22</f>
        <v>0</v>
      </c>
    </row>
    <row r="79" spans="1:56" ht="11.25" customHeight="1" x14ac:dyDescent="0.25">
      <c r="A79" s="9" t="s">
        <v>22</v>
      </c>
      <c r="B79" s="9" t="s">
        <v>800</v>
      </c>
      <c r="C79" s="9" t="s">
        <v>801</v>
      </c>
      <c r="D79" s="9" t="s">
        <v>802</v>
      </c>
      <c r="E79" s="9" t="s">
        <v>803</v>
      </c>
      <c r="F79" s="9" t="s">
        <v>804</v>
      </c>
      <c r="G79" s="9" t="s">
        <v>807</v>
      </c>
      <c r="L79" s="13">
        <f>$I$23*$L$23</f>
        <v>30.358339595486683</v>
      </c>
      <c r="M79" s="13">
        <f>$I$23*$M$23</f>
        <v>0.69159538727510017</v>
      </c>
      <c r="N79" s="13">
        <f ca="1">$I$23*$N$23</f>
        <v>0</v>
      </c>
      <c r="O79" s="13">
        <f>$I$23*$O$23</f>
        <v>0</v>
      </c>
      <c r="P79" s="13">
        <f>$I$23*$P$23</f>
        <v>0</v>
      </c>
      <c r="Q79" s="13">
        <f>$I$23*$Q$23</f>
        <v>85.551945133899437</v>
      </c>
      <c r="R79" s="13">
        <f>$I$23*$R$23</f>
        <v>13.520346233283462</v>
      </c>
      <c r="S79" s="13">
        <f>$I$23*$S$23</f>
        <v>0</v>
      </c>
      <c r="T79" s="13">
        <f>$I$23*$T$23</f>
        <v>14.618168733330467</v>
      </c>
      <c r="U79" s="13">
        <f>$I$23*$U$23</f>
        <v>2.0571622413111252</v>
      </c>
      <c r="V79" s="13">
        <f>$I$23*$V$23</f>
        <v>0</v>
      </c>
      <c r="W79" s="13">
        <f>$I$23*$W$23</f>
        <v>0</v>
      </c>
      <c r="X79" s="13">
        <f>$I$23*$X$23</f>
        <v>0</v>
      </c>
      <c r="Y79" s="13">
        <f>$I$23*$Y$23</f>
        <v>0</v>
      </c>
      <c r="Z79" s="13">
        <f>$I$23*$Z$23</f>
        <v>0</v>
      </c>
      <c r="AA79" s="13">
        <f>$I$23*$AA$23</f>
        <v>83.48099023601192</v>
      </c>
      <c r="AB79" s="13">
        <f ca="1">$I$23*$AB$23</f>
        <v>0</v>
      </c>
      <c r="AC79" s="13">
        <f ca="1">$I$23*$AC$23</f>
        <v>0</v>
      </c>
      <c r="AD79" s="13">
        <f>$I$23*$AD$23</f>
        <v>11.371121539541253</v>
      </c>
      <c r="AE79" s="13">
        <f>$I$23*$AE$23</f>
        <v>0</v>
      </c>
      <c r="AF79" s="13">
        <f ca="1">$I$23*$AF$23</f>
        <v>0</v>
      </c>
      <c r="AG79" s="13">
        <f ca="1">$I$23*$AG$23</f>
        <v>0</v>
      </c>
      <c r="AI79" s="13">
        <f>$I$23*$AI$23</f>
        <v>30.430587620198267</v>
      </c>
      <c r="AJ79" s="13">
        <f>$I$23*$AJ$23</f>
        <v>0.72235919080836142</v>
      </c>
      <c r="AK79" s="13">
        <f>$I$23*$AK$23</f>
        <v>0</v>
      </c>
      <c r="AL79" s="13">
        <f>$I$23*$AL$23</f>
        <v>0</v>
      </c>
      <c r="AM79" s="13">
        <f>$I$23*$AM$23</f>
        <v>0</v>
      </c>
      <c r="AN79" s="13">
        <f>$I$23*$AN$23</f>
        <v>52.709699805557314</v>
      </c>
      <c r="AO79" s="13">
        <f>$I$23*$AO$23</f>
        <v>8.2727421352927557</v>
      </c>
      <c r="AP79" s="13">
        <f>$I$23*$AP$23</f>
        <v>0</v>
      </c>
      <c r="AQ79" s="13">
        <f>$I$23*$AQ$23</f>
        <v>10.217409132488434</v>
      </c>
      <c r="AR79" s="13">
        <f>$I$23*$AR$23</f>
        <v>1.9155262576170784</v>
      </c>
      <c r="AS79" s="13">
        <f>$I$23*$AS$23</f>
        <v>0</v>
      </c>
      <c r="AT79" s="13">
        <f>$I$23*$AT$23</f>
        <v>0</v>
      </c>
      <c r="AU79" s="13">
        <f>$I$23*$AU$23</f>
        <v>0</v>
      </c>
      <c r="AV79" s="13">
        <f>$I$23*$AV$23</f>
        <v>0</v>
      </c>
      <c r="AW79" s="13">
        <f>$I$23*$AW$23</f>
        <v>0</v>
      </c>
      <c r="AX79" s="13">
        <f>$I$23*$AX$23</f>
        <v>68.998069506475119</v>
      </c>
      <c r="AY79" s="13">
        <f>$I$23*$AY$23</f>
        <v>0</v>
      </c>
      <c r="AZ79" s="13">
        <f>$I$23*$AZ$23</f>
        <v>0</v>
      </c>
      <c r="BA79" s="13">
        <f>$I$23*$BA$23</f>
        <v>13.493690937315804</v>
      </c>
      <c r="BB79" s="13">
        <f>$I$23*$BB$23</f>
        <v>0</v>
      </c>
      <c r="BC79" s="13">
        <f>$I$23*$BC$23</f>
        <v>0</v>
      </c>
      <c r="BD79" s="13">
        <f>$I$23*$BD$23</f>
        <v>0</v>
      </c>
    </row>
    <row r="80" spans="1:56" ht="11.25" customHeight="1" x14ac:dyDescent="0.25">
      <c r="A80" s="9" t="s">
        <v>22</v>
      </c>
      <c r="B80" s="9" t="s">
        <v>808</v>
      </c>
      <c r="C80" s="9" t="s">
        <v>809</v>
      </c>
      <c r="D80" s="9" t="s">
        <v>810</v>
      </c>
      <c r="E80" s="9" t="s">
        <v>811</v>
      </c>
      <c r="F80" s="9" t="s">
        <v>812</v>
      </c>
      <c r="G80" s="9" t="s">
        <v>813</v>
      </c>
      <c r="L80" s="13">
        <f>$I$24*$L$24</f>
        <v>1868825.0049179876</v>
      </c>
      <c r="M80" s="13">
        <f>$I$24*$M$24</f>
        <v>42573.828814333297</v>
      </c>
      <c r="N80" s="13">
        <f ca="1">$I$24*$N$24</f>
        <v>0</v>
      </c>
      <c r="O80" s="13">
        <f>$I$24*$O$24</f>
        <v>0</v>
      </c>
      <c r="P80" s="13">
        <f>$I$24*$P$24</f>
        <v>0</v>
      </c>
      <c r="Q80" s="13">
        <f>$I$24*$Q$24</f>
        <v>5266480.8555396851</v>
      </c>
      <c r="R80" s="13">
        <f>$I$24*$R$24</f>
        <v>832297.20243544818</v>
      </c>
      <c r="S80" s="13">
        <f>$I$24*$S$24</f>
        <v>0</v>
      </c>
      <c r="T80" s="13">
        <f>$I$24*$T$24</f>
        <v>1666441.2439756559</v>
      </c>
      <c r="U80" s="13">
        <f>$I$24*$U$24</f>
        <v>234492.19295989853</v>
      </c>
      <c r="V80" s="13">
        <f>$I$24*$V$24</f>
        <v>0</v>
      </c>
      <c r="W80" s="13">
        <f>$I$24*$W$24</f>
        <v>0</v>
      </c>
      <c r="X80" s="13">
        <f>$I$24*$X$24</f>
        <v>0</v>
      </c>
      <c r="Y80" s="13">
        <f>$I$24*$Y$24</f>
        <v>0</v>
      </c>
      <c r="Z80" s="13">
        <f>$I$24*$Z$24</f>
        <v>0</v>
      </c>
      <c r="AA80" s="13">
        <f>$I$24*$AA$24</f>
        <v>9516662.159253167</v>
      </c>
      <c r="AB80" s="13">
        <f ca="1">$I$24*$AB$24</f>
        <v>0</v>
      </c>
      <c r="AC80" s="13">
        <f ca="1">$I$24*$AC$24</f>
        <v>0</v>
      </c>
      <c r="AD80" s="13">
        <f>$I$24*$AD$24</f>
        <v>699993.36426869372</v>
      </c>
      <c r="AE80" s="13">
        <f>$I$24*$AE$24</f>
        <v>0</v>
      </c>
      <c r="AF80" s="13">
        <f ca="1">$I$24*$AF$24</f>
        <v>0</v>
      </c>
      <c r="AG80" s="13">
        <f ca="1">$I$24*$AG$24</f>
        <v>0</v>
      </c>
      <c r="AI80" s="13">
        <f>$I$24*$AI$24</f>
        <v>1873272.5114989143</v>
      </c>
      <c r="AJ80" s="13">
        <f>$I$24*$AJ$24</f>
        <v>44467.613720075977</v>
      </c>
      <c r="AK80" s="13">
        <f>$I$24*$AK$24</f>
        <v>0</v>
      </c>
      <c r="AL80" s="13">
        <f>$I$24*$AL$24</f>
        <v>0</v>
      </c>
      <c r="AM80" s="13">
        <f>$I$24*$AM$24</f>
        <v>0</v>
      </c>
      <c r="AN80" s="13">
        <f>$I$24*$AN$24</f>
        <v>3244749.4267107705</v>
      </c>
      <c r="AO80" s="13">
        <f>$I$24*$AO$24</f>
        <v>509260.63703339628</v>
      </c>
      <c r="AP80" s="13">
        <f>$I$24*$AP$24</f>
        <v>0</v>
      </c>
      <c r="AQ80" s="13">
        <f>$I$24*$AQ$24</f>
        <v>1164771.2108609765</v>
      </c>
      <c r="AR80" s="13">
        <f>$I$24*$AR$24</f>
        <v>218349.12317016048</v>
      </c>
      <c r="AS80" s="13">
        <f>$I$24*$AS$24</f>
        <v>0</v>
      </c>
      <c r="AT80" s="13">
        <f>$I$24*$AT$24</f>
        <v>0</v>
      </c>
      <c r="AU80" s="13">
        <f>$I$24*$AU$24</f>
        <v>0</v>
      </c>
      <c r="AV80" s="13">
        <f>$I$24*$AV$24</f>
        <v>0</v>
      </c>
      <c r="AW80" s="13">
        <f>$I$24*$AW$24</f>
        <v>0</v>
      </c>
      <c r="AX80" s="13">
        <f>$I$24*$AX$24</f>
        <v>7865638.8634885186</v>
      </c>
      <c r="AY80" s="13">
        <f>$I$24*$AY$24</f>
        <v>0</v>
      </c>
      <c r="AZ80" s="13">
        <f>$I$24*$AZ$24</f>
        <v>0</v>
      </c>
      <c r="BA80" s="13">
        <f>$I$24*$BA$24</f>
        <v>830656.3326025916</v>
      </c>
      <c r="BB80" s="13">
        <f>$I$24*$BB$24</f>
        <v>0</v>
      </c>
      <c r="BC80" s="13">
        <f>$I$24*$BC$24</f>
        <v>0</v>
      </c>
      <c r="BD80" s="13">
        <f>$I$24*$BD$24</f>
        <v>0</v>
      </c>
    </row>
    <row r="81" spans="1:56" ht="11.25" customHeight="1" x14ac:dyDescent="0.25">
      <c r="A81" s="9" t="s">
        <v>22</v>
      </c>
      <c r="B81" s="9" t="s">
        <v>808</v>
      </c>
      <c r="C81" s="9" t="s">
        <v>809</v>
      </c>
      <c r="D81" s="9" t="s">
        <v>814</v>
      </c>
      <c r="E81" s="9" t="s">
        <v>815</v>
      </c>
      <c r="F81" s="9" t="s">
        <v>816</v>
      </c>
      <c r="G81" s="9" t="s">
        <v>817</v>
      </c>
      <c r="L81" s="13">
        <f>$I$25*$L$25</f>
        <v>0</v>
      </c>
      <c r="M81" s="13">
        <f>$I$25*$M$25</f>
        <v>53.30756885056384</v>
      </c>
      <c r="N81" s="13">
        <f ca="1">$I$25*$N$25</f>
        <v>0</v>
      </c>
      <c r="O81" s="13">
        <f>$I$25*$O$25</f>
        <v>0</v>
      </c>
      <c r="P81" s="13">
        <f>$I$25*$P$25</f>
        <v>0</v>
      </c>
      <c r="Q81" s="13">
        <f>$I$25*$Q$25</f>
        <v>0</v>
      </c>
      <c r="R81" s="13">
        <f>$I$25*$R$25</f>
        <v>0</v>
      </c>
      <c r="S81" s="13">
        <f>$I$25*$S$25</f>
        <v>0</v>
      </c>
      <c r="T81" s="13">
        <f>$I$25*$T$25</f>
        <v>2086.5854404606398</v>
      </c>
      <c r="U81" s="13">
        <f>$I$25*$U$25</f>
        <v>293.61250959230279</v>
      </c>
      <c r="V81" s="13">
        <f>$I$25*$V$25</f>
        <v>0</v>
      </c>
      <c r="W81" s="13">
        <f>$I$25*$W$25</f>
        <v>0</v>
      </c>
      <c r="X81" s="13">
        <f>$I$25*$X$25</f>
        <v>0</v>
      </c>
      <c r="Y81" s="13">
        <f>$I$25*$Y$25</f>
        <v>0</v>
      </c>
      <c r="Z81" s="13">
        <f>$I$25*$Z$25</f>
        <v>0</v>
      </c>
      <c r="AA81" s="13">
        <f>$I$25*$AA$25</f>
        <v>11916.00890524434</v>
      </c>
      <c r="AB81" s="13">
        <f ca="1">$I$25*$AB$25</f>
        <v>0</v>
      </c>
      <c r="AC81" s="13">
        <f ca="1">$I$25*$AC$25</f>
        <v>0</v>
      </c>
      <c r="AD81" s="13">
        <f>$I$25*$AD$25</f>
        <v>876.47612394515022</v>
      </c>
      <c r="AE81" s="13">
        <f>$I$25*$AE$25</f>
        <v>0</v>
      </c>
      <c r="AF81" s="13">
        <f ca="1">$I$25*$AF$25</f>
        <v>0</v>
      </c>
      <c r="AG81" s="13">
        <f ca="1">$I$25*$AG$25</f>
        <v>0</v>
      </c>
      <c r="AI81" s="13">
        <f>$I$25*$AI$25</f>
        <v>0</v>
      </c>
      <c r="AJ81" s="13">
        <f>$I$25*$AJ$25</f>
        <v>55.678815977320852</v>
      </c>
      <c r="AK81" s="13">
        <f>$I$25*$AK$25</f>
        <v>0</v>
      </c>
      <c r="AL81" s="13">
        <f>$I$25*$AL$25</f>
        <v>0</v>
      </c>
      <c r="AM81" s="13">
        <f>$I$25*$AM$25</f>
        <v>0</v>
      </c>
      <c r="AN81" s="13">
        <f>$I$25*$AN$25</f>
        <v>0</v>
      </c>
      <c r="AO81" s="13">
        <f>$I$25*$AO$25</f>
        <v>0</v>
      </c>
      <c r="AP81" s="13">
        <f>$I$25*$AP$25</f>
        <v>0</v>
      </c>
      <c r="AQ81" s="13">
        <f>$I$25*$AQ$25</f>
        <v>1458.4340485068556</v>
      </c>
      <c r="AR81" s="13">
        <f>$I$25*$AR$25</f>
        <v>273.399439068888</v>
      </c>
      <c r="AS81" s="13">
        <f>$I$25*$AS$25</f>
        <v>0</v>
      </c>
      <c r="AT81" s="13">
        <f>$I$25*$AT$25</f>
        <v>0</v>
      </c>
      <c r="AU81" s="13">
        <f>$I$25*$AU$25</f>
        <v>0</v>
      </c>
      <c r="AV81" s="13">
        <f>$I$25*$AV$25</f>
        <v>0</v>
      </c>
      <c r="AW81" s="13">
        <f>$I$25*$AW$25</f>
        <v>0</v>
      </c>
      <c r="AX81" s="13">
        <f>$I$25*$AX$25</f>
        <v>9848.7285956277683</v>
      </c>
      <c r="AY81" s="13">
        <f>$I$25*$AY$25</f>
        <v>0</v>
      </c>
      <c r="AZ81" s="13">
        <f>$I$25*$AZ$25</f>
        <v>0</v>
      </c>
      <c r="BA81" s="13">
        <f>$I$25*$BA$25</f>
        <v>1040.081920620253</v>
      </c>
      <c r="BB81" s="13">
        <f>$I$25*$BB$25</f>
        <v>0</v>
      </c>
      <c r="BC81" s="13">
        <f>$I$25*$BC$25</f>
        <v>0</v>
      </c>
      <c r="BD81" s="13">
        <f>$I$25*$BD$25</f>
        <v>0</v>
      </c>
    </row>
    <row r="82" spans="1:56" ht="11.25" customHeight="1" x14ac:dyDescent="0.25">
      <c r="A82" s="9" t="s">
        <v>22</v>
      </c>
      <c r="B82" s="9" t="s">
        <v>808</v>
      </c>
      <c r="C82" s="9" t="s">
        <v>809</v>
      </c>
      <c r="D82" s="9" t="s">
        <v>818</v>
      </c>
      <c r="E82" s="9" t="s">
        <v>819</v>
      </c>
      <c r="F82" s="9" t="s">
        <v>820</v>
      </c>
      <c r="G82" s="9" t="s">
        <v>821</v>
      </c>
      <c r="L82" s="13">
        <f>$I$26*$L$26</f>
        <v>0</v>
      </c>
      <c r="M82" s="13">
        <f>$I$26*$M$26</f>
        <v>196.48246769374785</v>
      </c>
      <c r="N82" s="13">
        <f ca="1">$I$26*$N$26</f>
        <v>0</v>
      </c>
      <c r="O82" s="13">
        <f>$I$26*$O$26</f>
        <v>0</v>
      </c>
      <c r="P82" s="13">
        <f>$I$26*$P$26</f>
        <v>0</v>
      </c>
      <c r="Q82" s="13">
        <f>$I$26*$Q$26</f>
        <v>0</v>
      </c>
      <c r="R82" s="13">
        <f>$I$26*$R$26</f>
        <v>0</v>
      </c>
      <c r="S82" s="13">
        <f>$I$26*$S$26</f>
        <v>0</v>
      </c>
      <c r="T82" s="13">
        <f>$I$26*$T$26</f>
        <v>7690.7926066715754</v>
      </c>
      <c r="U82" s="13">
        <f>$I$26*$U$26</f>
        <v>1082.2048664828517</v>
      </c>
      <c r="V82" s="13">
        <f>$I$26*$V$26</f>
        <v>0</v>
      </c>
      <c r="W82" s="13">
        <f>$I$26*$W$26</f>
        <v>0</v>
      </c>
      <c r="X82" s="13">
        <f>$I$26*$X$26</f>
        <v>0</v>
      </c>
      <c r="Y82" s="13">
        <f>$I$26*$Y$26</f>
        <v>0</v>
      </c>
      <c r="Z82" s="13">
        <f>$I$26*$Z$26</f>
        <v>0</v>
      </c>
      <c r="AA82" s="13">
        <f>$I$26*$AA$26</f>
        <v>43920.345370211318</v>
      </c>
      <c r="AB82" s="13">
        <f ca="1">$I$26*$AB$26</f>
        <v>0</v>
      </c>
      <c r="AC82" s="13">
        <f ca="1">$I$26*$AC$26</f>
        <v>0</v>
      </c>
      <c r="AD82" s="13">
        <f>$I$26*$AD$26</f>
        <v>3230.5392164882569</v>
      </c>
      <c r="AE82" s="13">
        <f>$I$26*$AE$26</f>
        <v>0</v>
      </c>
      <c r="AF82" s="13">
        <f ca="1">$I$26*$AF$26</f>
        <v>0</v>
      </c>
      <c r="AG82" s="13">
        <f ca="1">$I$26*$AG$26</f>
        <v>0</v>
      </c>
      <c r="AI82" s="13">
        <f>$I$26*$AI$26</f>
        <v>0</v>
      </c>
      <c r="AJ82" s="13">
        <f>$I$26*$AJ$26</f>
        <v>205.22247398221756</v>
      </c>
      <c r="AK82" s="13">
        <f>$I$26*$AK$26</f>
        <v>0</v>
      </c>
      <c r="AL82" s="13">
        <f>$I$26*$AL$26</f>
        <v>0</v>
      </c>
      <c r="AM82" s="13">
        <f>$I$26*$AM$26</f>
        <v>0</v>
      </c>
      <c r="AN82" s="13">
        <f>$I$26*$AN$26</f>
        <v>0</v>
      </c>
      <c r="AO82" s="13">
        <f>$I$26*$AO$26</f>
        <v>0</v>
      </c>
      <c r="AP82" s="13">
        <f>$I$26*$AP$26</f>
        <v>0</v>
      </c>
      <c r="AQ82" s="13">
        <f>$I$26*$AQ$26</f>
        <v>5375.5353507587051</v>
      </c>
      <c r="AR82" s="13">
        <f>$I$26*$AR$26</f>
        <v>1007.7029887618528</v>
      </c>
      <c r="AS82" s="13">
        <f>$I$26*$AS$26</f>
        <v>0</v>
      </c>
      <c r="AT82" s="13">
        <f>$I$26*$AT$26</f>
        <v>0</v>
      </c>
      <c r="AU82" s="13">
        <f>$I$26*$AU$26</f>
        <v>0</v>
      </c>
      <c r="AV82" s="13">
        <f>$I$26*$AV$26</f>
        <v>0</v>
      </c>
      <c r="AW82" s="13">
        <f>$I$26*$AW$26</f>
        <v>0</v>
      </c>
      <c r="AX82" s="13">
        <f>$I$26*$AX$26</f>
        <v>36300.708132827502</v>
      </c>
      <c r="AY82" s="13">
        <f>$I$26*$AY$26</f>
        <v>0</v>
      </c>
      <c r="AZ82" s="13">
        <f>$I$26*$AZ$26</f>
        <v>0</v>
      </c>
      <c r="BA82" s="13">
        <f>$I$26*$BA$26</f>
        <v>3833.561851976272</v>
      </c>
      <c r="BB82" s="13">
        <f>$I$26*$BB$26</f>
        <v>0</v>
      </c>
      <c r="BC82" s="13">
        <f>$I$26*$BC$26</f>
        <v>0</v>
      </c>
      <c r="BD82" s="13">
        <f>$I$26*$BD$26</f>
        <v>0</v>
      </c>
    </row>
    <row r="83" spans="1:56" ht="11.25" customHeight="1" x14ac:dyDescent="0.25">
      <c r="A83" s="9" t="s">
        <v>22</v>
      </c>
      <c r="B83" s="9" t="s">
        <v>808</v>
      </c>
      <c r="C83" s="9" t="s">
        <v>809</v>
      </c>
      <c r="D83" s="9" t="s">
        <v>822</v>
      </c>
      <c r="E83" s="9" t="s">
        <v>823</v>
      </c>
      <c r="F83" s="9" t="s">
        <v>824</v>
      </c>
      <c r="G83" s="9" t="s">
        <v>825</v>
      </c>
      <c r="L83" s="13">
        <f>$I$27*$L$27</f>
        <v>0</v>
      </c>
      <c r="M83" s="13">
        <f>$I$27*$M$27</f>
        <v>336.74172110430015</v>
      </c>
      <c r="N83" s="13">
        <f ca="1">$I$27*$N$27</f>
        <v>0</v>
      </c>
      <c r="O83" s="13">
        <f>$I$27*$O$27</f>
        <v>0</v>
      </c>
      <c r="P83" s="13">
        <f>$I$27*$P$27</f>
        <v>0</v>
      </c>
      <c r="Q83" s="13">
        <f>$I$27*$Q$27</f>
        <v>0</v>
      </c>
      <c r="R83" s="13">
        <f>$I$27*$R$27</f>
        <v>0</v>
      </c>
      <c r="S83" s="13">
        <f>$I$27*$S$27</f>
        <v>0</v>
      </c>
      <c r="T83" s="13">
        <f>$I$27*$T$27</f>
        <v>13180.874453711995</v>
      </c>
      <c r="U83" s="13">
        <f>$I$27*$U$27</f>
        <v>1854.7381535074285</v>
      </c>
      <c r="V83" s="13">
        <f>$I$27*$V$27</f>
        <v>0</v>
      </c>
      <c r="W83" s="13">
        <f>$I$27*$W$27</f>
        <v>0</v>
      </c>
      <c r="X83" s="13">
        <f>$I$27*$X$27</f>
        <v>0</v>
      </c>
      <c r="Y83" s="13">
        <f>$I$27*$Y$27</f>
        <v>0</v>
      </c>
      <c r="Z83" s="13">
        <f>$I$27*$Z$27</f>
        <v>0</v>
      </c>
      <c r="AA83" s="13">
        <f>$I$27*$AA$27</f>
        <v>75272.938420708058</v>
      </c>
      <c r="AB83" s="13">
        <f ca="1">$I$27*$AB$27</f>
        <v>0</v>
      </c>
      <c r="AC83" s="13">
        <f ca="1">$I$27*$AC$27</f>
        <v>0</v>
      </c>
      <c r="AD83" s="13">
        <f>$I$27*$AD$27</f>
        <v>5536.663645485195</v>
      </c>
      <c r="AE83" s="13">
        <f>$I$27*$AE$27</f>
        <v>0</v>
      </c>
      <c r="AF83" s="13">
        <f ca="1">$I$27*$AF$27</f>
        <v>0</v>
      </c>
      <c r="AG83" s="13">
        <f ca="1">$I$27*$AG$27</f>
        <v>0</v>
      </c>
      <c r="AI83" s="13">
        <f>$I$27*$AI$27</f>
        <v>0</v>
      </c>
      <c r="AJ83" s="13">
        <f>$I$27*$AJ$27</f>
        <v>351.7207917287032</v>
      </c>
      <c r="AK83" s="13">
        <f>$I$27*$AK$27</f>
        <v>0</v>
      </c>
      <c r="AL83" s="13">
        <f>$I$27*$AL$27</f>
        <v>0</v>
      </c>
      <c r="AM83" s="13">
        <f>$I$27*$AM$27</f>
        <v>0</v>
      </c>
      <c r="AN83" s="13">
        <f>$I$27*$AN$27</f>
        <v>0</v>
      </c>
      <c r="AO83" s="13">
        <f>$I$27*$AO$27</f>
        <v>0</v>
      </c>
      <c r="AP83" s="13">
        <f>$I$27*$AP$27</f>
        <v>0</v>
      </c>
      <c r="AQ83" s="13">
        <f>$I$27*$AQ$27</f>
        <v>9212.8679322826902</v>
      </c>
      <c r="AR83" s="13">
        <f>$I$27*$AR$27</f>
        <v>1727.0530179136811</v>
      </c>
      <c r="AS83" s="13">
        <f>$I$27*$AS$27</f>
        <v>0</v>
      </c>
      <c r="AT83" s="13">
        <f>$I$27*$AT$27</f>
        <v>0</v>
      </c>
      <c r="AU83" s="13">
        <f>$I$27*$AU$27</f>
        <v>0</v>
      </c>
      <c r="AV83" s="13">
        <f>$I$27*$AV$27</f>
        <v>0</v>
      </c>
      <c r="AW83" s="13">
        <f>$I$27*$AW$27</f>
        <v>0</v>
      </c>
      <c r="AX83" s="13">
        <f>$I$27*$AX$27</f>
        <v>62214.013684958416</v>
      </c>
      <c r="AY83" s="13">
        <f>$I$27*$AY$27</f>
        <v>0</v>
      </c>
      <c r="AZ83" s="13">
        <f>$I$27*$AZ$27</f>
        <v>0</v>
      </c>
      <c r="BA83" s="13">
        <f>$I$27*$BA$27</f>
        <v>6570.1547377062006</v>
      </c>
      <c r="BB83" s="13">
        <f>$I$27*$BB$27</f>
        <v>0</v>
      </c>
      <c r="BC83" s="13">
        <f>$I$27*$BC$27</f>
        <v>0</v>
      </c>
      <c r="BD83" s="13">
        <f>$I$27*$BD$27</f>
        <v>0</v>
      </c>
    </row>
    <row r="84" spans="1:56" ht="11.25" customHeight="1" x14ac:dyDescent="0.25">
      <c r="A84" s="9" t="s">
        <v>22</v>
      </c>
      <c r="B84" s="9" t="s">
        <v>808</v>
      </c>
      <c r="C84" s="9" t="s">
        <v>809</v>
      </c>
      <c r="D84" s="9" t="s">
        <v>826</v>
      </c>
      <c r="E84" s="9" t="s">
        <v>827</v>
      </c>
      <c r="F84" s="9" t="s">
        <v>828</v>
      </c>
      <c r="G84" s="9" t="s">
        <v>829</v>
      </c>
      <c r="L84" s="13">
        <f>$I$28*$L$28</f>
        <v>0</v>
      </c>
      <c r="M84" s="13">
        <f>$I$28*$M$28</f>
        <v>202.08911732333362</v>
      </c>
      <c r="N84" s="13">
        <f ca="1">$I$28*$N$28</f>
        <v>0</v>
      </c>
      <c r="O84" s="13">
        <f>$I$28*$O$28</f>
        <v>0</v>
      </c>
      <c r="P84" s="13">
        <f>$I$28*$P$28</f>
        <v>0</v>
      </c>
      <c r="Q84" s="13">
        <f>$I$28*$Q$28</f>
        <v>0</v>
      </c>
      <c r="R84" s="13">
        <f>$I$28*$R$28</f>
        <v>0</v>
      </c>
      <c r="S84" s="13">
        <f>$I$28*$S$28</f>
        <v>0</v>
      </c>
      <c r="T84" s="13">
        <f>$I$28*$T$28</f>
        <v>7910.2502510382246</v>
      </c>
      <c r="U84" s="13">
        <f>$I$28*$U$28</f>
        <v>1113.0857058016011</v>
      </c>
      <c r="V84" s="13">
        <f>$I$28*$V$28</f>
        <v>0</v>
      </c>
      <c r="W84" s="13">
        <f>$I$28*$W$28</f>
        <v>0</v>
      </c>
      <c r="X84" s="13">
        <f>$I$28*$X$28</f>
        <v>0</v>
      </c>
      <c r="Y84" s="13">
        <f>$I$28*$Y$28</f>
        <v>0</v>
      </c>
      <c r="Z84" s="13">
        <f>$I$28*$Z$28</f>
        <v>0</v>
      </c>
      <c r="AA84" s="13">
        <f>$I$28*$AA$28</f>
        <v>45173.617435610016</v>
      </c>
      <c r="AB84" s="13">
        <f ca="1">$I$28*$AB$28</f>
        <v>0</v>
      </c>
      <c r="AC84" s="13">
        <f ca="1">$I$28*$AC$28</f>
        <v>0</v>
      </c>
      <c r="AD84" s="13">
        <f>$I$28*$AD$28</f>
        <v>3322.723021557917</v>
      </c>
      <c r="AE84" s="13">
        <f>$I$28*$AE$28</f>
        <v>0</v>
      </c>
      <c r="AF84" s="13">
        <f ca="1">$I$28*$AF$28</f>
        <v>0</v>
      </c>
      <c r="AG84" s="13">
        <f ca="1">$I$28*$AG$28</f>
        <v>0</v>
      </c>
      <c r="AI84" s="13">
        <f>$I$28*$AI$28</f>
        <v>0</v>
      </c>
      <c r="AJ84" s="13">
        <f>$I$28*$AJ$28</f>
        <v>211.07852068826995</v>
      </c>
      <c r="AK84" s="13">
        <f>$I$28*$AK$28</f>
        <v>0</v>
      </c>
      <c r="AL84" s="13">
        <f>$I$28*$AL$28</f>
        <v>0</v>
      </c>
      <c r="AM84" s="13">
        <f>$I$28*$AM$28</f>
        <v>0</v>
      </c>
      <c r="AN84" s="13">
        <f>$I$28*$AN$28</f>
        <v>0</v>
      </c>
      <c r="AO84" s="13">
        <f>$I$28*$AO$28</f>
        <v>0</v>
      </c>
      <c r="AP84" s="13">
        <f>$I$28*$AP$28</f>
        <v>0</v>
      </c>
      <c r="AQ84" s="13">
        <f>$I$28*$AQ$28</f>
        <v>5528.9268652124956</v>
      </c>
      <c r="AR84" s="13">
        <f>$I$28*$AR$28</f>
        <v>1036.457908500955</v>
      </c>
      <c r="AS84" s="13">
        <f>$I$28*$AS$28</f>
        <v>0</v>
      </c>
      <c r="AT84" s="13">
        <f>$I$28*$AT$28</f>
        <v>0</v>
      </c>
      <c r="AU84" s="13">
        <f>$I$28*$AU$28</f>
        <v>0</v>
      </c>
      <c r="AV84" s="13">
        <f>$I$28*$AV$28</f>
        <v>0</v>
      </c>
      <c r="AW84" s="13">
        <f>$I$28*$AW$28</f>
        <v>0</v>
      </c>
      <c r="AX84" s="13">
        <f>$I$28*$AX$28</f>
        <v>37336.552980439192</v>
      </c>
      <c r="AY84" s="13">
        <f>$I$28*$AY$28</f>
        <v>0</v>
      </c>
      <c r="AZ84" s="13">
        <f>$I$28*$AZ$28</f>
        <v>0</v>
      </c>
      <c r="BA84" s="13">
        <f>$I$28*$BA$28</f>
        <v>3942.9529767400118</v>
      </c>
      <c r="BB84" s="13">
        <f>$I$28*$BB$28</f>
        <v>0</v>
      </c>
      <c r="BC84" s="13">
        <f>$I$28*$BC$28</f>
        <v>0</v>
      </c>
      <c r="BD84" s="13">
        <f>$I$28*$BD$28</f>
        <v>0</v>
      </c>
    </row>
    <row r="85" spans="1:56" ht="11.25" customHeight="1" x14ac:dyDescent="0.25">
      <c r="A85" s="9" t="s">
        <v>22</v>
      </c>
      <c r="B85" s="9" t="s">
        <v>830</v>
      </c>
      <c r="C85" s="9" t="s">
        <v>831</v>
      </c>
      <c r="D85" s="9" t="s">
        <v>832</v>
      </c>
      <c r="E85" s="9" t="s">
        <v>833</v>
      </c>
      <c r="F85" s="9" t="s">
        <v>834</v>
      </c>
      <c r="G85" s="9" t="s">
        <v>835</v>
      </c>
      <c r="L85" s="13">
        <f>$I$29*$L$29</f>
        <v>0</v>
      </c>
      <c r="M85" s="13">
        <f>$I$29*$M$29</f>
        <v>0</v>
      </c>
      <c r="N85" s="13">
        <f ca="1">$I$29*$N$29</f>
        <v>0</v>
      </c>
      <c r="O85" s="13">
        <f>$I$29*$O$29</f>
        <v>0</v>
      </c>
      <c r="P85" s="13">
        <f>$I$29*$P$29</f>
        <v>0</v>
      </c>
      <c r="Q85" s="13">
        <f>$I$29*$Q$29</f>
        <v>0</v>
      </c>
      <c r="R85" s="13">
        <f>$I$29*$R$29</f>
        <v>0</v>
      </c>
      <c r="S85" s="13">
        <f>$I$29*$S$29</f>
        <v>0</v>
      </c>
      <c r="T85" s="13">
        <f>$I$29*$T$29</f>
        <v>0</v>
      </c>
      <c r="U85" s="13">
        <f>$I$29*$U$29</f>
        <v>0</v>
      </c>
      <c r="V85" s="13">
        <f>$I$29*$V$29</f>
        <v>0</v>
      </c>
      <c r="W85" s="13">
        <f>$I$29*$W$29</f>
        <v>0</v>
      </c>
      <c r="X85" s="13">
        <f>$I$29*$X$29</f>
        <v>0</v>
      </c>
      <c r="Y85" s="13">
        <f>$I$29*$Y$29</f>
        <v>0</v>
      </c>
      <c r="Z85" s="13">
        <f>$I$29*$Z$29</f>
        <v>0</v>
      </c>
      <c r="AA85" s="13">
        <f>$I$29*$AA$29</f>
        <v>0</v>
      </c>
      <c r="AB85" s="13">
        <f ca="1">$I$29*$AB$29</f>
        <v>0</v>
      </c>
      <c r="AC85" s="13">
        <f ca="1">$I$29*$AC$29</f>
        <v>0</v>
      </c>
      <c r="AD85" s="13">
        <f>$I$29*$AD$29</f>
        <v>0</v>
      </c>
      <c r="AE85" s="13">
        <f>$I$29*$AE$29</f>
        <v>0</v>
      </c>
      <c r="AF85" s="13">
        <f ca="1">$I$29*$AF$29</f>
        <v>0</v>
      </c>
      <c r="AG85" s="13">
        <f ca="1">$I$29*$AG$29</f>
        <v>0</v>
      </c>
      <c r="AI85" s="13">
        <f>$I$29*$AI$29</f>
        <v>0</v>
      </c>
      <c r="AJ85" s="13">
        <f>$I$29*$AJ$29</f>
        <v>0</v>
      </c>
      <c r="AK85" s="13">
        <f>$I$29*$AK$29</f>
        <v>0</v>
      </c>
      <c r="AL85" s="13">
        <f>$I$29*$AL$29</f>
        <v>0</v>
      </c>
      <c r="AM85" s="13">
        <f>$I$29*$AM$29</f>
        <v>0</v>
      </c>
      <c r="AN85" s="13">
        <f>$I$29*$AN$29</f>
        <v>0</v>
      </c>
      <c r="AO85" s="13">
        <f>$I$29*$AO$29</f>
        <v>0</v>
      </c>
      <c r="AP85" s="13">
        <f>$I$29*$AP$29</f>
        <v>0</v>
      </c>
      <c r="AQ85" s="13">
        <f>$I$29*$AQ$29</f>
        <v>0</v>
      </c>
      <c r="AR85" s="13">
        <f>$I$29*$AR$29</f>
        <v>0</v>
      </c>
      <c r="AS85" s="13">
        <f>$I$29*$AS$29</f>
        <v>0</v>
      </c>
      <c r="AT85" s="13">
        <f>$I$29*$AT$29</f>
        <v>0</v>
      </c>
      <c r="AU85" s="13">
        <f>$I$29*$AU$29</f>
        <v>0</v>
      </c>
      <c r="AV85" s="13">
        <f>$I$29*$AV$29</f>
        <v>0</v>
      </c>
      <c r="AW85" s="13">
        <f>$I$29*$AW$29</f>
        <v>0</v>
      </c>
      <c r="AX85" s="13">
        <f>$I$29*$AX$29</f>
        <v>0</v>
      </c>
      <c r="AY85" s="13">
        <f>$I$29*$AY$29</f>
        <v>0</v>
      </c>
      <c r="AZ85" s="13">
        <f>$I$29*$AZ$29</f>
        <v>0</v>
      </c>
      <c r="BA85" s="13">
        <f>$I$29*$BA$29</f>
        <v>0</v>
      </c>
      <c r="BB85" s="13">
        <f>$I$29*$BB$29</f>
        <v>0</v>
      </c>
      <c r="BC85" s="13">
        <f>$I$29*$BC$29</f>
        <v>0</v>
      </c>
      <c r="BD85" s="13">
        <f>$I$29*$BD$29</f>
        <v>0</v>
      </c>
    </row>
    <row r="86" spans="1:56" ht="11.25" customHeight="1" x14ac:dyDescent="0.25">
      <c r="A86" s="9" t="s">
        <v>22</v>
      </c>
      <c r="B86" s="9" t="s">
        <v>830</v>
      </c>
      <c r="C86" s="9" t="s">
        <v>831</v>
      </c>
      <c r="D86" s="9" t="s">
        <v>836</v>
      </c>
      <c r="E86" s="9" t="s">
        <v>837</v>
      </c>
      <c r="F86" s="9" t="s">
        <v>838</v>
      </c>
      <c r="G86" s="9" t="s">
        <v>839</v>
      </c>
      <c r="L86" s="13">
        <f>$I$30*$L$30</f>
        <v>0</v>
      </c>
      <c r="M86" s="13">
        <f>$I$30*$M$30</f>
        <v>0</v>
      </c>
      <c r="N86" s="13">
        <f ca="1">$I$30*$N$30</f>
        <v>0</v>
      </c>
      <c r="O86" s="13">
        <f>$I$30*$O$30</f>
        <v>0</v>
      </c>
      <c r="P86" s="13">
        <f>$I$30*$P$30</f>
        <v>0</v>
      </c>
      <c r="Q86" s="13">
        <f>$I$30*$Q$30</f>
        <v>0</v>
      </c>
      <c r="R86" s="13">
        <f>$I$30*$R$30</f>
        <v>0</v>
      </c>
      <c r="S86" s="13">
        <f>$I$30*$S$30</f>
        <v>0</v>
      </c>
      <c r="T86" s="13">
        <f>$I$30*$T$30</f>
        <v>0</v>
      </c>
      <c r="U86" s="13">
        <f>$I$30*$U$30</f>
        <v>0</v>
      </c>
      <c r="V86" s="13">
        <f>$I$30*$V$30</f>
        <v>0</v>
      </c>
      <c r="W86" s="13">
        <f>$I$30*$W$30</f>
        <v>0</v>
      </c>
      <c r="X86" s="13">
        <f>$I$30*$X$30</f>
        <v>0</v>
      </c>
      <c r="Y86" s="13">
        <f>$I$30*$Y$30</f>
        <v>0</v>
      </c>
      <c r="Z86" s="13">
        <f>$I$30*$Z$30</f>
        <v>0</v>
      </c>
      <c r="AA86" s="13">
        <f>$I$30*$AA$30</f>
        <v>0</v>
      </c>
      <c r="AB86" s="13">
        <f ca="1">$I$30*$AB$30</f>
        <v>0</v>
      </c>
      <c r="AC86" s="13">
        <f ca="1">$I$30*$AC$30</f>
        <v>0</v>
      </c>
      <c r="AD86" s="13">
        <f>$I$30*$AD$30</f>
        <v>0</v>
      </c>
      <c r="AE86" s="13">
        <f>$I$30*$AE$30</f>
        <v>0</v>
      </c>
      <c r="AF86" s="13">
        <f ca="1">$I$30*$AF$30</f>
        <v>0</v>
      </c>
      <c r="AG86" s="13">
        <f ca="1">$I$30*$AG$30</f>
        <v>0</v>
      </c>
      <c r="AI86" s="13">
        <f>$I$30*$AI$30</f>
        <v>0</v>
      </c>
      <c r="AJ86" s="13">
        <f>$I$30*$AJ$30</f>
        <v>0</v>
      </c>
      <c r="AK86" s="13">
        <f>$I$30*$AK$30</f>
        <v>0</v>
      </c>
      <c r="AL86" s="13">
        <f>$I$30*$AL$30</f>
        <v>0</v>
      </c>
      <c r="AM86" s="13">
        <f>$I$30*$AM$30</f>
        <v>0</v>
      </c>
      <c r="AN86" s="13">
        <f>$I$30*$AN$30</f>
        <v>0</v>
      </c>
      <c r="AO86" s="13">
        <f>$I$30*$AO$30</f>
        <v>0</v>
      </c>
      <c r="AP86" s="13">
        <f>$I$30*$AP$30</f>
        <v>0</v>
      </c>
      <c r="AQ86" s="13">
        <f>$I$30*$AQ$30</f>
        <v>0</v>
      </c>
      <c r="AR86" s="13">
        <f>$I$30*$AR$30</f>
        <v>0</v>
      </c>
      <c r="AS86" s="13">
        <f>$I$30*$AS$30</f>
        <v>0</v>
      </c>
      <c r="AT86" s="13">
        <f>$I$30*$AT$30</f>
        <v>0</v>
      </c>
      <c r="AU86" s="13">
        <f>$I$30*$AU$30</f>
        <v>0</v>
      </c>
      <c r="AV86" s="13">
        <f>$I$30*$AV$30</f>
        <v>0</v>
      </c>
      <c r="AW86" s="13">
        <f>$I$30*$AW$30</f>
        <v>0</v>
      </c>
      <c r="AX86" s="13">
        <f>$I$30*$AX$30</f>
        <v>0</v>
      </c>
      <c r="AY86" s="13">
        <f>$I$30*$AY$30</f>
        <v>0</v>
      </c>
      <c r="AZ86" s="13">
        <f>$I$30*$AZ$30</f>
        <v>0</v>
      </c>
      <c r="BA86" s="13">
        <f>$I$30*$BA$30</f>
        <v>0</v>
      </c>
      <c r="BB86" s="13">
        <f>$I$30*$BB$30</f>
        <v>0</v>
      </c>
      <c r="BC86" s="13">
        <f>$I$30*$BC$30</f>
        <v>0</v>
      </c>
      <c r="BD86" s="13">
        <f>$I$30*$BD$30</f>
        <v>0</v>
      </c>
    </row>
    <row r="87" spans="1:56" ht="11.25" customHeight="1" x14ac:dyDescent="0.25">
      <c r="A87" s="9" t="s">
        <v>22</v>
      </c>
      <c r="B87" s="9" t="s">
        <v>830</v>
      </c>
      <c r="C87" s="9" t="s">
        <v>831</v>
      </c>
      <c r="D87" s="9" t="s">
        <v>840</v>
      </c>
      <c r="E87" s="9" t="s">
        <v>841</v>
      </c>
      <c r="F87" s="9" t="s">
        <v>842</v>
      </c>
      <c r="G87" s="9" t="s">
        <v>843</v>
      </c>
      <c r="L87" s="13">
        <f>$I$31*$L$31</f>
        <v>0</v>
      </c>
      <c r="M87" s="13">
        <f>$I$31*$M$31</f>
        <v>0</v>
      </c>
      <c r="N87" s="13">
        <f ca="1">$I$31*$N$31</f>
        <v>0</v>
      </c>
      <c r="O87" s="13">
        <f>$I$31*$O$31</f>
        <v>0</v>
      </c>
      <c r="P87" s="13">
        <f>$I$31*$P$31</f>
        <v>0</v>
      </c>
      <c r="Q87" s="13">
        <f>$I$31*$Q$31</f>
        <v>0</v>
      </c>
      <c r="R87" s="13">
        <f>$I$31*$R$31</f>
        <v>0</v>
      </c>
      <c r="S87" s="13">
        <f>$I$31*$S$31</f>
        <v>0</v>
      </c>
      <c r="T87" s="13">
        <f>$I$31*$T$31</f>
        <v>0</v>
      </c>
      <c r="U87" s="13">
        <f>$I$31*$U$31</f>
        <v>0</v>
      </c>
      <c r="V87" s="13">
        <f>$I$31*$V$31</f>
        <v>0</v>
      </c>
      <c r="W87" s="13">
        <f>$I$31*$W$31</f>
        <v>0</v>
      </c>
      <c r="X87" s="13">
        <f>$I$31*$X$31</f>
        <v>0</v>
      </c>
      <c r="Y87" s="13">
        <f>$I$31*$Y$31</f>
        <v>0</v>
      </c>
      <c r="Z87" s="13">
        <f>$I$31*$Z$31</f>
        <v>0</v>
      </c>
      <c r="AA87" s="13">
        <f>$I$31*$AA$31</f>
        <v>0</v>
      </c>
      <c r="AB87" s="13">
        <f ca="1">$I$31*$AB$31</f>
        <v>0</v>
      </c>
      <c r="AC87" s="13">
        <f ca="1">$I$31*$AC$31</f>
        <v>0</v>
      </c>
      <c r="AD87" s="13">
        <f>$I$31*$AD$31</f>
        <v>0</v>
      </c>
      <c r="AE87" s="13">
        <f>$I$31*$AE$31</f>
        <v>0</v>
      </c>
      <c r="AF87" s="13">
        <f ca="1">$I$31*$AF$31</f>
        <v>0</v>
      </c>
      <c r="AG87" s="13">
        <f ca="1">$I$31*$AG$31</f>
        <v>0</v>
      </c>
      <c r="AI87" s="13">
        <f>$I$31*$AI$31</f>
        <v>0</v>
      </c>
      <c r="AJ87" s="13">
        <f>$I$31*$AJ$31</f>
        <v>0</v>
      </c>
      <c r="AK87" s="13">
        <f>$I$31*$AK$31</f>
        <v>0</v>
      </c>
      <c r="AL87" s="13">
        <f>$I$31*$AL$31</f>
        <v>0</v>
      </c>
      <c r="AM87" s="13">
        <f>$I$31*$AM$31</f>
        <v>0</v>
      </c>
      <c r="AN87" s="13">
        <f>$I$31*$AN$31</f>
        <v>0</v>
      </c>
      <c r="AO87" s="13">
        <f>$I$31*$AO$31</f>
        <v>0</v>
      </c>
      <c r="AP87" s="13">
        <f>$I$31*$AP$31</f>
        <v>0</v>
      </c>
      <c r="AQ87" s="13">
        <f>$I$31*$AQ$31</f>
        <v>0</v>
      </c>
      <c r="AR87" s="13">
        <f>$I$31*$AR$31</f>
        <v>0</v>
      </c>
      <c r="AS87" s="13">
        <f>$I$31*$AS$31</f>
        <v>0</v>
      </c>
      <c r="AT87" s="13">
        <f>$I$31*$AT$31</f>
        <v>0</v>
      </c>
      <c r="AU87" s="13">
        <f>$I$31*$AU$31</f>
        <v>0</v>
      </c>
      <c r="AV87" s="13">
        <f>$I$31*$AV$31</f>
        <v>0</v>
      </c>
      <c r="AW87" s="13">
        <f>$I$31*$AW$31</f>
        <v>0</v>
      </c>
      <c r="AX87" s="13">
        <f>$I$31*$AX$31</f>
        <v>0</v>
      </c>
      <c r="AY87" s="13">
        <f>$I$31*$AY$31</f>
        <v>0</v>
      </c>
      <c r="AZ87" s="13">
        <f>$I$31*$AZ$31</f>
        <v>0</v>
      </c>
      <c r="BA87" s="13">
        <f>$I$31*$BA$31</f>
        <v>0</v>
      </c>
      <c r="BB87" s="13">
        <f>$I$31*$BB$31</f>
        <v>0</v>
      </c>
      <c r="BC87" s="13">
        <f>$I$31*$BC$31</f>
        <v>0</v>
      </c>
      <c r="BD87" s="13">
        <f>$I$31*$BD$31</f>
        <v>0</v>
      </c>
    </row>
    <row r="88" spans="1:56" ht="11.25" customHeight="1" x14ac:dyDescent="0.25">
      <c r="A88" s="9" t="s">
        <v>22</v>
      </c>
      <c r="B88" s="9" t="s">
        <v>830</v>
      </c>
      <c r="C88" s="9" t="s">
        <v>831</v>
      </c>
      <c r="D88" s="9" t="s">
        <v>844</v>
      </c>
      <c r="E88" s="9" t="s">
        <v>845</v>
      </c>
      <c r="F88" s="9" t="s">
        <v>846</v>
      </c>
      <c r="G88" s="9" t="s">
        <v>847</v>
      </c>
      <c r="L88" s="13">
        <f>$I$32*$L$32</f>
        <v>0</v>
      </c>
      <c r="M88" s="13">
        <f>$I$32*$M$32</f>
        <v>0</v>
      </c>
      <c r="N88" s="13">
        <f ca="1">$I$32*$N$32</f>
        <v>0</v>
      </c>
      <c r="O88" s="13">
        <f>$I$32*$O$32</f>
        <v>0</v>
      </c>
      <c r="P88" s="13">
        <f>$I$32*$P$32</f>
        <v>0</v>
      </c>
      <c r="Q88" s="13">
        <f>$I$32*$Q$32</f>
        <v>0</v>
      </c>
      <c r="R88" s="13">
        <f>$I$32*$R$32</f>
        <v>0</v>
      </c>
      <c r="S88" s="13">
        <f>$I$32*$S$32</f>
        <v>0</v>
      </c>
      <c r="T88" s="13">
        <f>$I$32*$T$32</f>
        <v>0</v>
      </c>
      <c r="U88" s="13">
        <f>$I$32*$U$32</f>
        <v>0</v>
      </c>
      <c r="V88" s="13">
        <f>$I$32*$V$32</f>
        <v>0</v>
      </c>
      <c r="W88" s="13">
        <f>$I$32*$W$32</f>
        <v>0</v>
      </c>
      <c r="X88" s="13">
        <f>$I$32*$X$32</f>
        <v>0</v>
      </c>
      <c r="Y88" s="13">
        <f>$I$32*$Y$32</f>
        <v>0</v>
      </c>
      <c r="Z88" s="13">
        <f>$I$32*$Z$32</f>
        <v>0</v>
      </c>
      <c r="AA88" s="13">
        <f>$I$32*$AA$32</f>
        <v>0</v>
      </c>
      <c r="AB88" s="13">
        <f ca="1">$I$32*$AB$32</f>
        <v>0</v>
      </c>
      <c r="AC88" s="13">
        <f ca="1">$I$32*$AC$32</f>
        <v>0</v>
      </c>
      <c r="AD88" s="13">
        <f>$I$32*$AD$32</f>
        <v>0</v>
      </c>
      <c r="AE88" s="13">
        <f>$I$32*$AE$32</f>
        <v>0</v>
      </c>
      <c r="AF88" s="13">
        <f ca="1">$I$32*$AF$32</f>
        <v>0</v>
      </c>
      <c r="AG88" s="13">
        <f ca="1">$I$32*$AG$32</f>
        <v>0</v>
      </c>
      <c r="AI88" s="13">
        <f>$I$32*$AI$32</f>
        <v>0</v>
      </c>
      <c r="AJ88" s="13">
        <f>$I$32*$AJ$32</f>
        <v>0</v>
      </c>
      <c r="AK88" s="13">
        <f>$I$32*$AK$32</f>
        <v>0</v>
      </c>
      <c r="AL88" s="13">
        <f>$I$32*$AL$32</f>
        <v>0</v>
      </c>
      <c r="AM88" s="13">
        <f>$I$32*$AM$32</f>
        <v>0</v>
      </c>
      <c r="AN88" s="13">
        <f>$I$32*$AN$32</f>
        <v>0</v>
      </c>
      <c r="AO88" s="13">
        <f>$I$32*$AO$32</f>
        <v>0</v>
      </c>
      <c r="AP88" s="13">
        <f>$I$32*$AP$32</f>
        <v>0</v>
      </c>
      <c r="AQ88" s="13">
        <f>$I$32*$AQ$32</f>
        <v>0</v>
      </c>
      <c r="AR88" s="13">
        <f>$I$32*$AR$32</f>
        <v>0</v>
      </c>
      <c r="AS88" s="13">
        <f>$I$32*$AS$32</f>
        <v>0</v>
      </c>
      <c r="AT88" s="13">
        <f>$I$32*$AT$32</f>
        <v>0</v>
      </c>
      <c r="AU88" s="13">
        <f>$I$32*$AU$32</f>
        <v>0</v>
      </c>
      <c r="AV88" s="13">
        <f>$I$32*$AV$32</f>
        <v>0</v>
      </c>
      <c r="AW88" s="13">
        <f>$I$32*$AW$32</f>
        <v>0</v>
      </c>
      <c r="AX88" s="13">
        <f>$I$32*$AX$32</f>
        <v>0</v>
      </c>
      <c r="AY88" s="13">
        <f>$I$32*$AY$32</f>
        <v>0</v>
      </c>
      <c r="AZ88" s="13">
        <f>$I$32*$AZ$32</f>
        <v>0</v>
      </c>
      <c r="BA88" s="13">
        <f>$I$32*$BA$32</f>
        <v>0</v>
      </c>
      <c r="BB88" s="13">
        <f>$I$32*$BB$32</f>
        <v>0</v>
      </c>
      <c r="BC88" s="13">
        <f>$I$32*$BC$32</f>
        <v>0</v>
      </c>
      <c r="BD88" s="13">
        <f>$I$32*$BD$32</f>
        <v>0</v>
      </c>
    </row>
    <row r="89" spans="1:56" ht="11.25" customHeight="1" x14ac:dyDescent="0.25">
      <c r="A89" s="9" t="s">
        <v>22</v>
      </c>
      <c r="B89" s="9" t="s">
        <v>830</v>
      </c>
      <c r="C89" s="9" t="s">
        <v>831</v>
      </c>
      <c r="D89" s="9" t="s">
        <v>848</v>
      </c>
      <c r="E89" s="9" t="s">
        <v>849</v>
      </c>
      <c r="F89" s="9" t="s">
        <v>850</v>
      </c>
      <c r="G89" s="9" t="s">
        <v>851</v>
      </c>
      <c r="L89" s="13">
        <f>$I$33*$L$33</f>
        <v>0</v>
      </c>
      <c r="M89" s="13">
        <f>$I$33*$M$33</f>
        <v>0</v>
      </c>
      <c r="N89" s="13">
        <f ca="1">$I$33*$N$33</f>
        <v>0</v>
      </c>
      <c r="O89" s="13">
        <f>$I$33*$O$33</f>
        <v>0</v>
      </c>
      <c r="P89" s="13">
        <f>$I$33*$P$33</f>
        <v>0</v>
      </c>
      <c r="Q89" s="13">
        <f>$I$33*$Q$33</f>
        <v>0</v>
      </c>
      <c r="R89" s="13">
        <f>$I$33*$R$33</f>
        <v>0</v>
      </c>
      <c r="S89" s="13">
        <f>$I$33*$S$33</f>
        <v>0</v>
      </c>
      <c r="T89" s="13">
        <f>$I$33*$T$33</f>
        <v>0</v>
      </c>
      <c r="U89" s="13">
        <f>$I$33*$U$33</f>
        <v>0</v>
      </c>
      <c r="V89" s="13">
        <f>$I$33*$V$33</f>
        <v>0</v>
      </c>
      <c r="W89" s="13">
        <f>$I$33*$W$33</f>
        <v>0</v>
      </c>
      <c r="X89" s="13">
        <f>$I$33*$X$33</f>
        <v>0</v>
      </c>
      <c r="Y89" s="13">
        <f>$I$33*$Y$33</f>
        <v>0</v>
      </c>
      <c r="Z89" s="13">
        <f>$I$33*$Z$33</f>
        <v>0</v>
      </c>
      <c r="AA89" s="13">
        <f>$I$33*$AA$33</f>
        <v>0</v>
      </c>
      <c r="AB89" s="13">
        <f ca="1">$I$33*$AB$33</f>
        <v>0</v>
      </c>
      <c r="AC89" s="13">
        <f ca="1">$I$33*$AC$33</f>
        <v>0</v>
      </c>
      <c r="AD89" s="13">
        <f>$I$33*$AD$33</f>
        <v>0</v>
      </c>
      <c r="AE89" s="13">
        <f>$I$33*$AE$33</f>
        <v>0</v>
      </c>
      <c r="AF89" s="13">
        <f ca="1">$I$33*$AF$33</f>
        <v>0</v>
      </c>
      <c r="AG89" s="13">
        <f ca="1">$I$33*$AG$33</f>
        <v>0</v>
      </c>
      <c r="AI89" s="13">
        <f>$I$33*$AI$33</f>
        <v>0</v>
      </c>
      <c r="AJ89" s="13">
        <f>$I$33*$AJ$33</f>
        <v>0</v>
      </c>
      <c r="AK89" s="13">
        <f>$I$33*$AK$33</f>
        <v>0</v>
      </c>
      <c r="AL89" s="13">
        <f>$I$33*$AL$33</f>
        <v>0</v>
      </c>
      <c r="AM89" s="13">
        <f>$I$33*$AM$33</f>
        <v>0</v>
      </c>
      <c r="AN89" s="13">
        <f>$I$33*$AN$33</f>
        <v>0</v>
      </c>
      <c r="AO89" s="13">
        <f>$I$33*$AO$33</f>
        <v>0</v>
      </c>
      <c r="AP89" s="13">
        <f>$I$33*$AP$33</f>
        <v>0</v>
      </c>
      <c r="AQ89" s="13">
        <f>$I$33*$AQ$33</f>
        <v>0</v>
      </c>
      <c r="AR89" s="13">
        <f>$I$33*$AR$33</f>
        <v>0</v>
      </c>
      <c r="AS89" s="13">
        <f>$I$33*$AS$33</f>
        <v>0</v>
      </c>
      <c r="AT89" s="13">
        <f>$I$33*$AT$33</f>
        <v>0</v>
      </c>
      <c r="AU89" s="13">
        <f>$I$33*$AU$33</f>
        <v>0</v>
      </c>
      <c r="AV89" s="13">
        <f>$I$33*$AV$33</f>
        <v>0</v>
      </c>
      <c r="AW89" s="13">
        <f>$I$33*$AW$33</f>
        <v>0</v>
      </c>
      <c r="AX89" s="13">
        <f>$I$33*$AX$33</f>
        <v>0</v>
      </c>
      <c r="AY89" s="13">
        <f>$I$33*$AY$33</f>
        <v>0</v>
      </c>
      <c r="AZ89" s="13">
        <f>$I$33*$AZ$33</f>
        <v>0</v>
      </c>
      <c r="BA89" s="13">
        <f>$I$33*$BA$33</f>
        <v>0</v>
      </c>
      <c r="BB89" s="13">
        <f>$I$33*$BB$33</f>
        <v>0</v>
      </c>
      <c r="BC89" s="13">
        <f>$I$33*$BC$33</f>
        <v>0</v>
      </c>
      <c r="BD89" s="13">
        <f>$I$33*$BD$33</f>
        <v>0</v>
      </c>
    </row>
    <row r="90" spans="1:56" ht="11.25" customHeight="1" x14ac:dyDescent="0.25">
      <c r="A90" s="9" t="s">
        <v>42</v>
      </c>
      <c r="B90" s="9" t="s">
        <v>852</v>
      </c>
      <c r="C90" s="9" t="s">
        <v>853</v>
      </c>
      <c r="D90" s="9" t="s">
        <v>854</v>
      </c>
      <c r="E90" s="9" t="s">
        <v>855</v>
      </c>
      <c r="F90" s="9" t="s">
        <v>856</v>
      </c>
      <c r="G90" s="9" t="s">
        <v>857</v>
      </c>
      <c r="L90" s="13">
        <f>$I$34*$L$34</f>
        <v>0</v>
      </c>
      <c r="M90" s="13">
        <f>$I$34*$M$34</f>
        <v>0</v>
      </c>
      <c r="N90" s="13">
        <f ca="1">$I$34*$N$34</f>
        <v>0</v>
      </c>
      <c r="O90" s="13">
        <f>$I$34*$O$34</f>
        <v>0</v>
      </c>
      <c r="P90" s="13">
        <f>$I$34*$P$34</f>
        <v>0</v>
      </c>
      <c r="Q90" s="13">
        <f>$I$34*$Q$34</f>
        <v>0</v>
      </c>
      <c r="R90" s="13">
        <f>$I$34*$R$34</f>
        <v>0</v>
      </c>
      <c r="S90" s="13">
        <f>$I$34*$S$34</f>
        <v>0</v>
      </c>
      <c r="T90" s="13">
        <f>$I$34*$T$34</f>
        <v>0</v>
      </c>
      <c r="U90" s="13">
        <f>$I$34*$U$34</f>
        <v>0</v>
      </c>
      <c r="V90" s="13">
        <f>$I$34*$V$34</f>
        <v>0</v>
      </c>
      <c r="W90" s="13">
        <f>$I$34*$W$34</f>
        <v>0</v>
      </c>
      <c r="X90" s="13">
        <f>$I$34*$X$34</f>
        <v>0</v>
      </c>
      <c r="Y90" s="13">
        <f>$I$34*$Y$34</f>
        <v>0</v>
      </c>
      <c r="Z90" s="13">
        <f>$I$34*$Z$34</f>
        <v>0</v>
      </c>
      <c r="AA90" s="13">
        <f>$I$34*$AA$34</f>
        <v>0</v>
      </c>
      <c r="AB90" s="13">
        <f ca="1">$I$34*$AB$34</f>
        <v>0</v>
      </c>
      <c r="AC90" s="13">
        <f ca="1">$I$34*$AC$34</f>
        <v>0</v>
      </c>
      <c r="AD90" s="13">
        <f>$I$34*$AD$34</f>
        <v>0</v>
      </c>
      <c r="AE90" s="13">
        <f>$I$34*$AE$34</f>
        <v>0</v>
      </c>
      <c r="AF90" s="13">
        <f ca="1">$I$34*$AF$34</f>
        <v>0</v>
      </c>
      <c r="AG90" s="13">
        <f ca="1">$I$34*$AG$34</f>
        <v>0</v>
      </c>
      <c r="AI90" s="13">
        <f>$I$34*$AI$34</f>
        <v>0</v>
      </c>
      <c r="AJ90" s="13">
        <f>$I$34*$AJ$34</f>
        <v>0</v>
      </c>
      <c r="AK90" s="13">
        <f>$I$34*$AK$34</f>
        <v>0</v>
      </c>
      <c r="AL90" s="13">
        <f>$I$34*$AL$34</f>
        <v>0</v>
      </c>
      <c r="AM90" s="13">
        <f>$I$34*$AM$34</f>
        <v>0</v>
      </c>
      <c r="AN90" s="13">
        <f>$I$34*$AN$34</f>
        <v>0</v>
      </c>
      <c r="AO90" s="13">
        <f>$I$34*$AO$34</f>
        <v>0</v>
      </c>
      <c r="AP90" s="13">
        <f>$I$34*$AP$34</f>
        <v>0</v>
      </c>
      <c r="AQ90" s="13">
        <f>$I$34*$AQ$34</f>
        <v>0</v>
      </c>
      <c r="AR90" s="13">
        <f>$I$34*$AR$34</f>
        <v>0</v>
      </c>
      <c r="AS90" s="13">
        <f>$I$34*$AS$34</f>
        <v>0</v>
      </c>
      <c r="AT90" s="13">
        <f>$I$34*$AT$34</f>
        <v>0</v>
      </c>
      <c r="AU90" s="13">
        <f>$I$34*$AU$34</f>
        <v>0</v>
      </c>
      <c r="AV90" s="13">
        <f>$I$34*$AV$34</f>
        <v>0</v>
      </c>
      <c r="AW90" s="13">
        <f>$I$34*$AW$34</f>
        <v>0</v>
      </c>
      <c r="AX90" s="13">
        <f>$I$34*$AX$34</f>
        <v>0</v>
      </c>
      <c r="AY90" s="13">
        <f>$I$34*$AY$34</f>
        <v>0</v>
      </c>
      <c r="AZ90" s="13">
        <f>$I$34*$AZ$34</f>
        <v>0</v>
      </c>
      <c r="BA90" s="13">
        <f>$I$34*$BA$34</f>
        <v>0</v>
      </c>
      <c r="BB90" s="13">
        <f>$I$34*$BB$34</f>
        <v>0</v>
      </c>
      <c r="BC90" s="13">
        <f>$I$34*$BC$34</f>
        <v>0</v>
      </c>
      <c r="BD90" s="13">
        <f>$I$34*$BD$34</f>
        <v>0</v>
      </c>
    </row>
    <row r="91" spans="1:56" ht="11.25" customHeight="1" x14ac:dyDescent="0.25">
      <c r="A91" s="9" t="s">
        <v>42</v>
      </c>
      <c r="B91" s="9" t="s">
        <v>852</v>
      </c>
      <c r="C91" s="9" t="s">
        <v>853</v>
      </c>
      <c r="D91" s="9" t="s">
        <v>854</v>
      </c>
      <c r="E91" s="9" t="s">
        <v>855</v>
      </c>
      <c r="F91" s="9" t="s">
        <v>856</v>
      </c>
      <c r="G91" s="9" t="s">
        <v>858</v>
      </c>
      <c r="L91" s="13">
        <f>$I$35*$L$35</f>
        <v>0</v>
      </c>
      <c r="M91" s="13">
        <f>$I$35*$M$35</f>
        <v>0</v>
      </c>
      <c r="N91" s="13">
        <f ca="1">$I$35*$N$35</f>
        <v>0</v>
      </c>
      <c r="O91" s="13">
        <f>$I$35*$O$35</f>
        <v>0</v>
      </c>
      <c r="P91" s="13">
        <f>$I$35*$P$35</f>
        <v>0</v>
      </c>
      <c r="Q91" s="13">
        <f>$I$35*$Q$35</f>
        <v>0</v>
      </c>
      <c r="R91" s="13">
        <f>$I$35*$R$35</f>
        <v>0</v>
      </c>
      <c r="S91" s="13">
        <f>$I$35*$S$35</f>
        <v>0</v>
      </c>
      <c r="T91" s="13">
        <f>$I$35*$T$35</f>
        <v>0</v>
      </c>
      <c r="U91" s="13">
        <f>$I$35*$U$35</f>
        <v>0</v>
      </c>
      <c r="V91" s="13">
        <f>$I$35*$V$35</f>
        <v>0</v>
      </c>
      <c r="W91" s="13">
        <f>$I$35*$W$35</f>
        <v>0</v>
      </c>
      <c r="X91" s="13">
        <f>$I$35*$X$35</f>
        <v>0</v>
      </c>
      <c r="Y91" s="13">
        <f>$I$35*$Y$35</f>
        <v>0</v>
      </c>
      <c r="Z91" s="13">
        <f>$I$35*$Z$35</f>
        <v>0</v>
      </c>
      <c r="AA91" s="13">
        <f>$I$35*$AA$35</f>
        <v>0</v>
      </c>
      <c r="AB91" s="13">
        <f ca="1">$I$35*$AB$35</f>
        <v>0</v>
      </c>
      <c r="AC91" s="13">
        <f ca="1">$I$35*$AC$35</f>
        <v>0</v>
      </c>
      <c r="AD91" s="13">
        <f>$I$35*$AD$35</f>
        <v>0</v>
      </c>
      <c r="AE91" s="13">
        <f>$I$35*$AE$35</f>
        <v>0</v>
      </c>
      <c r="AF91" s="13">
        <f ca="1">$I$35*$AF$35</f>
        <v>0</v>
      </c>
      <c r="AG91" s="13">
        <f ca="1">$I$35*$AG$35</f>
        <v>0</v>
      </c>
      <c r="AI91" s="13">
        <f>$I$35*$AI$35</f>
        <v>0</v>
      </c>
      <c r="AJ91" s="13">
        <f>$I$35*$AJ$35</f>
        <v>0</v>
      </c>
      <c r="AK91" s="13">
        <f>$I$35*$AK$35</f>
        <v>0</v>
      </c>
      <c r="AL91" s="13">
        <f>$I$35*$AL$35</f>
        <v>0</v>
      </c>
      <c r="AM91" s="13">
        <f>$I$35*$AM$35</f>
        <v>0</v>
      </c>
      <c r="AN91" s="13">
        <f>$I$35*$AN$35</f>
        <v>0</v>
      </c>
      <c r="AO91" s="13">
        <f>$I$35*$AO$35</f>
        <v>0</v>
      </c>
      <c r="AP91" s="13">
        <f>$I$35*$AP$35</f>
        <v>0</v>
      </c>
      <c r="AQ91" s="13">
        <f>$I$35*$AQ$35</f>
        <v>0</v>
      </c>
      <c r="AR91" s="13">
        <f>$I$35*$AR$35</f>
        <v>0</v>
      </c>
      <c r="AS91" s="13">
        <f>$I$35*$AS$35</f>
        <v>0</v>
      </c>
      <c r="AT91" s="13">
        <f>$I$35*$AT$35</f>
        <v>0</v>
      </c>
      <c r="AU91" s="13">
        <f>$I$35*$AU$35</f>
        <v>0</v>
      </c>
      <c r="AV91" s="13">
        <f>$I$35*$AV$35</f>
        <v>0</v>
      </c>
      <c r="AW91" s="13">
        <f>$I$35*$AW$35</f>
        <v>0</v>
      </c>
      <c r="AX91" s="13">
        <f>$I$35*$AX$35</f>
        <v>0</v>
      </c>
      <c r="AY91" s="13">
        <f>$I$35*$AY$35</f>
        <v>0</v>
      </c>
      <c r="AZ91" s="13">
        <f>$I$35*$AZ$35</f>
        <v>0</v>
      </c>
      <c r="BA91" s="13">
        <f>$I$35*$BA$35</f>
        <v>0</v>
      </c>
      <c r="BB91" s="13">
        <f>$I$35*$BB$35</f>
        <v>0</v>
      </c>
      <c r="BC91" s="13">
        <f>$I$35*$BC$35</f>
        <v>0</v>
      </c>
      <c r="BD91" s="13">
        <f>$I$35*$BD$35</f>
        <v>0</v>
      </c>
    </row>
    <row r="92" spans="1:56" ht="11.25" customHeight="1" x14ac:dyDescent="0.25">
      <c r="A92" s="9" t="s">
        <v>42</v>
      </c>
      <c r="B92" s="9" t="s">
        <v>852</v>
      </c>
      <c r="C92" s="9" t="s">
        <v>853</v>
      </c>
      <c r="D92" s="9" t="s">
        <v>854</v>
      </c>
      <c r="E92" s="9" t="s">
        <v>855</v>
      </c>
      <c r="F92" s="9" t="s">
        <v>856</v>
      </c>
      <c r="G92" s="9" t="s">
        <v>859</v>
      </c>
      <c r="L92" s="13">
        <f>$I$36*$L$36</f>
        <v>0</v>
      </c>
      <c r="M92" s="13">
        <f>$I$36*$M$36</f>
        <v>0</v>
      </c>
      <c r="N92" s="13">
        <f ca="1">$I$36*$N$36</f>
        <v>0</v>
      </c>
      <c r="O92" s="13">
        <f>$I$36*$O$36</f>
        <v>0</v>
      </c>
      <c r="P92" s="13">
        <f>$I$36*$P$36</f>
        <v>0</v>
      </c>
      <c r="Q92" s="13">
        <f>$I$36*$Q$36</f>
        <v>0</v>
      </c>
      <c r="R92" s="13">
        <f>$I$36*$R$36</f>
        <v>0</v>
      </c>
      <c r="S92" s="13">
        <f>$I$36*$S$36</f>
        <v>0</v>
      </c>
      <c r="T92" s="13">
        <f>$I$36*$T$36</f>
        <v>0</v>
      </c>
      <c r="U92" s="13">
        <f>$I$36*$U$36</f>
        <v>0</v>
      </c>
      <c r="V92" s="13">
        <f>$I$36*$V$36</f>
        <v>0</v>
      </c>
      <c r="W92" s="13">
        <f>$I$36*$W$36</f>
        <v>0</v>
      </c>
      <c r="X92" s="13">
        <f>$I$36*$X$36</f>
        <v>0</v>
      </c>
      <c r="Y92" s="13">
        <f>$I$36*$Y$36</f>
        <v>0</v>
      </c>
      <c r="Z92" s="13">
        <f>$I$36*$Z$36</f>
        <v>0</v>
      </c>
      <c r="AA92" s="13">
        <f>$I$36*$AA$36</f>
        <v>0</v>
      </c>
      <c r="AB92" s="13">
        <f ca="1">$I$36*$AB$36</f>
        <v>0</v>
      </c>
      <c r="AC92" s="13">
        <f ca="1">$I$36*$AC$36</f>
        <v>0</v>
      </c>
      <c r="AD92" s="13">
        <f>$I$36*$AD$36</f>
        <v>0</v>
      </c>
      <c r="AE92" s="13">
        <f>$I$36*$AE$36</f>
        <v>0</v>
      </c>
      <c r="AF92" s="13">
        <f ca="1">$I$36*$AF$36</f>
        <v>0</v>
      </c>
      <c r="AG92" s="13">
        <f ca="1">$I$36*$AG$36</f>
        <v>0</v>
      </c>
      <c r="AI92" s="13">
        <f>$I$36*$AI$36</f>
        <v>0</v>
      </c>
      <c r="AJ92" s="13">
        <f>$I$36*$AJ$36</f>
        <v>0</v>
      </c>
      <c r="AK92" s="13">
        <f>$I$36*$AK$36</f>
        <v>0</v>
      </c>
      <c r="AL92" s="13">
        <f>$I$36*$AL$36</f>
        <v>0</v>
      </c>
      <c r="AM92" s="13">
        <f>$I$36*$AM$36</f>
        <v>0</v>
      </c>
      <c r="AN92" s="13">
        <f>$I$36*$AN$36</f>
        <v>0</v>
      </c>
      <c r="AO92" s="13">
        <f>$I$36*$AO$36</f>
        <v>0</v>
      </c>
      <c r="AP92" s="13">
        <f>$I$36*$AP$36</f>
        <v>0</v>
      </c>
      <c r="AQ92" s="13">
        <f>$I$36*$AQ$36</f>
        <v>0</v>
      </c>
      <c r="AR92" s="13">
        <f>$I$36*$AR$36</f>
        <v>0</v>
      </c>
      <c r="AS92" s="13">
        <f>$I$36*$AS$36</f>
        <v>0</v>
      </c>
      <c r="AT92" s="13">
        <f>$I$36*$AT$36</f>
        <v>0</v>
      </c>
      <c r="AU92" s="13">
        <f>$I$36*$AU$36</f>
        <v>0</v>
      </c>
      <c r="AV92" s="13">
        <f>$I$36*$AV$36</f>
        <v>0</v>
      </c>
      <c r="AW92" s="13">
        <f>$I$36*$AW$36</f>
        <v>0</v>
      </c>
      <c r="AX92" s="13">
        <f>$I$36*$AX$36</f>
        <v>0</v>
      </c>
      <c r="AY92" s="13">
        <f>$I$36*$AY$36</f>
        <v>0</v>
      </c>
      <c r="AZ92" s="13">
        <f>$I$36*$AZ$36</f>
        <v>0</v>
      </c>
      <c r="BA92" s="13">
        <f>$I$36*$BA$36</f>
        <v>0</v>
      </c>
      <c r="BB92" s="13">
        <f>$I$36*$BB$36</f>
        <v>0</v>
      </c>
      <c r="BC92" s="13">
        <f>$I$36*$BC$36</f>
        <v>0</v>
      </c>
      <c r="BD92" s="13">
        <f>$I$36*$BD$36</f>
        <v>0</v>
      </c>
    </row>
    <row r="93" spans="1:56" ht="11.25" customHeight="1" x14ac:dyDescent="0.25">
      <c r="A93" s="9" t="s">
        <v>42</v>
      </c>
      <c r="B93" s="9" t="s">
        <v>860</v>
      </c>
      <c r="C93" s="9" t="s">
        <v>861</v>
      </c>
      <c r="D93" s="9" t="s">
        <v>862</v>
      </c>
      <c r="E93" s="9" t="s">
        <v>863</v>
      </c>
      <c r="F93" s="9" t="s">
        <v>864</v>
      </c>
      <c r="G93" s="9" t="s">
        <v>865</v>
      </c>
      <c r="L93" s="13">
        <f>$I$37*$L$37</f>
        <v>479887.2211313608</v>
      </c>
      <c r="M93" s="13">
        <f>$I$37*$M$37</f>
        <v>10932.343236454744</v>
      </c>
      <c r="N93" s="13">
        <f ca="1">$I$37*$N$37</f>
        <v>0</v>
      </c>
      <c r="O93" s="13">
        <f>$I$37*$O$37</f>
        <v>0</v>
      </c>
      <c r="P93" s="13">
        <f>$I$37*$P$37</f>
        <v>0</v>
      </c>
      <c r="Q93" s="13">
        <f>$I$37*$Q$37</f>
        <v>1352356.0827020083</v>
      </c>
      <c r="R93" s="13">
        <f>$I$37*$R$37</f>
        <v>213721.87903151519</v>
      </c>
      <c r="S93" s="13">
        <f>$I$37*$S$37</f>
        <v>0</v>
      </c>
      <c r="T93" s="13">
        <f>$I$37*$T$37</f>
        <v>427917.99962311622</v>
      </c>
      <c r="U93" s="13">
        <f>$I$37*$U$37</f>
        <v>60214.202271690432</v>
      </c>
      <c r="V93" s="13">
        <f>$I$37*$V$37</f>
        <v>0</v>
      </c>
      <c r="W93" s="13">
        <f>$I$37*$W$37</f>
        <v>0</v>
      </c>
      <c r="X93" s="13">
        <f>$I$37*$X$37</f>
        <v>0</v>
      </c>
      <c r="Y93" s="13">
        <f>$I$37*$Y$37</f>
        <v>0</v>
      </c>
      <c r="Z93" s="13">
        <f>$I$37*$Z$37</f>
        <v>0</v>
      </c>
      <c r="AA93" s="13">
        <f>$I$37*$AA$37</f>
        <v>2443741.1453890493</v>
      </c>
      <c r="AB93" s="13">
        <f ca="1">$I$37*$AB$37</f>
        <v>0</v>
      </c>
      <c r="AC93" s="13">
        <f ca="1">$I$37*$AC$37</f>
        <v>0</v>
      </c>
      <c r="AD93" s="13">
        <f>$I$37*$AD$37</f>
        <v>179748.16770178938</v>
      </c>
      <c r="AE93" s="13">
        <f>$I$37*$AE$37</f>
        <v>0</v>
      </c>
      <c r="AF93" s="13">
        <f ca="1">$I$37*$AF$37</f>
        <v>0</v>
      </c>
      <c r="AG93" s="13">
        <f ca="1">$I$37*$AG$37</f>
        <v>0</v>
      </c>
      <c r="AI93" s="13">
        <f>$I$37*$AI$37</f>
        <v>450325.28009969223</v>
      </c>
      <c r="AJ93" s="13">
        <f>$I$37*$AJ$37</f>
        <v>10689.790450101173</v>
      </c>
      <c r="AK93" s="13">
        <f>$I$37*$AK$37</f>
        <v>0</v>
      </c>
      <c r="AL93" s="13">
        <f>$I$37*$AL$37</f>
        <v>0</v>
      </c>
      <c r="AM93" s="13">
        <f>$I$37*$AM$37</f>
        <v>0</v>
      </c>
      <c r="AN93" s="13">
        <f>$I$37*$AN$37</f>
        <v>780021.42532249971</v>
      </c>
      <c r="AO93" s="13">
        <f>$I$37*$AO$37</f>
        <v>122423.69308686939</v>
      </c>
      <c r="AP93" s="13">
        <f>$I$37*$AP$37</f>
        <v>0</v>
      </c>
      <c r="AQ93" s="13">
        <f>$I$37*$AQ$37</f>
        <v>280005.13463111845</v>
      </c>
      <c r="AR93" s="13">
        <f>$I$37*$AR$37</f>
        <v>52490.029852862506</v>
      </c>
      <c r="AS93" s="13">
        <f>$I$37*$AS$37</f>
        <v>0</v>
      </c>
      <c r="AT93" s="13">
        <f>$I$37*$AT$37</f>
        <v>0</v>
      </c>
      <c r="AU93" s="13">
        <f>$I$37*$AU$37</f>
        <v>0</v>
      </c>
      <c r="AV93" s="13">
        <f>$I$37*$AV$37</f>
        <v>0</v>
      </c>
      <c r="AW93" s="13">
        <f>$I$37*$AW$37</f>
        <v>0</v>
      </c>
      <c r="AX93" s="13">
        <f>$I$37*$AX$37</f>
        <v>1890859.9803929511</v>
      </c>
      <c r="AY93" s="13">
        <f>$I$37*$AY$37</f>
        <v>0</v>
      </c>
      <c r="AZ93" s="13">
        <f>$I$37*$AZ$37</f>
        <v>0</v>
      </c>
      <c r="BA93" s="13">
        <f>$I$37*$BA$37</f>
        <v>199685.60011940618</v>
      </c>
      <c r="BB93" s="13">
        <f>$I$37*$BB$37</f>
        <v>0</v>
      </c>
      <c r="BC93" s="13">
        <f>$I$37*$BC$37</f>
        <v>0</v>
      </c>
      <c r="BD93" s="13">
        <f>$I$37*$BD$37</f>
        <v>0</v>
      </c>
    </row>
    <row r="94" spans="1:56" ht="11.25" customHeight="1" x14ac:dyDescent="0.25">
      <c r="A94" s="9" t="s">
        <v>42</v>
      </c>
      <c r="B94" s="9" t="s">
        <v>852</v>
      </c>
      <c r="C94" s="9" t="s">
        <v>853</v>
      </c>
      <c r="D94" s="9" t="s">
        <v>866</v>
      </c>
      <c r="E94" s="9" t="s">
        <v>867</v>
      </c>
      <c r="F94" s="9" t="s">
        <v>868</v>
      </c>
      <c r="G94" s="9" t="s">
        <v>869</v>
      </c>
      <c r="L94" s="13">
        <f>$I$38*$L$38</f>
        <v>0</v>
      </c>
      <c r="M94" s="13">
        <f>$I$38*$M$38</f>
        <v>0</v>
      </c>
      <c r="N94" s="13">
        <f ca="1">$I$38*$N$38</f>
        <v>0</v>
      </c>
      <c r="O94" s="13">
        <f>$I$38*$O$38</f>
        <v>0</v>
      </c>
      <c r="P94" s="13">
        <f>$I$38*$P$38</f>
        <v>0</v>
      </c>
      <c r="Q94" s="13">
        <f>$I$38*$Q$38</f>
        <v>0</v>
      </c>
      <c r="R94" s="13">
        <f>$I$38*$R$38</f>
        <v>0</v>
      </c>
      <c r="S94" s="13">
        <f>$I$38*$S$38</f>
        <v>0</v>
      </c>
      <c r="T94" s="13">
        <f>$I$38*$T$38</f>
        <v>0</v>
      </c>
      <c r="U94" s="13">
        <f>$I$38*$U$38</f>
        <v>0</v>
      </c>
      <c r="V94" s="13">
        <f>$I$38*$V$38</f>
        <v>0</v>
      </c>
      <c r="W94" s="13">
        <f>$I$38*$W$38</f>
        <v>0</v>
      </c>
      <c r="X94" s="13">
        <f>$I$38*$X$38</f>
        <v>0</v>
      </c>
      <c r="Y94" s="13">
        <f>$I$38*$Y$38</f>
        <v>0</v>
      </c>
      <c r="Z94" s="13">
        <f>$I$38*$Z$38</f>
        <v>0</v>
      </c>
      <c r="AA94" s="13">
        <f>$I$38*$AA$38</f>
        <v>0</v>
      </c>
      <c r="AB94" s="13">
        <f ca="1">$I$38*$AB$38</f>
        <v>0</v>
      </c>
      <c r="AC94" s="13">
        <f ca="1">$I$38*$AC$38</f>
        <v>0</v>
      </c>
      <c r="AD94" s="13">
        <f>$I$38*$AD$38</f>
        <v>0</v>
      </c>
      <c r="AE94" s="13">
        <f>$I$38*$AE$38</f>
        <v>0</v>
      </c>
      <c r="AF94" s="13">
        <f ca="1">$I$38*$AF$38</f>
        <v>0</v>
      </c>
      <c r="AG94" s="13">
        <f ca="1">$I$38*$AG$38</f>
        <v>0</v>
      </c>
      <c r="AI94" s="13">
        <f>$I$38*$AI$38</f>
        <v>0</v>
      </c>
      <c r="AJ94" s="13">
        <f>$I$38*$AJ$38</f>
        <v>0</v>
      </c>
      <c r="AK94" s="13">
        <f>$I$38*$AK$38</f>
        <v>0</v>
      </c>
      <c r="AL94" s="13">
        <f>$I$38*$AL$38</f>
        <v>0</v>
      </c>
      <c r="AM94" s="13">
        <f>$I$38*$AM$38</f>
        <v>0</v>
      </c>
      <c r="AN94" s="13">
        <f>$I$38*$AN$38</f>
        <v>0</v>
      </c>
      <c r="AO94" s="13">
        <f>$I$38*$AO$38</f>
        <v>0</v>
      </c>
      <c r="AP94" s="13">
        <f>$I$38*$AP$38</f>
        <v>0</v>
      </c>
      <c r="AQ94" s="13">
        <f>$I$38*$AQ$38</f>
        <v>0</v>
      </c>
      <c r="AR94" s="13">
        <f>$I$38*$AR$38</f>
        <v>0</v>
      </c>
      <c r="AS94" s="13">
        <f>$I$38*$AS$38</f>
        <v>0</v>
      </c>
      <c r="AT94" s="13">
        <f>$I$38*$AT$38</f>
        <v>0</v>
      </c>
      <c r="AU94" s="13">
        <f>$I$38*$AU$38</f>
        <v>0</v>
      </c>
      <c r="AV94" s="13">
        <f>$I$38*$AV$38</f>
        <v>0</v>
      </c>
      <c r="AW94" s="13">
        <f>$I$38*$AW$38</f>
        <v>0</v>
      </c>
      <c r="AX94" s="13">
        <f>$I$38*$AX$38</f>
        <v>0</v>
      </c>
      <c r="AY94" s="13">
        <f>$I$38*$AY$38</f>
        <v>0</v>
      </c>
      <c r="AZ94" s="13">
        <f>$I$38*$AZ$38</f>
        <v>0</v>
      </c>
      <c r="BA94" s="13">
        <f>$I$38*$BA$38</f>
        <v>0</v>
      </c>
      <c r="BB94" s="13">
        <f>$I$38*$BB$38</f>
        <v>0</v>
      </c>
      <c r="BC94" s="13">
        <f>$I$38*$BC$38</f>
        <v>0</v>
      </c>
      <c r="BD94" s="13">
        <f>$I$38*$BD$38</f>
        <v>0</v>
      </c>
    </row>
    <row r="95" spans="1:56" ht="11.25" customHeight="1" x14ac:dyDescent="0.25">
      <c r="A95" s="9" t="s">
        <v>42</v>
      </c>
      <c r="B95" s="9" t="s">
        <v>852</v>
      </c>
      <c r="C95" s="9" t="s">
        <v>853</v>
      </c>
      <c r="D95" s="9" t="s">
        <v>866</v>
      </c>
      <c r="E95" s="9" t="s">
        <v>867</v>
      </c>
      <c r="F95" s="9" t="s">
        <v>868</v>
      </c>
      <c r="G95" s="9" t="s">
        <v>870</v>
      </c>
      <c r="L95" s="13">
        <f>$I$39*$L$39</f>
        <v>0</v>
      </c>
      <c r="M95" s="13">
        <f>$I$39*$M$39</f>
        <v>0</v>
      </c>
      <c r="N95" s="13">
        <f ca="1">$I$39*$N$39</f>
        <v>0</v>
      </c>
      <c r="O95" s="13">
        <f>$I$39*$O$39</f>
        <v>0</v>
      </c>
      <c r="P95" s="13">
        <f>$I$39*$P$39</f>
        <v>0</v>
      </c>
      <c r="Q95" s="13">
        <f>$I$39*$Q$39</f>
        <v>0</v>
      </c>
      <c r="R95" s="13">
        <f>$I$39*$R$39</f>
        <v>0</v>
      </c>
      <c r="S95" s="13">
        <f>$I$39*$S$39</f>
        <v>0</v>
      </c>
      <c r="T95" s="13">
        <f>$I$39*$T$39</f>
        <v>0</v>
      </c>
      <c r="U95" s="13">
        <f>$I$39*$U$39</f>
        <v>0</v>
      </c>
      <c r="V95" s="13">
        <f>$I$39*$V$39</f>
        <v>0</v>
      </c>
      <c r="W95" s="13">
        <f>$I$39*$W$39</f>
        <v>0</v>
      </c>
      <c r="X95" s="13">
        <f>$I$39*$X$39</f>
        <v>0</v>
      </c>
      <c r="Y95" s="13">
        <f>$I$39*$Y$39</f>
        <v>0</v>
      </c>
      <c r="Z95" s="13">
        <f>$I$39*$Z$39</f>
        <v>0</v>
      </c>
      <c r="AA95" s="13">
        <f>$I$39*$AA$39</f>
        <v>0</v>
      </c>
      <c r="AB95" s="13">
        <f ca="1">$I$39*$AB$39</f>
        <v>0</v>
      </c>
      <c r="AC95" s="13">
        <f ca="1">$I$39*$AC$39</f>
        <v>0</v>
      </c>
      <c r="AD95" s="13">
        <f>$I$39*$AD$39</f>
        <v>0</v>
      </c>
      <c r="AE95" s="13">
        <f>$I$39*$AE$39</f>
        <v>0</v>
      </c>
      <c r="AF95" s="13">
        <f ca="1">$I$39*$AF$39</f>
        <v>0</v>
      </c>
      <c r="AG95" s="13">
        <f ca="1">$I$39*$AG$39</f>
        <v>0</v>
      </c>
      <c r="AI95" s="13">
        <f>$I$39*$AI$39</f>
        <v>0</v>
      </c>
      <c r="AJ95" s="13">
        <f>$I$39*$AJ$39</f>
        <v>0</v>
      </c>
      <c r="AK95" s="13">
        <f>$I$39*$AK$39</f>
        <v>0</v>
      </c>
      <c r="AL95" s="13">
        <f>$I$39*$AL$39</f>
        <v>0</v>
      </c>
      <c r="AM95" s="13">
        <f>$I$39*$AM$39</f>
        <v>0</v>
      </c>
      <c r="AN95" s="13">
        <f>$I$39*$AN$39</f>
        <v>0</v>
      </c>
      <c r="AO95" s="13">
        <f>$I$39*$AO$39</f>
        <v>0</v>
      </c>
      <c r="AP95" s="13">
        <f>$I$39*$AP$39</f>
        <v>0</v>
      </c>
      <c r="AQ95" s="13">
        <f>$I$39*$AQ$39</f>
        <v>0</v>
      </c>
      <c r="AR95" s="13">
        <f>$I$39*$AR$39</f>
        <v>0</v>
      </c>
      <c r="AS95" s="13">
        <f>$I$39*$AS$39</f>
        <v>0</v>
      </c>
      <c r="AT95" s="13">
        <f>$I$39*$AT$39</f>
        <v>0</v>
      </c>
      <c r="AU95" s="13">
        <f>$I$39*$AU$39</f>
        <v>0</v>
      </c>
      <c r="AV95" s="13">
        <f>$I$39*$AV$39</f>
        <v>0</v>
      </c>
      <c r="AW95" s="13">
        <f>$I$39*$AW$39</f>
        <v>0</v>
      </c>
      <c r="AX95" s="13">
        <f>$I$39*$AX$39</f>
        <v>0</v>
      </c>
      <c r="AY95" s="13">
        <f>$I$39*$AY$39</f>
        <v>0</v>
      </c>
      <c r="AZ95" s="13">
        <f>$I$39*$AZ$39</f>
        <v>0</v>
      </c>
      <c r="BA95" s="13">
        <f>$I$39*$BA$39</f>
        <v>0</v>
      </c>
      <c r="BB95" s="13">
        <f>$I$39*$BB$39</f>
        <v>0</v>
      </c>
      <c r="BC95" s="13">
        <f>$I$39*$BC$39</f>
        <v>0</v>
      </c>
      <c r="BD95" s="13">
        <f>$I$39*$BD$39</f>
        <v>0</v>
      </c>
    </row>
    <row r="96" spans="1:56" ht="11.25" customHeight="1" x14ac:dyDescent="0.25">
      <c r="A96" s="9" t="s">
        <v>42</v>
      </c>
      <c r="B96" s="9" t="s">
        <v>852</v>
      </c>
      <c r="C96" s="9" t="s">
        <v>853</v>
      </c>
      <c r="D96" s="9" t="s">
        <v>866</v>
      </c>
      <c r="E96" s="9" t="s">
        <v>867</v>
      </c>
      <c r="F96" s="9" t="s">
        <v>868</v>
      </c>
      <c r="G96" s="9" t="s">
        <v>871</v>
      </c>
      <c r="L96" s="13">
        <f>$I$40*$L$40</f>
        <v>0</v>
      </c>
      <c r="M96" s="13">
        <f>$I$40*$M$40</f>
        <v>0</v>
      </c>
      <c r="N96" s="13">
        <f ca="1">$I$40*$N$40</f>
        <v>0</v>
      </c>
      <c r="O96" s="13">
        <f>$I$40*$O$40</f>
        <v>0</v>
      </c>
      <c r="P96" s="13">
        <f>$I$40*$P$40</f>
        <v>0</v>
      </c>
      <c r="Q96" s="13">
        <f>$I$40*$Q$40</f>
        <v>0</v>
      </c>
      <c r="R96" s="13">
        <f>$I$40*$R$40</f>
        <v>0</v>
      </c>
      <c r="S96" s="13">
        <f>$I$40*$S$40</f>
        <v>0</v>
      </c>
      <c r="T96" s="13">
        <f>$I$40*$T$40</f>
        <v>0</v>
      </c>
      <c r="U96" s="13">
        <f>$I$40*$U$40</f>
        <v>0</v>
      </c>
      <c r="V96" s="13">
        <f>$I$40*$V$40</f>
        <v>0</v>
      </c>
      <c r="W96" s="13">
        <f>$I$40*$W$40</f>
        <v>0</v>
      </c>
      <c r="X96" s="13">
        <f>$I$40*$X$40</f>
        <v>0</v>
      </c>
      <c r="Y96" s="13">
        <f>$I$40*$Y$40</f>
        <v>0</v>
      </c>
      <c r="Z96" s="13">
        <f>$I$40*$Z$40</f>
        <v>0</v>
      </c>
      <c r="AA96" s="13">
        <f>$I$40*$AA$40</f>
        <v>0</v>
      </c>
      <c r="AB96" s="13">
        <f ca="1">$I$40*$AB$40</f>
        <v>0</v>
      </c>
      <c r="AC96" s="13">
        <f ca="1">$I$40*$AC$40</f>
        <v>0</v>
      </c>
      <c r="AD96" s="13">
        <f>$I$40*$AD$40</f>
        <v>0</v>
      </c>
      <c r="AE96" s="13">
        <f>$I$40*$AE$40</f>
        <v>0</v>
      </c>
      <c r="AF96" s="13">
        <f ca="1">$I$40*$AF$40</f>
        <v>0</v>
      </c>
      <c r="AG96" s="13">
        <f ca="1">$I$40*$AG$40</f>
        <v>0</v>
      </c>
      <c r="AI96" s="13">
        <f>$I$40*$AI$40</f>
        <v>0</v>
      </c>
      <c r="AJ96" s="13">
        <f>$I$40*$AJ$40</f>
        <v>0</v>
      </c>
      <c r="AK96" s="13">
        <f>$I$40*$AK$40</f>
        <v>0</v>
      </c>
      <c r="AL96" s="13">
        <f>$I$40*$AL$40</f>
        <v>0</v>
      </c>
      <c r="AM96" s="13">
        <f>$I$40*$AM$40</f>
        <v>0</v>
      </c>
      <c r="AN96" s="13">
        <f>$I$40*$AN$40</f>
        <v>0</v>
      </c>
      <c r="AO96" s="13">
        <f>$I$40*$AO$40</f>
        <v>0</v>
      </c>
      <c r="AP96" s="13">
        <f>$I$40*$AP$40</f>
        <v>0</v>
      </c>
      <c r="AQ96" s="13">
        <f>$I$40*$AQ$40</f>
        <v>0</v>
      </c>
      <c r="AR96" s="13">
        <f>$I$40*$AR$40</f>
        <v>0</v>
      </c>
      <c r="AS96" s="13">
        <f>$I$40*$AS$40</f>
        <v>0</v>
      </c>
      <c r="AT96" s="13">
        <f>$I$40*$AT$40</f>
        <v>0</v>
      </c>
      <c r="AU96" s="13">
        <f>$I$40*$AU$40</f>
        <v>0</v>
      </c>
      <c r="AV96" s="13">
        <f>$I$40*$AV$40</f>
        <v>0</v>
      </c>
      <c r="AW96" s="13">
        <f>$I$40*$AW$40</f>
        <v>0</v>
      </c>
      <c r="AX96" s="13">
        <f>$I$40*$AX$40</f>
        <v>0</v>
      </c>
      <c r="AY96" s="13">
        <f>$I$40*$AY$40</f>
        <v>0</v>
      </c>
      <c r="AZ96" s="13">
        <f>$I$40*$AZ$40</f>
        <v>0</v>
      </c>
      <c r="BA96" s="13">
        <f>$I$40*$BA$40</f>
        <v>0</v>
      </c>
      <c r="BB96" s="13">
        <f>$I$40*$BB$40</f>
        <v>0</v>
      </c>
      <c r="BC96" s="13">
        <f>$I$40*$BC$40</f>
        <v>0</v>
      </c>
      <c r="BD96" s="13">
        <f>$I$40*$BD$40</f>
        <v>0</v>
      </c>
    </row>
    <row r="97" spans="1:56" ht="11.25" customHeight="1" x14ac:dyDescent="0.25">
      <c r="A97" s="9" t="s">
        <v>42</v>
      </c>
      <c r="B97" s="9" t="s">
        <v>860</v>
      </c>
      <c r="C97" s="9" t="s">
        <v>861</v>
      </c>
      <c r="D97" s="9" t="s">
        <v>872</v>
      </c>
      <c r="E97" s="9" t="s">
        <v>873</v>
      </c>
      <c r="F97" s="9" t="s">
        <v>874</v>
      </c>
      <c r="G97" s="9" t="s">
        <v>875</v>
      </c>
      <c r="L97" s="13">
        <f>$I$41*$L$41</f>
        <v>0</v>
      </c>
      <c r="M97" s="13">
        <f>$I$41*$M$41</f>
        <v>0</v>
      </c>
      <c r="N97" s="13">
        <f ca="1">$I$41*$N$41</f>
        <v>0</v>
      </c>
      <c r="O97" s="13">
        <f>$I$41*$O$41</f>
        <v>0</v>
      </c>
      <c r="P97" s="13">
        <f>$I$41*$P$41</f>
        <v>0</v>
      </c>
      <c r="Q97" s="13">
        <f>$I$41*$Q$41</f>
        <v>0</v>
      </c>
      <c r="R97" s="13">
        <f>$I$41*$R$41</f>
        <v>0</v>
      </c>
      <c r="S97" s="13">
        <f>$I$41*$S$41</f>
        <v>0</v>
      </c>
      <c r="T97" s="13">
        <f>$I$41*$T$41</f>
        <v>0</v>
      </c>
      <c r="U97" s="13">
        <f>$I$41*$U$41</f>
        <v>0</v>
      </c>
      <c r="V97" s="13">
        <f>$I$41*$V$41</f>
        <v>0</v>
      </c>
      <c r="W97" s="13">
        <f>$I$41*$W$41</f>
        <v>0</v>
      </c>
      <c r="X97" s="13">
        <f>$I$41*$X$41</f>
        <v>0</v>
      </c>
      <c r="Y97" s="13">
        <f>$I$41*$Y$41</f>
        <v>0</v>
      </c>
      <c r="Z97" s="13">
        <f>$I$41*$Z$41</f>
        <v>0</v>
      </c>
      <c r="AA97" s="13">
        <f>$I$41*$AA$41</f>
        <v>0</v>
      </c>
      <c r="AB97" s="13">
        <f ca="1">$I$41*$AB$41</f>
        <v>0</v>
      </c>
      <c r="AC97" s="13">
        <f ca="1">$I$41*$AC$41</f>
        <v>0</v>
      </c>
      <c r="AD97" s="13">
        <f>$I$41*$AD$41</f>
        <v>0</v>
      </c>
      <c r="AE97" s="13">
        <f>$I$41*$AE$41</f>
        <v>0</v>
      </c>
      <c r="AF97" s="13">
        <f ca="1">$I$41*$AF$41</f>
        <v>0</v>
      </c>
      <c r="AG97" s="13">
        <f ca="1">$I$41*$AG$41</f>
        <v>0</v>
      </c>
      <c r="AI97" s="13">
        <f>$I$41*$AI$41</f>
        <v>0</v>
      </c>
      <c r="AJ97" s="13">
        <f>$I$41*$AJ$41</f>
        <v>0</v>
      </c>
      <c r="AK97" s="13">
        <f>$I$41*$AK$41</f>
        <v>0</v>
      </c>
      <c r="AL97" s="13">
        <f>$I$41*$AL$41</f>
        <v>0</v>
      </c>
      <c r="AM97" s="13">
        <f>$I$41*$AM$41</f>
        <v>0</v>
      </c>
      <c r="AN97" s="13">
        <f>$I$41*$AN$41</f>
        <v>0</v>
      </c>
      <c r="AO97" s="13">
        <f>$I$41*$AO$41</f>
        <v>0</v>
      </c>
      <c r="AP97" s="13">
        <f>$I$41*$AP$41</f>
        <v>0</v>
      </c>
      <c r="AQ97" s="13">
        <f>$I$41*$AQ$41</f>
        <v>0</v>
      </c>
      <c r="AR97" s="13">
        <f>$I$41*$AR$41</f>
        <v>0</v>
      </c>
      <c r="AS97" s="13">
        <f>$I$41*$AS$41</f>
        <v>0</v>
      </c>
      <c r="AT97" s="13">
        <f>$I$41*$AT$41</f>
        <v>0</v>
      </c>
      <c r="AU97" s="13">
        <f>$I$41*$AU$41</f>
        <v>0</v>
      </c>
      <c r="AV97" s="13">
        <f>$I$41*$AV$41</f>
        <v>0</v>
      </c>
      <c r="AW97" s="13">
        <f>$I$41*$AW$41</f>
        <v>0</v>
      </c>
      <c r="AX97" s="13">
        <f>$I$41*$AX$41</f>
        <v>0</v>
      </c>
      <c r="AY97" s="13">
        <f>$I$41*$AY$41</f>
        <v>0</v>
      </c>
      <c r="AZ97" s="13">
        <f>$I$41*$AZ$41</f>
        <v>0</v>
      </c>
      <c r="BA97" s="13">
        <f>$I$41*$BA$41</f>
        <v>0</v>
      </c>
      <c r="BB97" s="13">
        <f>$I$41*$BB$41</f>
        <v>0</v>
      </c>
      <c r="BC97" s="13">
        <f>$I$41*$BC$41</f>
        <v>0</v>
      </c>
      <c r="BD97" s="13">
        <f>$I$41*$BD$41</f>
        <v>0</v>
      </c>
    </row>
    <row r="98" spans="1:56" ht="11.25" customHeight="1" x14ac:dyDescent="0.25">
      <c r="A98" s="9" t="s">
        <v>42</v>
      </c>
      <c r="B98" s="9" t="s">
        <v>852</v>
      </c>
      <c r="C98" s="9" t="s">
        <v>853</v>
      </c>
      <c r="D98" s="9" t="s">
        <v>876</v>
      </c>
      <c r="E98" s="9" t="s">
        <v>877</v>
      </c>
      <c r="F98" s="9" t="s">
        <v>878</v>
      </c>
      <c r="G98" s="9" t="s">
        <v>879</v>
      </c>
      <c r="L98" s="13">
        <f>$I$42*$L$42</f>
        <v>0</v>
      </c>
      <c r="M98" s="13">
        <f>$I$42*$M$42</f>
        <v>0</v>
      </c>
      <c r="N98" s="13">
        <f ca="1">$I$42*$N$42</f>
        <v>0</v>
      </c>
      <c r="O98" s="13">
        <f>$I$42*$O$42</f>
        <v>0</v>
      </c>
      <c r="P98" s="13">
        <f>$I$42*$P$42</f>
        <v>0</v>
      </c>
      <c r="Q98" s="13">
        <f>$I$42*$Q$42</f>
        <v>0</v>
      </c>
      <c r="R98" s="13">
        <f>$I$42*$R$42</f>
        <v>0</v>
      </c>
      <c r="S98" s="13">
        <f>$I$42*$S$42</f>
        <v>0</v>
      </c>
      <c r="T98" s="13">
        <f>$I$42*$T$42</f>
        <v>0</v>
      </c>
      <c r="U98" s="13">
        <f>$I$42*$U$42</f>
        <v>0</v>
      </c>
      <c r="V98" s="13">
        <f>$I$42*$V$42</f>
        <v>0</v>
      </c>
      <c r="W98" s="13">
        <f>$I$42*$W$42</f>
        <v>0</v>
      </c>
      <c r="X98" s="13">
        <f>$I$42*$X$42</f>
        <v>0</v>
      </c>
      <c r="Y98" s="13">
        <f>$I$42*$Y$42</f>
        <v>0</v>
      </c>
      <c r="Z98" s="13">
        <f>$I$42*$Z$42</f>
        <v>0</v>
      </c>
      <c r="AA98" s="13">
        <f>$I$42*$AA$42</f>
        <v>0</v>
      </c>
      <c r="AB98" s="13">
        <f ca="1">$I$42*$AB$42</f>
        <v>0</v>
      </c>
      <c r="AC98" s="13">
        <f ca="1">$I$42*$AC$42</f>
        <v>0</v>
      </c>
      <c r="AD98" s="13">
        <f>$I$42*$AD$42</f>
        <v>0</v>
      </c>
      <c r="AE98" s="13">
        <f>$I$42*$AE$42</f>
        <v>0</v>
      </c>
      <c r="AF98" s="13">
        <f ca="1">$I$42*$AF$42</f>
        <v>0</v>
      </c>
      <c r="AG98" s="13">
        <f ca="1">$I$42*$AG$42</f>
        <v>0</v>
      </c>
      <c r="AI98" s="13">
        <f>$I$42*$AI$42</f>
        <v>0</v>
      </c>
      <c r="AJ98" s="13">
        <f>$I$42*$AJ$42</f>
        <v>0</v>
      </c>
      <c r="AK98" s="13">
        <f>$I$42*$AK$42</f>
        <v>0</v>
      </c>
      <c r="AL98" s="13">
        <f>$I$42*$AL$42</f>
        <v>0</v>
      </c>
      <c r="AM98" s="13">
        <f>$I$42*$AM$42</f>
        <v>0</v>
      </c>
      <c r="AN98" s="13">
        <f>$I$42*$AN$42</f>
        <v>0</v>
      </c>
      <c r="AO98" s="13">
        <f>$I$42*$AO$42</f>
        <v>0</v>
      </c>
      <c r="AP98" s="13">
        <f>$I$42*$AP$42</f>
        <v>0</v>
      </c>
      <c r="AQ98" s="13">
        <f>$I$42*$AQ$42</f>
        <v>0</v>
      </c>
      <c r="AR98" s="13">
        <f>$I$42*$AR$42</f>
        <v>0</v>
      </c>
      <c r="AS98" s="13">
        <f>$I$42*$AS$42</f>
        <v>0</v>
      </c>
      <c r="AT98" s="13">
        <f>$I$42*$AT$42</f>
        <v>0</v>
      </c>
      <c r="AU98" s="13">
        <f>$I$42*$AU$42</f>
        <v>0</v>
      </c>
      <c r="AV98" s="13">
        <f>$I$42*$AV$42</f>
        <v>0</v>
      </c>
      <c r="AW98" s="13">
        <f>$I$42*$AW$42</f>
        <v>0</v>
      </c>
      <c r="AX98" s="13">
        <f>$I$42*$AX$42</f>
        <v>0</v>
      </c>
      <c r="AY98" s="13">
        <f>$I$42*$AY$42</f>
        <v>0</v>
      </c>
      <c r="AZ98" s="13">
        <f>$I$42*$AZ$42</f>
        <v>0</v>
      </c>
      <c r="BA98" s="13">
        <f>$I$42*$BA$42</f>
        <v>0</v>
      </c>
      <c r="BB98" s="13">
        <f>$I$42*$BB$42</f>
        <v>0</v>
      </c>
      <c r="BC98" s="13">
        <f>$I$42*$BC$42</f>
        <v>0</v>
      </c>
      <c r="BD98" s="13">
        <f>$I$42*$BD$42</f>
        <v>0</v>
      </c>
    </row>
    <row r="99" spans="1:56" ht="11.25" customHeight="1" x14ac:dyDescent="0.25">
      <c r="A99" s="9" t="s">
        <v>42</v>
      </c>
      <c r="B99" s="9" t="s">
        <v>852</v>
      </c>
      <c r="C99" s="9" t="s">
        <v>853</v>
      </c>
      <c r="D99" s="9" t="s">
        <v>876</v>
      </c>
      <c r="E99" s="9" t="s">
        <v>877</v>
      </c>
      <c r="F99" s="9" t="s">
        <v>878</v>
      </c>
      <c r="G99" s="9" t="s">
        <v>880</v>
      </c>
      <c r="L99" s="13">
        <f>$I$43*$L$43</f>
        <v>0</v>
      </c>
      <c r="M99" s="13">
        <f>$I$43*$M$43</f>
        <v>0</v>
      </c>
      <c r="N99" s="13">
        <f ca="1">$I$43*$N$43</f>
        <v>0</v>
      </c>
      <c r="O99" s="13">
        <f>$I$43*$O$43</f>
        <v>0</v>
      </c>
      <c r="P99" s="13">
        <f>$I$43*$P$43</f>
        <v>0</v>
      </c>
      <c r="Q99" s="13">
        <f>$I$43*$Q$43</f>
        <v>0</v>
      </c>
      <c r="R99" s="13">
        <f>$I$43*$R$43</f>
        <v>0</v>
      </c>
      <c r="S99" s="13">
        <f>$I$43*$S$43</f>
        <v>0</v>
      </c>
      <c r="T99" s="13">
        <f>$I$43*$T$43</f>
        <v>0</v>
      </c>
      <c r="U99" s="13">
        <f>$I$43*$U$43</f>
        <v>0</v>
      </c>
      <c r="V99" s="13">
        <f>$I$43*$V$43</f>
        <v>0</v>
      </c>
      <c r="W99" s="13">
        <f>$I$43*$W$43</f>
        <v>0</v>
      </c>
      <c r="X99" s="13">
        <f>$I$43*$X$43</f>
        <v>0</v>
      </c>
      <c r="Y99" s="13">
        <f>$I$43*$Y$43</f>
        <v>0</v>
      </c>
      <c r="Z99" s="13">
        <f>$I$43*$Z$43</f>
        <v>0</v>
      </c>
      <c r="AA99" s="13">
        <f>$I$43*$AA$43</f>
        <v>0</v>
      </c>
      <c r="AB99" s="13">
        <f ca="1">$I$43*$AB$43</f>
        <v>0</v>
      </c>
      <c r="AC99" s="13">
        <f ca="1">$I$43*$AC$43</f>
        <v>0</v>
      </c>
      <c r="AD99" s="13">
        <f>$I$43*$AD$43</f>
        <v>0</v>
      </c>
      <c r="AE99" s="13">
        <f>$I$43*$AE$43</f>
        <v>0</v>
      </c>
      <c r="AF99" s="13">
        <f ca="1">$I$43*$AF$43</f>
        <v>0</v>
      </c>
      <c r="AG99" s="13">
        <f ca="1">$I$43*$AG$43</f>
        <v>0</v>
      </c>
      <c r="AI99" s="13">
        <f>$I$43*$AI$43</f>
        <v>0</v>
      </c>
      <c r="AJ99" s="13">
        <f>$I$43*$AJ$43</f>
        <v>0</v>
      </c>
      <c r="AK99" s="13">
        <f>$I$43*$AK$43</f>
        <v>0</v>
      </c>
      <c r="AL99" s="13">
        <f>$I$43*$AL$43</f>
        <v>0</v>
      </c>
      <c r="AM99" s="13">
        <f>$I$43*$AM$43</f>
        <v>0</v>
      </c>
      <c r="AN99" s="13">
        <f>$I$43*$AN$43</f>
        <v>0</v>
      </c>
      <c r="AO99" s="13">
        <f>$I$43*$AO$43</f>
        <v>0</v>
      </c>
      <c r="AP99" s="13">
        <f>$I$43*$AP$43</f>
        <v>0</v>
      </c>
      <c r="AQ99" s="13">
        <f>$I$43*$AQ$43</f>
        <v>0</v>
      </c>
      <c r="AR99" s="13">
        <f>$I$43*$AR$43</f>
        <v>0</v>
      </c>
      <c r="AS99" s="13">
        <f>$I$43*$AS$43</f>
        <v>0</v>
      </c>
      <c r="AT99" s="13">
        <f>$I$43*$AT$43</f>
        <v>0</v>
      </c>
      <c r="AU99" s="13">
        <f>$I$43*$AU$43</f>
        <v>0</v>
      </c>
      <c r="AV99" s="13">
        <f>$I$43*$AV$43</f>
        <v>0</v>
      </c>
      <c r="AW99" s="13">
        <f>$I$43*$AW$43</f>
        <v>0</v>
      </c>
      <c r="AX99" s="13">
        <f>$I$43*$AX$43</f>
        <v>0</v>
      </c>
      <c r="AY99" s="13">
        <f>$I$43*$AY$43</f>
        <v>0</v>
      </c>
      <c r="AZ99" s="13">
        <f>$I$43*$AZ$43</f>
        <v>0</v>
      </c>
      <c r="BA99" s="13">
        <f>$I$43*$BA$43</f>
        <v>0</v>
      </c>
      <c r="BB99" s="13">
        <f>$I$43*$BB$43</f>
        <v>0</v>
      </c>
      <c r="BC99" s="13">
        <f>$I$43*$BC$43</f>
        <v>0</v>
      </c>
      <c r="BD99" s="13">
        <f>$I$43*$BD$43</f>
        <v>0</v>
      </c>
    </row>
    <row r="100" spans="1:56" ht="11.25" customHeight="1" x14ac:dyDescent="0.25">
      <c r="A100" s="9" t="s">
        <v>42</v>
      </c>
      <c r="B100" s="9" t="s">
        <v>852</v>
      </c>
      <c r="C100" s="9" t="s">
        <v>853</v>
      </c>
      <c r="D100" s="9" t="s">
        <v>876</v>
      </c>
      <c r="E100" s="9" t="s">
        <v>877</v>
      </c>
      <c r="F100" s="9" t="s">
        <v>878</v>
      </c>
      <c r="G100" s="9" t="s">
        <v>881</v>
      </c>
      <c r="L100" s="13">
        <f>$I$44*$L$44</f>
        <v>0</v>
      </c>
      <c r="M100" s="13">
        <f>$I$44*$M$44</f>
        <v>0</v>
      </c>
      <c r="N100" s="13">
        <f ca="1">$I$44*$N$44</f>
        <v>0</v>
      </c>
      <c r="O100" s="13">
        <f>$I$44*$O$44</f>
        <v>0</v>
      </c>
      <c r="P100" s="13">
        <f>$I$44*$P$44</f>
        <v>0</v>
      </c>
      <c r="Q100" s="13">
        <f>$I$44*$Q$44</f>
        <v>0</v>
      </c>
      <c r="R100" s="13">
        <f>$I$44*$R$44</f>
        <v>0</v>
      </c>
      <c r="S100" s="13">
        <f>$I$44*$S$44</f>
        <v>0</v>
      </c>
      <c r="T100" s="13">
        <f>$I$44*$T$44</f>
        <v>0</v>
      </c>
      <c r="U100" s="13">
        <f>$I$44*$U$44</f>
        <v>0</v>
      </c>
      <c r="V100" s="13">
        <f>$I$44*$V$44</f>
        <v>0</v>
      </c>
      <c r="W100" s="13">
        <f>$I$44*$W$44</f>
        <v>0</v>
      </c>
      <c r="X100" s="13">
        <f>$I$44*$X$44</f>
        <v>0</v>
      </c>
      <c r="Y100" s="13">
        <f>$I$44*$Y$44</f>
        <v>0</v>
      </c>
      <c r="Z100" s="13">
        <f>$I$44*$Z$44</f>
        <v>0</v>
      </c>
      <c r="AA100" s="13">
        <f>$I$44*$AA$44</f>
        <v>0</v>
      </c>
      <c r="AB100" s="13">
        <f ca="1">$I$44*$AB$44</f>
        <v>0</v>
      </c>
      <c r="AC100" s="13">
        <f ca="1">$I$44*$AC$44</f>
        <v>0</v>
      </c>
      <c r="AD100" s="13">
        <f>$I$44*$AD$44</f>
        <v>0</v>
      </c>
      <c r="AE100" s="13">
        <f>$I$44*$AE$44</f>
        <v>0</v>
      </c>
      <c r="AF100" s="13">
        <f ca="1">$I$44*$AF$44</f>
        <v>0</v>
      </c>
      <c r="AG100" s="13">
        <f ca="1">$I$44*$AG$44</f>
        <v>0</v>
      </c>
      <c r="AI100" s="13">
        <f>$I$44*$AI$44</f>
        <v>0</v>
      </c>
      <c r="AJ100" s="13">
        <f>$I$44*$AJ$44</f>
        <v>0</v>
      </c>
      <c r="AK100" s="13">
        <f>$I$44*$AK$44</f>
        <v>0</v>
      </c>
      <c r="AL100" s="13">
        <f>$I$44*$AL$44</f>
        <v>0</v>
      </c>
      <c r="AM100" s="13">
        <f>$I$44*$AM$44</f>
        <v>0</v>
      </c>
      <c r="AN100" s="13">
        <f>$I$44*$AN$44</f>
        <v>0</v>
      </c>
      <c r="AO100" s="13">
        <f>$I$44*$AO$44</f>
        <v>0</v>
      </c>
      <c r="AP100" s="13">
        <f>$I$44*$AP$44</f>
        <v>0</v>
      </c>
      <c r="AQ100" s="13">
        <f>$I$44*$AQ$44</f>
        <v>0</v>
      </c>
      <c r="AR100" s="13">
        <f>$I$44*$AR$44</f>
        <v>0</v>
      </c>
      <c r="AS100" s="13">
        <f>$I$44*$AS$44</f>
        <v>0</v>
      </c>
      <c r="AT100" s="13">
        <f>$I$44*$AT$44</f>
        <v>0</v>
      </c>
      <c r="AU100" s="13">
        <f>$I$44*$AU$44</f>
        <v>0</v>
      </c>
      <c r="AV100" s="13">
        <f>$I$44*$AV$44</f>
        <v>0</v>
      </c>
      <c r="AW100" s="13">
        <f>$I$44*$AW$44</f>
        <v>0</v>
      </c>
      <c r="AX100" s="13">
        <f>$I$44*$AX$44</f>
        <v>0</v>
      </c>
      <c r="AY100" s="13">
        <f>$I$44*$AY$44</f>
        <v>0</v>
      </c>
      <c r="AZ100" s="13">
        <f>$I$44*$AZ$44</f>
        <v>0</v>
      </c>
      <c r="BA100" s="13">
        <f>$I$44*$BA$44</f>
        <v>0</v>
      </c>
      <c r="BB100" s="13">
        <f>$I$44*$BB$44</f>
        <v>0</v>
      </c>
      <c r="BC100" s="13">
        <f>$I$44*$BC$44</f>
        <v>0</v>
      </c>
      <c r="BD100" s="13">
        <f>$I$44*$BD$44</f>
        <v>0</v>
      </c>
    </row>
    <row r="101" spans="1:56" ht="11.25" customHeight="1" x14ac:dyDescent="0.25">
      <c r="A101" s="9" t="s">
        <v>42</v>
      </c>
      <c r="B101" s="9" t="s">
        <v>860</v>
      </c>
      <c r="C101" s="9" t="s">
        <v>861</v>
      </c>
      <c r="D101" s="9" t="s">
        <v>882</v>
      </c>
      <c r="E101" s="9" t="s">
        <v>883</v>
      </c>
      <c r="F101" s="9" t="s">
        <v>884</v>
      </c>
      <c r="G101" s="9" t="s">
        <v>885</v>
      </c>
      <c r="L101" s="13">
        <f>$I$45*$L$45</f>
        <v>0</v>
      </c>
      <c r="M101" s="13">
        <f>$I$45*$M$45</f>
        <v>0</v>
      </c>
      <c r="N101" s="13">
        <f ca="1">$I$45*$N$45</f>
        <v>0</v>
      </c>
      <c r="O101" s="13">
        <f>$I$45*$O$45</f>
        <v>0</v>
      </c>
      <c r="P101" s="13">
        <f>$I$45*$P$45</f>
        <v>0</v>
      </c>
      <c r="Q101" s="13">
        <f>$I$45*$Q$45</f>
        <v>0</v>
      </c>
      <c r="R101" s="13">
        <f>$I$45*$R$45</f>
        <v>0</v>
      </c>
      <c r="S101" s="13">
        <f>$I$45*$S$45</f>
        <v>0</v>
      </c>
      <c r="T101" s="13">
        <f>$I$45*$T$45</f>
        <v>0</v>
      </c>
      <c r="U101" s="13">
        <f>$I$45*$U$45</f>
        <v>0</v>
      </c>
      <c r="V101" s="13">
        <f>$I$45*$V$45</f>
        <v>0</v>
      </c>
      <c r="W101" s="13">
        <f>$I$45*$W$45</f>
        <v>0</v>
      </c>
      <c r="X101" s="13">
        <f>$I$45*$X$45</f>
        <v>0</v>
      </c>
      <c r="Y101" s="13">
        <f>$I$45*$Y$45</f>
        <v>0</v>
      </c>
      <c r="Z101" s="13">
        <f>$I$45*$Z$45</f>
        <v>0</v>
      </c>
      <c r="AA101" s="13">
        <f>$I$45*$AA$45</f>
        <v>0</v>
      </c>
      <c r="AB101" s="13">
        <f ca="1">$I$45*$AB$45</f>
        <v>0</v>
      </c>
      <c r="AC101" s="13">
        <f ca="1">$I$45*$AC$45</f>
        <v>0</v>
      </c>
      <c r="AD101" s="13">
        <f>$I$45*$AD$45</f>
        <v>0</v>
      </c>
      <c r="AE101" s="13">
        <f>$I$45*$AE$45</f>
        <v>0</v>
      </c>
      <c r="AF101" s="13">
        <f ca="1">$I$45*$AF$45</f>
        <v>0</v>
      </c>
      <c r="AG101" s="13">
        <f ca="1">$I$45*$AG$45</f>
        <v>0</v>
      </c>
      <c r="AI101" s="13">
        <f>$I$45*$AI$45</f>
        <v>0</v>
      </c>
      <c r="AJ101" s="13">
        <f>$I$45*$AJ$45</f>
        <v>0</v>
      </c>
      <c r="AK101" s="13">
        <f>$I$45*$AK$45</f>
        <v>0</v>
      </c>
      <c r="AL101" s="13">
        <f>$I$45*$AL$45</f>
        <v>0</v>
      </c>
      <c r="AM101" s="13">
        <f>$I$45*$AM$45</f>
        <v>0</v>
      </c>
      <c r="AN101" s="13">
        <f>$I$45*$AN$45</f>
        <v>0</v>
      </c>
      <c r="AO101" s="13">
        <f>$I$45*$AO$45</f>
        <v>0</v>
      </c>
      <c r="AP101" s="13">
        <f>$I$45*$AP$45</f>
        <v>0</v>
      </c>
      <c r="AQ101" s="13">
        <f>$I$45*$AQ$45</f>
        <v>0</v>
      </c>
      <c r="AR101" s="13">
        <f>$I$45*$AR$45</f>
        <v>0</v>
      </c>
      <c r="AS101" s="13">
        <f>$I$45*$AS$45</f>
        <v>0</v>
      </c>
      <c r="AT101" s="13">
        <f>$I$45*$AT$45</f>
        <v>0</v>
      </c>
      <c r="AU101" s="13">
        <f>$I$45*$AU$45</f>
        <v>0</v>
      </c>
      <c r="AV101" s="13">
        <f>$I$45*$AV$45</f>
        <v>0</v>
      </c>
      <c r="AW101" s="13">
        <f>$I$45*$AW$45</f>
        <v>0</v>
      </c>
      <c r="AX101" s="13">
        <f>$I$45*$AX$45</f>
        <v>0</v>
      </c>
      <c r="AY101" s="13">
        <f>$I$45*$AY$45</f>
        <v>0</v>
      </c>
      <c r="AZ101" s="13">
        <f>$I$45*$AZ$45</f>
        <v>0</v>
      </c>
      <c r="BA101" s="13">
        <f>$I$45*$BA$45</f>
        <v>0</v>
      </c>
      <c r="BB101" s="13">
        <f>$I$45*$BB$45</f>
        <v>0</v>
      </c>
      <c r="BC101" s="13">
        <f>$I$45*$BC$45</f>
        <v>0</v>
      </c>
      <c r="BD101" s="13">
        <f>$I$45*$BD$45</f>
        <v>0</v>
      </c>
    </row>
    <row r="102" spans="1:56" ht="11.25" customHeight="1" x14ac:dyDescent="0.25">
      <c r="A102" s="9" t="s">
        <v>42</v>
      </c>
      <c r="B102" s="9" t="s">
        <v>886</v>
      </c>
      <c r="C102" s="9" t="s">
        <v>887</v>
      </c>
      <c r="D102" s="9" t="s">
        <v>888</v>
      </c>
      <c r="E102" s="9" t="s">
        <v>889</v>
      </c>
      <c r="F102" s="9" t="s">
        <v>890</v>
      </c>
      <c r="G102" s="9" t="s">
        <v>891</v>
      </c>
      <c r="L102" s="13">
        <f>$I$46*$L$46</f>
        <v>0</v>
      </c>
      <c r="M102" s="13">
        <f>$I$46*$M$46</f>
        <v>0</v>
      </c>
      <c r="N102" s="13">
        <f ca="1">$I$46*$N$46</f>
        <v>0</v>
      </c>
      <c r="O102" s="13">
        <f>$I$46*$O$46</f>
        <v>0</v>
      </c>
      <c r="P102" s="13">
        <f>$I$46*$P$46</f>
        <v>0</v>
      </c>
      <c r="Q102" s="13">
        <f>$I$46*$Q$46</f>
        <v>0</v>
      </c>
      <c r="R102" s="13">
        <f>$I$46*$R$46</f>
        <v>0</v>
      </c>
      <c r="S102" s="13">
        <f>$I$46*$S$46</f>
        <v>0</v>
      </c>
      <c r="T102" s="13">
        <f>$I$46*$T$46</f>
        <v>0</v>
      </c>
      <c r="U102" s="13">
        <f>$I$46*$U$46</f>
        <v>0</v>
      </c>
      <c r="V102" s="13">
        <f>$I$46*$V$46</f>
        <v>0</v>
      </c>
      <c r="W102" s="13">
        <f>$I$46*$W$46</f>
        <v>0</v>
      </c>
      <c r="X102" s="13">
        <f>$I$46*$X$46</f>
        <v>0</v>
      </c>
      <c r="Y102" s="13">
        <f>$I$46*$Y$46</f>
        <v>0</v>
      </c>
      <c r="Z102" s="13">
        <f>$I$46*$Z$46</f>
        <v>0</v>
      </c>
      <c r="AA102" s="13">
        <f>$I$46*$AA$46</f>
        <v>0</v>
      </c>
      <c r="AB102" s="13">
        <f ca="1">$I$46*$AB$46</f>
        <v>0</v>
      </c>
      <c r="AC102" s="13">
        <f ca="1">$I$46*$AC$46</f>
        <v>0</v>
      </c>
      <c r="AD102" s="13">
        <f>$I$46*$AD$46</f>
        <v>0</v>
      </c>
      <c r="AE102" s="13">
        <f>$I$46*$AE$46</f>
        <v>0</v>
      </c>
      <c r="AF102" s="13">
        <f ca="1">$I$46*$AF$46</f>
        <v>0</v>
      </c>
      <c r="AG102" s="13">
        <f ca="1">$I$46*$AG$46</f>
        <v>0</v>
      </c>
      <c r="AI102" s="13">
        <f>$I$46*$AI$46</f>
        <v>0</v>
      </c>
      <c r="AJ102" s="13">
        <f>$I$46*$AJ$46</f>
        <v>0</v>
      </c>
      <c r="AK102" s="13">
        <f>$I$46*$AK$46</f>
        <v>0</v>
      </c>
      <c r="AL102" s="13">
        <f>$I$46*$AL$46</f>
        <v>0</v>
      </c>
      <c r="AM102" s="13">
        <f>$I$46*$AM$46</f>
        <v>0</v>
      </c>
      <c r="AN102" s="13">
        <f>$I$46*$AN$46</f>
        <v>0</v>
      </c>
      <c r="AO102" s="13">
        <f>$I$46*$AO$46</f>
        <v>0</v>
      </c>
      <c r="AP102" s="13">
        <f>$I$46*$AP$46</f>
        <v>0</v>
      </c>
      <c r="AQ102" s="13">
        <f>$I$46*$AQ$46</f>
        <v>0</v>
      </c>
      <c r="AR102" s="13">
        <f>$I$46*$AR$46</f>
        <v>0</v>
      </c>
      <c r="AS102" s="13">
        <f>$I$46*$AS$46</f>
        <v>0</v>
      </c>
      <c r="AT102" s="13">
        <f>$I$46*$AT$46</f>
        <v>0</v>
      </c>
      <c r="AU102" s="13">
        <f>$I$46*$AU$46</f>
        <v>0</v>
      </c>
      <c r="AV102" s="13">
        <f>$I$46*$AV$46</f>
        <v>0</v>
      </c>
      <c r="AW102" s="13">
        <f>$I$46*$AW$46</f>
        <v>0</v>
      </c>
      <c r="AX102" s="13">
        <f>$I$46*$AX$46</f>
        <v>0</v>
      </c>
      <c r="AY102" s="13">
        <f>$I$46*$AY$46</f>
        <v>0</v>
      </c>
      <c r="AZ102" s="13">
        <f>$I$46*$AZ$46</f>
        <v>0</v>
      </c>
      <c r="BA102" s="13">
        <f>$I$46*$BA$46</f>
        <v>0</v>
      </c>
      <c r="BB102" s="13">
        <f>$I$46*$BB$46</f>
        <v>0</v>
      </c>
      <c r="BC102" s="13">
        <f>$I$46*$BC$46</f>
        <v>0</v>
      </c>
      <c r="BD102" s="13">
        <f>$I$46*$BD$46</f>
        <v>0</v>
      </c>
    </row>
    <row r="103" spans="1:56" ht="11.25" customHeight="1" x14ac:dyDescent="0.25">
      <c r="A103" s="9" t="s">
        <v>42</v>
      </c>
      <c r="B103" s="9" t="s">
        <v>886</v>
      </c>
      <c r="C103" s="9" t="s">
        <v>887</v>
      </c>
      <c r="D103" s="9" t="s">
        <v>892</v>
      </c>
      <c r="E103" s="9" t="s">
        <v>893</v>
      </c>
      <c r="F103" s="9" t="s">
        <v>894</v>
      </c>
      <c r="G103" s="9" t="s">
        <v>895</v>
      </c>
      <c r="L103" s="13">
        <f>$I$47*$L$47</f>
        <v>0</v>
      </c>
      <c r="M103" s="13">
        <f>$I$47*$M$47</f>
        <v>0</v>
      </c>
      <c r="N103" s="13">
        <f ca="1">$I$47*$N$47</f>
        <v>0</v>
      </c>
      <c r="O103" s="13">
        <f>$I$47*$O$47</f>
        <v>0</v>
      </c>
      <c r="P103" s="13">
        <f>$I$47*$P$47</f>
        <v>0</v>
      </c>
      <c r="Q103" s="13">
        <f>$I$47*$Q$47</f>
        <v>0</v>
      </c>
      <c r="R103" s="13">
        <f>$I$47*$R$47</f>
        <v>0</v>
      </c>
      <c r="S103" s="13">
        <f>$I$47*$S$47</f>
        <v>0</v>
      </c>
      <c r="T103" s="13">
        <f>$I$47*$T$47</f>
        <v>0</v>
      </c>
      <c r="U103" s="13">
        <f>$I$47*$U$47</f>
        <v>0</v>
      </c>
      <c r="V103" s="13">
        <f>$I$47*$V$47</f>
        <v>0</v>
      </c>
      <c r="W103" s="13">
        <f>$I$47*$W$47</f>
        <v>0</v>
      </c>
      <c r="X103" s="13">
        <f>$I$47*$X$47</f>
        <v>0</v>
      </c>
      <c r="Y103" s="13">
        <f>$I$47*$Y$47</f>
        <v>0</v>
      </c>
      <c r="Z103" s="13">
        <f>$I$47*$Z$47</f>
        <v>0</v>
      </c>
      <c r="AA103" s="13">
        <f>$I$47*$AA$47</f>
        <v>0</v>
      </c>
      <c r="AB103" s="13">
        <f ca="1">$I$47*$AB$47</f>
        <v>0</v>
      </c>
      <c r="AC103" s="13">
        <f ca="1">$I$47*$AC$47</f>
        <v>0</v>
      </c>
      <c r="AD103" s="13">
        <f>$I$47*$AD$47</f>
        <v>0</v>
      </c>
      <c r="AE103" s="13">
        <f>$I$47*$AE$47</f>
        <v>0</v>
      </c>
      <c r="AF103" s="13">
        <f ca="1">$I$47*$AF$47</f>
        <v>0</v>
      </c>
      <c r="AG103" s="13">
        <f ca="1">$I$47*$AG$47</f>
        <v>0</v>
      </c>
      <c r="AI103" s="13">
        <f>$I$47*$AI$47</f>
        <v>0</v>
      </c>
      <c r="AJ103" s="13">
        <f>$I$47*$AJ$47</f>
        <v>0</v>
      </c>
      <c r="AK103" s="13">
        <f>$I$47*$AK$47</f>
        <v>0</v>
      </c>
      <c r="AL103" s="13">
        <f>$I$47*$AL$47</f>
        <v>0</v>
      </c>
      <c r="AM103" s="13">
        <f>$I$47*$AM$47</f>
        <v>0</v>
      </c>
      <c r="AN103" s="13">
        <f>$I$47*$AN$47</f>
        <v>0</v>
      </c>
      <c r="AO103" s="13">
        <f>$I$47*$AO$47</f>
        <v>0</v>
      </c>
      <c r="AP103" s="13">
        <f>$I$47*$AP$47</f>
        <v>0</v>
      </c>
      <c r="AQ103" s="13">
        <f>$I$47*$AQ$47</f>
        <v>0</v>
      </c>
      <c r="AR103" s="13">
        <f>$I$47*$AR$47</f>
        <v>0</v>
      </c>
      <c r="AS103" s="13">
        <f>$I$47*$AS$47</f>
        <v>0</v>
      </c>
      <c r="AT103" s="13">
        <f>$I$47*$AT$47</f>
        <v>0</v>
      </c>
      <c r="AU103" s="13">
        <f>$I$47*$AU$47</f>
        <v>0</v>
      </c>
      <c r="AV103" s="13">
        <f>$I$47*$AV$47</f>
        <v>0</v>
      </c>
      <c r="AW103" s="13">
        <f>$I$47*$AW$47</f>
        <v>0</v>
      </c>
      <c r="AX103" s="13">
        <f>$I$47*$AX$47</f>
        <v>0</v>
      </c>
      <c r="AY103" s="13">
        <f>$I$47*$AY$47</f>
        <v>0</v>
      </c>
      <c r="AZ103" s="13">
        <f>$I$47*$AZ$47</f>
        <v>0</v>
      </c>
      <c r="BA103" s="13">
        <f>$I$47*$BA$47</f>
        <v>0</v>
      </c>
      <c r="BB103" s="13">
        <f>$I$47*$BB$47</f>
        <v>0</v>
      </c>
      <c r="BC103" s="13">
        <f>$I$47*$BC$47</f>
        <v>0</v>
      </c>
      <c r="BD103" s="13">
        <f>$I$47*$BD$47</f>
        <v>0</v>
      </c>
    </row>
    <row r="104" spans="1:56" ht="11.25" customHeight="1" x14ac:dyDescent="0.25">
      <c r="A104" s="9" t="s">
        <v>42</v>
      </c>
      <c r="B104" s="9" t="s">
        <v>886</v>
      </c>
      <c r="C104" s="9" t="s">
        <v>887</v>
      </c>
      <c r="D104" s="9" t="s">
        <v>896</v>
      </c>
      <c r="E104" s="9" t="s">
        <v>897</v>
      </c>
      <c r="F104" s="9" t="s">
        <v>898</v>
      </c>
      <c r="G104" s="9" t="s">
        <v>899</v>
      </c>
      <c r="L104" s="13">
        <f>$I$48*$L$48</f>
        <v>0</v>
      </c>
      <c r="M104" s="13">
        <f>$I$48*$M$48</f>
        <v>0</v>
      </c>
      <c r="N104" s="13">
        <f ca="1">$I$48*$N$48</f>
        <v>0</v>
      </c>
      <c r="O104" s="13">
        <f>$I$48*$O$48</f>
        <v>0</v>
      </c>
      <c r="P104" s="13">
        <f>$I$48*$P$48</f>
        <v>0</v>
      </c>
      <c r="Q104" s="13">
        <f>$I$48*$Q$48</f>
        <v>0</v>
      </c>
      <c r="R104" s="13">
        <f>$I$48*$R$48</f>
        <v>0</v>
      </c>
      <c r="S104" s="13">
        <f>$I$48*$S$48</f>
        <v>0</v>
      </c>
      <c r="T104" s="13">
        <f>$I$48*$T$48</f>
        <v>0</v>
      </c>
      <c r="U104" s="13">
        <f>$I$48*$U$48</f>
        <v>0</v>
      </c>
      <c r="V104" s="13">
        <f>$I$48*$V$48</f>
        <v>0</v>
      </c>
      <c r="W104" s="13">
        <f>$I$48*$W$48</f>
        <v>0</v>
      </c>
      <c r="X104" s="13">
        <f>$I$48*$X$48</f>
        <v>0</v>
      </c>
      <c r="Y104" s="13">
        <f>$I$48*$Y$48</f>
        <v>0</v>
      </c>
      <c r="Z104" s="13">
        <f>$I$48*$Z$48</f>
        <v>0</v>
      </c>
      <c r="AA104" s="13">
        <f>$I$48*$AA$48</f>
        <v>0</v>
      </c>
      <c r="AB104" s="13">
        <f ca="1">$I$48*$AB$48</f>
        <v>0</v>
      </c>
      <c r="AC104" s="13">
        <f ca="1">$I$48*$AC$48</f>
        <v>0</v>
      </c>
      <c r="AD104" s="13">
        <f>$I$48*$AD$48</f>
        <v>0</v>
      </c>
      <c r="AE104" s="13">
        <f>$I$48*$AE$48</f>
        <v>0</v>
      </c>
      <c r="AF104" s="13">
        <f ca="1">$I$48*$AF$48</f>
        <v>0</v>
      </c>
      <c r="AG104" s="13">
        <f ca="1">$I$48*$AG$48</f>
        <v>0</v>
      </c>
      <c r="AI104" s="13">
        <f>$I$48*$AI$48</f>
        <v>0</v>
      </c>
      <c r="AJ104" s="13">
        <f>$I$48*$AJ$48</f>
        <v>0</v>
      </c>
      <c r="AK104" s="13">
        <f>$I$48*$AK$48</f>
        <v>0</v>
      </c>
      <c r="AL104" s="13">
        <f>$I$48*$AL$48</f>
        <v>0</v>
      </c>
      <c r="AM104" s="13">
        <f>$I$48*$AM$48</f>
        <v>0</v>
      </c>
      <c r="AN104" s="13">
        <f>$I$48*$AN$48</f>
        <v>0</v>
      </c>
      <c r="AO104" s="13">
        <f>$I$48*$AO$48</f>
        <v>0</v>
      </c>
      <c r="AP104" s="13">
        <f>$I$48*$AP$48</f>
        <v>0</v>
      </c>
      <c r="AQ104" s="13">
        <f>$I$48*$AQ$48</f>
        <v>0</v>
      </c>
      <c r="AR104" s="13">
        <f>$I$48*$AR$48</f>
        <v>0</v>
      </c>
      <c r="AS104" s="13">
        <f>$I$48*$AS$48</f>
        <v>0</v>
      </c>
      <c r="AT104" s="13">
        <f>$I$48*$AT$48</f>
        <v>0</v>
      </c>
      <c r="AU104" s="13">
        <f>$I$48*$AU$48</f>
        <v>0</v>
      </c>
      <c r="AV104" s="13">
        <f>$I$48*$AV$48</f>
        <v>0</v>
      </c>
      <c r="AW104" s="13">
        <f>$I$48*$AW$48</f>
        <v>0</v>
      </c>
      <c r="AX104" s="13">
        <f>$I$48*$AX$48</f>
        <v>0</v>
      </c>
      <c r="AY104" s="13">
        <f>$I$48*$AY$48</f>
        <v>0</v>
      </c>
      <c r="AZ104" s="13">
        <f>$I$48*$AZ$48</f>
        <v>0</v>
      </c>
      <c r="BA104" s="13">
        <f>$I$48*$BA$48</f>
        <v>0</v>
      </c>
      <c r="BB104" s="13">
        <f>$I$48*$BB$48</f>
        <v>0</v>
      </c>
      <c r="BC104" s="13">
        <f>$I$48*$BC$48</f>
        <v>0</v>
      </c>
      <c r="BD104" s="13">
        <f>$I$48*$BD$48</f>
        <v>0</v>
      </c>
    </row>
    <row r="105" spans="1:56" ht="11.25" customHeight="1" x14ac:dyDescent="0.25">
      <c r="A105" s="9" t="s">
        <v>33</v>
      </c>
      <c r="B105" s="9" t="s">
        <v>900</v>
      </c>
      <c r="C105" s="9" t="s">
        <v>901</v>
      </c>
      <c r="D105" s="9" t="s">
        <v>902</v>
      </c>
      <c r="E105" s="9" t="s">
        <v>903</v>
      </c>
      <c r="F105" s="9" t="s">
        <v>904</v>
      </c>
      <c r="G105" s="9" t="s">
        <v>905</v>
      </c>
      <c r="L105" s="13">
        <f>$I$49*$L$49</f>
        <v>0</v>
      </c>
      <c r="M105" s="13">
        <f>$I$49*$M$49</f>
        <v>0</v>
      </c>
      <c r="N105" s="13">
        <f ca="1">$I$49*$N$49</f>
        <v>0</v>
      </c>
      <c r="O105" s="13">
        <f>$I$49*$O$49</f>
        <v>0</v>
      </c>
      <c r="P105" s="13">
        <f>$I$49*$P$49</f>
        <v>0</v>
      </c>
      <c r="Q105" s="13">
        <f>$I$49*$Q$49</f>
        <v>0</v>
      </c>
      <c r="R105" s="13">
        <f>$I$49*$R$49</f>
        <v>0</v>
      </c>
      <c r="S105" s="13">
        <f>$I$49*$S$49</f>
        <v>0</v>
      </c>
      <c r="T105" s="13">
        <f>$I$49*$T$49</f>
        <v>0</v>
      </c>
      <c r="U105" s="13">
        <f>$I$49*$U$49</f>
        <v>0</v>
      </c>
      <c r="V105" s="13">
        <f>$I$49*$V$49</f>
        <v>0</v>
      </c>
      <c r="W105" s="13">
        <f>$I$49*$W$49</f>
        <v>0</v>
      </c>
      <c r="X105" s="13">
        <f>$I$49*$X$49</f>
        <v>0</v>
      </c>
      <c r="Y105" s="13">
        <f>$I$49*$Y$49</f>
        <v>0</v>
      </c>
      <c r="Z105" s="13">
        <f>$I$49*$Z$49</f>
        <v>0</v>
      </c>
      <c r="AA105" s="13">
        <f>$I$49*$AA$49</f>
        <v>0</v>
      </c>
      <c r="AB105" s="13">
        <f ca="1">$I$49*$AB$49</f>
        <v>0</v>
      </c>
      <c r="AC105" s="13">
        <f ca="1">$I$49*$AC$49</f>
        <v>0</v>
      </c>
      <c r="AD105" s="13">
        <f>$I$49*$AD$49</f>
        <v>0</v>
      </c>
      <c r="AE105" s="13">
        <f>$I$49*$AE$49</f>
        <v>0</v>
      </c>
      <c r="AF105" s="13">
        <f ca="1">$I$49*$AF$49</f>
        <v>0</v>
      </c>
      <c r="AG105" s="13">
        <f ca="1">$I$49*$AG$49</f>
        <v>0</v>
      </c>
      <c r="AI105" s="13">
        <f>$I$49*$AI$49</f>
        <v>0</v>
      </c>
      <c r="AJ105" s="13">
        <f>$I$49*$AJ$49</f>
        <v>0</v>
      </c>
      <c r="AK105" s="13">
        <f>$I$49*$AK$49</f>
        <v>0</v>
      </c>
      <c r="AL105" s="13">
        <f>$I$49*$AL$49</f>
        <v>0</v>
      </c>
      <c r="AM105" s="13">
        <f>$I$49*$AM$49</f>
        <v>0</v>
      </c>
      <c r="AN105" s="13">
        <f>$I$49*$AN$49</f>
        <v>0</v>
      </c>
      <c r="AO105" s="13">
        <f>$I$49*$AO$49</f>
        <v>0</v>
      </c>
      <c r="AP105" s="13">
        <f>$I$49*$AP$49</f>
        <v>0</v>
      </c>
      <c r="AQ105" s="13">
        <f>$I$49*$AQ$49</f>
        <v>0</v>
      </c>
      <c r="AR105" s="13">
        <f>$I$49*$AR$49</f>
        <v>0</v>
      </c>
      <c r="AS105" s="13">
        <f>$I$49*$AS$49</f>
        <v>0</v>
      </c>
      <c r="AT105" s="13">
        <f>$I$49*$AT$49</f>
        <v>0</v>
      </c>
      <c r="AU105" s="13">
        <f>$I$49*$AU$49</f>
        <v>0</v>
      </c>
      <c r="AV105" s="13">
        <f>$I$49*$AV$49</f>
        <v>0</v>
      </c>
      <c r="AW105" s="13">
        <f>$I$49*$AW$49</f>
        <v>0</v>
      </c>
      <c r="AX105" s="13">
        <f>$I$49*$AX$49</f>
        <v>0</v>
      </c>
      <c r="AY105" s="13">
        <f>$I$49*$AY$49</f>
        <v>0</v>
      </c>
      <c r="AZ105" s="13">
        <f>$I$49*$AZ$49</f>
        <v>0</v>
      </c>
      <c r="BA105" s="13">
        <f>$I$49*$BA$49</f>
        <v>0</v>
      </c>
      <c r="BB105" s="13">
        <f>$I$49*$BB$49</f>
        <v>0</v>
      </c>
      <c r="BC105" s="13">
        <f>$I$49*$BC$49</f>
        <v>0</v>
      </c>
      <c r="BD105" s="13">
        <f>$I$49*$BD$49</f>
        <v>0</v>
      </c>
    </row>
    <row r="106" spans="1:56" ht="11.25" customHeight="1" x14ac:dyDescent="0.25">
      <c r="A106" s="9" t="s">
        <v>33</v>
      </c>
      <c r="B106" s="9" t="s">
        <v>900</v>
      </c>
      <c r="C106" s="9" t="s">
        <v>901</v>
      </c>
      <c r="D106" s="9" t="s">
        <v>902</v>
      </c>
      <c r="E106" s="9" t="s">
        <v>903</v>
      </c>
      <c r="F106" s="9" t="s">
        <v>904</v>
      </c>
      <c r="G106" s="9" t="s">
        <v>906</v>
      </c>
      <c r="L106" s="13">
        <f>$I$50*$L$50</f>
        <v>0</v>
      </c>
      <c r="M106" s="13">
        <f>$I$50*$M$50</f>
        <v>0</v>
      </c>
      <c r="N106" s="13">
        <f ca="1">$I$50*$N$50</f>
        <v>0</v>
      </c>
      <c r="O106" s="13">
        <f>$I$50*$O$50</f>
        <v>0</v>
      </c>
      <c r="P106" s="13">
        <f>$I$50*$P$50</f>
        <v>0</v>
      </c>
      <c r="Q106" s="13">
        <f>$I$50*$Q$50</f>
        <v>0</v>
      </c>
      <c r="R106" s="13">
        <f>$I$50*$R$50</f>
        <v>0</v>
      </c>
      <c r="S106" s="13">
        <f>$I$50*$S$50</f>
        <v>0</v>
      </c>
      <c r="T106" s="13">
        <f>$I$50*$T$50</f>
        <v>0</v>
      </c>
      <c r="U106" s="13">
        <f>$I$50*$U$50</f>
        <v>0</v>
      </c>
      <c r="V106" s="13">
        <f>$I$50*$V$50</f>
        <v>0</v>
      </c>
      <c r="W106" s="13">
        <f>$I$50*$W$50</f>
        <v>0</v>
      </c>
      <c r="X106" s="13">
        <f>$I$50*$X$50</f>
        <v>0</v>
      </c>
      <c r="Y106" s="13">
        <f>$I$50*$Y$50</f>
        <v>0</v>
      </c>
      <c r="Z106" s="13">
        <f>$I$50*$Z$50</f>
        <v>0</v>
      </c>
      <c r="AA106" s="13">
        <f>$I$50*$AA$50</f>
        <v>0</v>
      </c>
      <c r="AB106" s="13">
        <f ca="1">$I$50*$AB$50</f>
        <v>0</v>
      </c>
      <c r="AC106" s="13">
        <f ca="1">$I$50*$AC$50</f>
        <v>0</v>
      </c>
      <c r="AD106" s="13">
        <f>$I$50*$AD$50</f>
        <v>0</v>
      </c>
      <c r="AE106" s="13">
        <f>$I$50*$AE$50</f>
        <v>0</v>
      </c>
      <c r="AF106" s="13">
        <f ca="1">$I$50*$AF$50</f>
        <v>0</v>
      </c>
      <c r="AG106" s="13">
        <f ca="1">$I$50*$AG$50</f>
        <v>0</v>
      </c>
      <c r="AI106" s="13">
        <f>$I$50*$AI$50</f>
        <v>0</v>
      </c>
      <c r="AJ106" s="13">
        <f>$I$50*$AJ$50</f>
        <v>0</v>
      </c>
      <c r="AK106" s="13">
        <f>$I$50*$AK$50</f>
        <v>0</v>
      </c>
      <c r="AL106" s="13">
        <f>$I$50*$AL$50</f>
        <v>0</v>
      </c>
      <c r="AM106" s="13">
        <f>$I$50*$AM$50</f>
        <v>0</v>
      </c>
      <c r="AN106" s="13">
        <f>$I$50*$AN$50</f>
        <v>0</v>
      </c>
      <c r="AO106" s="13">
        <f>$I$50*$AO$50</f>
        <v>0</v>
      </c>
      <c r="AP106" s="13">
        <f>$I$50*$AP$50</f>
        <v>0</v>
      </c>
      <c r="AQ106" s="13">
        <f>$I$50*$AQ$50</f>
        <v>0</v>
      </c>
      <c r="AR106" s="13">
        <f>$I$50*$AR$50</f>
        <v>0</v>
      </c>
      <c r="AS106" s="13">
        <f>$I$50*$AS$50</f>
        <v>0</v>
      </c>
      <c r="AT106" s="13">
        <f>$I$50*$AT$50</f>
        <v>0</v>
      </c>
      <c r="AU106" s="13">
        <f>$I$50*$AU$50</f>
        <v>0</v>
      </c>
      <c r="AV106" s="13">
        <f>$I$50*$AV$50</f>
        <v>0</v>
      </c>
      <c r="AW106" s="13">
        <f>$I$50*$AW$50</f>
        <v>0</v>
      </c>
      <c r="AX106" s="13">
        <f>$I$50*$AX$50</f>
        <v>0</v>
      </c>
      <c r="AY106" s="13">
        <f>$I$50*$AY$50</f>
        <v>0</v>
      </c>
      <c r="AZ106" s="13">
        <f>$I$50*$AZ$50</f>
        <v>0</v>
      </c>
      <c r="BA106" s="13">
        <f>$I$50*$BA$50</f>
        <v>0</v>
      </c>
      <c r="BB106" s="13">
        <f>$I$50*$BB$50</f>
        <v>0</v>
      </c>
      <c r="BC106" s="13">
        <f>$I$50*$BC$50</f>
        <v>0</v>
      </c>
      <c r="BD106" s="13">
        <f>$I$50*$BD$50</f>
        <v>0</v>
      </c>
    </row>
    <row r="107" spans="1:56" ht="11.25" customHeight="1" x14ac:dyDescent="0.25">
      <c r="A107" s="9" t="s">
        <v>33</v>
      </c>
      <c r="B107" s="9" t="s">
        <v>900</v>
      </c>
      <c r="C107" s="9" t="s">
        <v>901</v>
      </c>
      <c r="D107" s="9" t="s">
        <v>902</v>
      </c>
      <c r="E107" s="9" t="s">
        <v>903</v>
      </c>
      <c r="F107" s="9" t="s">
        <v>904</v>
      </c>
      <c r="G107" s="9" t="s">
        <v>907</v>
      </c>
      <c r="L107" s="13">
        <f>$I$51*$L$51</f>
        <v>0</v>
      </c>
      <c r="M107" s="13">
        <f>$I$51*$M$51</f>
        <v>0</v>
      </c>
      <c r="N107" s="13">
        <f ca="1">$I$51*$N$51</f>
        <v>0</v>
      </c>
      <c r="O107" s="13">
        <f>$I$51*$O$51</f>
        <v>0</v>
      </c>
      <c r="P107" s="13">
        <f>$I$51*$P$51</f>
        <v>0</v>
      </c>
      <c r="Q107" s="13">
        <f>$I$51*$Q$51</f>
        <v>0</v>
      </c>
      <c r="R107" s="13">
        <f>$I$51*$R$51</f>
        <v>0</v>
      </c>
      <c r="S107" s="13">
        <f>$I$51*$S$51</f>
        <v>0</v>
      </c>
      <c r="T107" s="13">
        <f>$I$51*$T$51</f>
        <v>0</v>
      </c>
      <c r="U107" s="13">
        <f>$I$51*$U$51</f>
        <v>0</v>
      </c>
      <c r="V107" s="13">
        <f>$I$51*$V$51</f>
        <v>0</v>
      </c>
      <c r="W107" s="13">
        <f>$I$51*$W$51</f>
        <v>0</v>
      </c>
      <c r="X107" s="13">
        <f>$I$51*$X$51</f>
        <v>0</v>
      </c>
      <c r="Y107" s="13">
        <f>$I$51*$Y$51</f>
        <v>0</v>
      </c>
      <c r="Z107" s="13">
        <f>$I$51*$Z$51</f>
        <v>0</v>
      </c>
      <c r="AA107" s="13">
        <f>$I$51*$AA$51</f>
        <v>0</v>
      </c>
      <c r="AB107" s="13">
        <f ca="1">$I$51*$AB$51</f>
        <v>0</v>
      </c>
      <c r="AC107" s="13">
        <f ca="1">$I$51*$AC$51</f>
        <v>0</v>
      </c>
      <c r="AD107" s="13">
        <f>$I$51*$AD$51</f>
        <v>0</v>
      </c>
      <c r="AE107" s="13">
        <f>$I$51*$AE$51</f>
        <v>0</v>
      </c>
      <c r="AF107" s="13">
        <f ca="1">$I$51*$AF$51</f>
        <v>0</v>
      </c>
      <c r="AG107" s="13">
        <f ca="1">$I$51*$AG$51</f>
        <v>0</v>
      </c>
      <c r="AI107" s="13">
        <f>$I$51*$AI$51</f>
        <v>0</v>
      </c>
      <c r="AJ107" s="13">
        <f>$I$51*$AJ$51</f>
        <v>0</v>
      </c>
      <c r="AK107" s="13">
        <f>$I$51*$AK$51</f>
        <v>0</v>
      </c>
      <c r="AL107" s="13">
        <f>$I$51*$AL$51</f>
        <v>0</v>
      </c>
      <c r="AM107" s="13">
        <f>$I$51*$AM$51</f>
        <v>0</v>
      </c>
      <c r="AN107" s="13">
        <f>$I$51*$AN$51</f>
        <v>0</v>
      </c>
      <c r="AO107" s="13">
        <f>$I$51*$AO$51</f>
        <v>0</v>
      </c>
      <c r="AP107" s="13">
        <f>$I$51*$AP$51</f>
        <v>0</v>
      </c>
      <c r="AQ107" s="13">
        <f>$I$51*$AQ$51</f>
        <v>0</v>
      </c>
      <c r="AR107" s="13">
        <f>$I$51*$AR$51</f>
        <v>0</v>
      </c>
      <c r="AS107" s="13">
        <f>$I$51*$AS$51</f>
        <v>0</v>
      </c>
      <c r="AT107" s="13">
        <f>$I$51*$AT$51</f>
        <v>0</v>
      </c>
      <c r="AU107" s="13">
        <f>$I$51*$AU$51</f>
        <v>0</v>
      </c>
      <c r="AV107" s="13">
        <f>$I$51*$AV$51</f>
        <v>0</v>
      </c>
      <c r="AW107" s="13">
        <f>$I$51*$AW$51</f>
        <v>0</v>
      </c>
      <c r="AX107" s="13">
        <f>$I$51*$AX$51</f>
        <v>0</v>
      </c>
      <c r="AY107" s="13">
        <f>$I$51*$AY$51</f>
        <v>0</v>
      </c>
      <c r="AZ107" s="13">
        <f>$I$51*$AZ$51</f>
        <v>0</v>
      </c>
      <c r="BA107" s="13">
        <f>$I$51*$BA$51</f>
        <v>0</v>
      </c>
      <c r="BB107" s="13">
        <f>$I$51*$BB$51</f>
        <v>0</v>
      </c>
      <c r="BC107" s="13">
        <f>$I$51*$BC$51</f>
        <v>0</v>
      </c>
      <c r="BD107" s="13">
        <f>$I$51*$BD$51</f>
        <v>0</v>
      </c>
    </row>
    <row r="108" spans="1:56" ht="11.25" customHeight="1" x14ac:dyDescent="0.25">
      <c r="A108" s="9" t="s">
        <v>33</v>
      </c>
      <c r="B108" s="9" t="s">
        <v>908</v>
      </c>
      <c r="C108" s="9" t="s">
        <v>909</v>
      </c>
      <c r="D108" s="9" t="s">
        <v>910</v>
      </c>
      <c r="E108" s="9" t="s">
        <v>911</v>
      </c>
      <c r="F108" s="9" t="s">
        <v>912</v>
      </c>
      <c r="G108" s="9" t="s">
        <v>913</v>
      </c>
      <c r="L108" s="13">
        <f>$I$52*$L$52</f>
        <v>686368.95457555179</v>
      </c>
      <c r="M108" s="13">
        <f>$I$52*$M$52</f>
        <v>15636.217569153734</v>
      </c>
      <c r="N108" s="13">
        <f ca="1">$I$52*$N$52</f>
        <v>0</v>
      </c>
      <c r="O108" s="13">
        <f>$I$52*$O$52</f>
        <v>0</v>
      </c>
      <c r="P108" s="13">
        <f>$I$52*$P$52</f>
        <v>0</v>
      </c>
      <c r="Q108" s="13">
        <f>$I$52*$Q$52</f>
        <v>1934236.1909736767</v>
      </c>
      <c r="R108" s="13">
        <f>$I$52*$R$52</f>
        <v>305680.28532818379</v>
      </c>
      <c r="S108" s="13">
        <f>$I$52*$S$52</f>
        <v>0</v>
      </c>
      <c r="T108" s="13">
        <f>$I$52*$T$52</f>
        <v>612038.86478356901</v>
      </c>
      <c r="U108" s="13">
        <f>$I$52*$U$52</f>
        <v>86122.649747549396</v>
      </c>
      <c r="V108" s="13">
        <f>$I$52*$V$52</f>
        <v>0</v>
      </c>
      <c r="W108" s="13">
        <f>$I$52*$W$52</f>
        <v>0</v>
      </c>
      <c r="X108" s="13">
        <f>$I$52*$X$52</f>
        <v>0</v>
      </c>
      <c r="Y108" s="13">
        <f>$I$52*$Y$52</f>
        <v>0</v>
      </c>
      <c r="Z108" s="13">
        <f>$I$52*$Z$52</f>
        <v>0</v>
      </c>
      <c r="AA108" s="13">
        <f>$I$52*$AA$52</f>
        <v>3495213.0028792932</v>
      </c>
      <c r="AB108" s="13">
        <f ca="1">$I$52*$AB$52</f>
        <v>0</v>
      </c>
      <c r="AC108" s="13">
        <f ca="1">$I$52*$AC$52</f>
        <v>0</v>
      </c>
      <c r="AD108" s="13">
        <f>$I$52*$AD$52</f>
        <v>257088.65858417339</v>
      </c>
      <c r="AE108" s="13">
        <f>$I$52*$AE$52</f>
        <v>0</v>
      </c>
      <c r="AF108" s="13">
        <f ca="1">$I$52*$AF$52</f>
        <v>0</v>
      </c>
      <c r="AG108" s="13">
        <f ca="1">$I$52*$AG$52</f>
        <v>0</v>
      </c>
      <c r="AI108" s="13">
        <f>$I$52*$AI$52</f>
        <v>688002.40363278578</v>
      </c>
      <c r="AJ108" s="13">
        <f>$I$52*$AJ$52</f>
        <v>16331.75362123187</v>
      </c>
      <c r="AK108" s="13">
        <f>$I$52*$AK$52</f>
        <v>0</v>
      </c>
      <c r="AL108" s="13">
        <f>$I$52*$AL$52</f>
        <v>0</v>
      </c>
      <c r="AM108" s="13">
        <f>$I$52*$AM$52</f>
        <v>0</v>
      </c>
      <c r="AN108" s="13">
        <f>$I$52*$AN$52</f>
        <v>1191708.8363063866</v>
      </c>
      <c r="AO108" s="13">
        <f>$I$52*$AO$52</f>
        <v>187037.67882345471</v>
      </c>
      <c r="AP108" s="13">
        <f>$I$52*$AP$52</f>
        <v>0</v>
      </c>
      <c r="AQ108" s="13">
        <f>$I$52*$AQ$52</f>
        <v>427789.00978662365</v>
      </c>
      <c r="AR108" s="13">
        <f>$I$52*$AR$52</f>
        <v>80193.736175618178</v>
      </c>
      <c r="AS108" s="13">
        <f>$I$52*$AS$52</f>
        <v>0</v>
      </c>
      <c r="AT108" s="13">
        <f>$I$52*$AT$52</f>
        <v>0</v>
      </c>
      <c r="AU108" s="13">
        <f>$I$52*$AU$52</f>
        <v>0</v>
      </c>
      <c r="AV108" s="13">
        <f>$I$52*$AV$52</f>
        <v>0</v>
      </c>
      <c r="AW108" s="13">
        <f>$I$52*$AW$52</f>
        <v>0</v>
      </c>
      <c r="AX108" s="13">
        <f>$I$52*$AX$52</f>
        <v>2888836.734094515</v>
      </c>
      <c r="AY108" s="13">
        <f>$I$52*$AY$52</f>
        <v>0</v>
      </c>
      <c r="AZ108" s="13">
        <f>$I$52*$AZ$52</f>
        <v>0</v>
      </c>
      <c r="BA108" s="13">
        <f>$I$52*$BA$52</f>
        <v>305077.63815211941</v>
      </c>
      <c r="BB108" s="13">
        <f>$I$52*$BB$52</f>
        <v>0</v>
      </c>
      <c r="BC108" s="13">
        <f>$I$52*$BC$52</f>
        <v>0</v>
      </c>
      <c r="BD108" s="13">
        <f>$I$52*$BD$52</f>
        <v>0</v>
      </c>
    </row>
    <row r="109" spans="1:56" ht="11.25" customHeight="1" x14ac:dyDescent="0.25">
      <c r="A109" s="9" t="s">
        <v>33</v>
      </c>
      <c r="B109" s="9" t="s">
        <v>914</v>
      </c>
      <c r="C109" s="9" t="s">
        <v>915</v>
      </c>
      <c r="D109" s="9" t="s">
        <v>916</v>
      </c>
      <c r="E109" s="9" t="s">
        <v>917</v>
      </c>
      <c r="F109" s="9" t="s">
        <v>918</v>
      </c>
      <c r="G109" s="9" t="s">
        <v>919</v>
      </c>
      <c r="L109" s="13">
        <f>$I$53*$L$53</f>
        <v>0</v>
      </c>
      <c r="M109" s="13">
        <f>$I$53*$M$53</f>
        <v>0</v>
      </c>
      <c r="N109" s="13">
        <f ca="1">$I$53*$N$53</f>
        <v>0</v>
      </c>
      <c r="O109" s="13">
        <f>$I$53*$O$53</f>
        <v>0</v>
      </c>
      <c r="P109" s="13">
        <f>$I$53*$P$53</f>
        <v>0</v>
      </c>
      <c r="Q109" s="13">
        <f>$I$53*$Q$53</f>
        <v>0</v>
      </c>
      <c r="R109" s="13">
        <f>$I$53*$R$53</f>
        <v>0</v>
      </c>
      <c r="S109" s="13">
        <f>$I$53*$S$53</f>
        <v>0</v>
      </c>
      <c r="T109" s="13">
        <f>$I$53*$T$53</f>
        <v>0</v>
      </c>
      <c r="U109" s="13">
        <f>$I$53*$U$53</f>
        <v>0</v>
      </c>
      <c r="V109" s="13">
        <f>$I$53*$V$53</f>
        <v>0</v>
      </c>
      <c r="W109" s="13">
        <f>$I$53*$W$53</f>
        <v>0</v>
      </c>
      <c r="X109" s="13">
        <f>$I$53*$X$53</f>
        <v>0</v>
      </c>
      <c r="Y109" s="13">
        <f>$I$53*$Y$53</f>
        <v>0</v>
      </c>
      <c r="Z109" s="13">
        <f>$I$53*$Z$53</f>
        <v>0</v>
      </c>
      <c r="AA109" s="13">
        <f>$I$53*$AA$53</f>
        <v>0</v>
      </c>
      <c r="AB109" s="13">
        <f ca="1">$I$53*$AB$53</f>
        <v>0</v>
      </c>
      <c r="AC109" s="13">
        <f ca="1">$I$53*$AC$53</f>
        <v>0</v>
      </c>
      <c r="AD109" s="13">
        <f>$I$53*$AD$53</f>
        <v>0</v>
      </c>
      <c r="AE109" s="13">
        <f>$I$53*$AE$53</f>
        <v>0</v>
      </c>
      <c r="AF109" s="13">
        <f ca="1">$I$53*$AF$53</f>
        <v>0</v>
      </c>
      <c r="AG109" s="13">
        <f ca="1">$I$53*$AG$53</f>
        <v>0</v>
      </c>
      <c r="AI109" s="13">
        <f>$I$53*$AI$53</f>
        <v>0</v>
      </c>
      <c r="AJ109" s="13">
        <f>$I$53*$AJ$53</f>
        <v>0</v>
      </c>
      <c r="AK109" s="13">
        <f>$I$53*$AK$53</f>
        <v>0</v>
      </c>
      <c r="AL109" s="13">
        <f>$I$53*$AL$53</f>
        <v>0</v>
      </c>
      <c r="AM109" s="13">
        <f>$I$53*$AM$53</f>
        <v>0</v>
      </c>
      <c r="AN109" s="13">
        <f>$I$53*$AN$53</f>
        <v>0</v>
      </c>
      <c r="AO109" s="13">
        <f>$I$53*$AO$53</f>
        <v>0</v>
      </c>
      <c r="AP109" s="13">
        <f>$I$53*$AP$53</f>
        <v>0</v>
      </c>
      <c r="AQ109" s="13">
        <f>$I$53*$AQ$53</f>
        <v>0</v>
      </c>
      <c r="AR109" s="13">
        <f>$I$53*$AR$53</f>
        <v>0</v>
      </c>
      <c r="AS109" s="13">
        <f>$I$53*$AS$53</f>
        <v>0</v>
      </c>
      <c r="AT109" s="13">
        <f>$I$53*$AT$53</f>
        <v>0</v>
      </c>
      <c r="AU109" s="13">
        <f>$I$53*$AU$53</f>
        <v>0</v>
      </c>
      <c r="AV109" s="13">
        <f>$I$53*$AV$53</f>
        <v>0</v>
      </c>
      <c r="AW109" s="13">
        <f>$I$53*$AW$53</f>
        <v>0</v>
      </c>
      <c r="AX109" s="13">
        <f>$I$53*$AX$53</f>
        <v>0</v>
      </c>
      <c r="AY109" s="13">
        <f>$I$53*$AY$53</f>
        <v>0</v>
      </c>
      <c r="AZ109" s="13">
        <f>$I$53*$AZ$53</f>
        <v>0</v>
      </c>
      <c r="BA109" s="13">
        <f>$I$53*$BA$53</f>
        <v>0</v>
      </c>
      <c r="BB109" s="13">
        <f>$I$53*$BB$53</f>
        <v>0</v>
      </c>
      <c r="BC109" s="13">
        <f>$I$53*$BC$53</f>
        <v>0</v>
      </c>
      <c r="BD109" s="13">
        <f>$I$53*$BD$53</f>
        <v>0</v>
      </c>
    </row>
    <row r="110" spans="1:56" ht="11.25" customHeight="1" x14ac:dyDescent="0.25">
      <c r="A110" s="9" t="s">
        <v>45</v>
      </c>
      <c r="B110" s="9" t="s">
        <v>920</v>
      </c>
      <c r="C110" s="9" t="s">
        <v>921</v>
      </c>
      <c r="D110" s="9" t="s">
        <v>922</v>
      </c>
      <c r="E110" s="9" t="s">
        <v>923</v>
      </c>
      <c r="F110" s="9" t="s">
        <v>924</v>
      </c>
      <c r="G110" s="9" t="s">
        <v>925</v>
      </c>
      <c r="L110" s="13">
        <f>$I$54*$L$54</f>
        <v>184014.15135298797</v>
      </c>
      <c r="M110" s="13">
        <f>$I$54*$M$54</f>
        <v>4192.0388257330314</v>
      </c>
      <c r="N110" s="13">
        <f ca="1">$I$54*$N$54</f>
        <v>0</v>
      </c>
      <c r="O110" s="13">
        <f>$I$54*$O$54</f>
        <v>0</v>
      </c>
      <c r="P110" s="13">
        <f>$I$54*$P$54</f>
        <v>0</v>
      </c>
      <c r="Q110" s="13">
        <f>$I$54*$Q$54</f>
        <v>518564.87509456335</v>
      </c>
      <c r="R110" s="13">
        <f>$I$54*$R$54</f>
        <v>81952.27641784797</v>
      </c>
      <c r="S110" s="13">
        <f>$I$54*$S$54</f>
        <v>0</v>
      </c>
      <c r="T110" s="13">
        <f>$I$54*$T$54</f>
        <v>164086.40214189288</v>
      </c>
      <c r="U110" s="13">
        <f>$I$54*$U$54</f>
        <v>23089.311076673246</v>
      </c>
      <c r="V110" s="13">
        <f>$I$54*$V$54</f>
        <v>0</v>
      </c>
      <c r="W110" s="13">
        <f>$I$54*$W$54</f>
        <v>0</v>
      </c>
      <c r="X110" s="13">
        <f>$I$54*$X$54</f>
        <v>0</v>
      </c>
      <c r="Y110" s="13">
        <f>$I$54*$Y$54</f>
        <v>0</v>
      </c>
      <c r="Z110" s="13">
        <f>$I$54*$Z$54</f>
        <v>0</v>
      </c>
      <c r="AA110" s="13">
        <f>$I$54*$AA$54</f>
        <v>937059.65317224327</v>
      </c>
      <c r="AB110" s="13">
        <f ca="1">$I$54*$AB$54</f>
        <v>0</v>
      </c>
      <c r="AC110" s="13">
        <f ca="1">$I$54*$AC$54</f>
        <v>0</v>
      </c>
      <c r="AD110" s="13">
        <f>$I$54*$AD$54</f>
        <v>68924.957949328877</v>
      </c>
      <c r="AE110" s="13">
        <f>$I$54*$AE$54</f>
        <v>0</v>
      </c>
      <c r="AF110" s="13">
        <f ca="1">$I$54*$AF$54</f>
        <v>0</v>
      </c>
      <c r="AG110" s="13">
        <f ca="1">$I$54*$AG$54</f>
        <v>0</v>
      </c>
      <c r="AI110" s="13">
        <f>$I$54*$AI$54</f>
        <v>184452.07579587208</v>
      </c>
      <c r="AJ110" s="13">
        <f>$I$54*$AJ$54</f>
        <v>4378.5106576906874</v>
      </c>
      <c r="AK110" s="13">
        <f>$I$54*$AK$54</f>
        <v>0</v>
      </c>
      <c r="AL110" s="13">
        <f>$I$54*$AL$54</f>
        <v>0</v>
      </c>
      <c r="AM110" s="13">
        <f>$I$54*$AM$54</f>
        <v>0</v>
      </c>
      <c r="AN110" s="13">
        <f>$I$54*$AN$54</f>
        <v>319494.76839083614</v>
      </c>
      <c r="AO110" s="13">
        <f>$I$54*$AO$54</f>
        <v>50144.4296253383</v>
      </c>
      <c r="AP110" s="13">
        <f>$I$54*$AP$54</f>
        <v>0</v>
      </c>
      <c r="AQ110" s="13">
        <f>$I$54*$AQ$54</f>
        <v>114689.38253872575</v>
      </c>
      <c r="AR110" s="13">
        <f>$I$54*$AR$54</f>
        <v>21499.781142209955</v>
      </c>
      <c r="AS110" s="13">
        <f>$I$54*$AS$54</f>
        <v>0</v>
      </c>
      <c r="AT110" s="13">
        <f>$I$54*$AT$54</f>
        <v>0</v>
      </c>
      <c r="AU110" s="13">
        <f>$I$54*$AU$54</f>
        <v>0</v>
      </c>
      <c r="AV110" s="13">
        <f>$I$54*$AV$54</f>
        <v>0</v>
      </c>
      <c r="AW110" s="13">
        <f>$I$54*$AW$54</f>
        <v>0</v>
      </c>
      <c r="AX110" s="13">
        <f>$I$54*$AX$54</f>
        <v>774491.38175323291</v>
      </c>
      <c r="AY110" s="13">
        <f>$I$54*$AY$54</f>
        <v>0</v>
      </c>
      <c r="AZ110" s="13">
        <f>$I$54*$AZ$54</f>
        <v>0</v>
      </c>
      <c r="BA110" s="13">
        <f>$I$54*$BA$54</f>
        <v>81790.7079087694</v>
      </c>
      <c r="BB110" s="13">
        <f>$I$54*$BB$54</f>
        <v>0</v>
      </c>
      <c r="BC110" s="13">
        <f>$I$54*$BC$54</f>
        <v>0</v>
      </c>
      <c r="BD110" s="13">
        <f>$I$54*$BD$54</f>
        <v>0</v>
      </c>
    </row>
    <row r="111" spans="1:56" ht="11.25" customHeight="1" x14ac:dyDescent="0.25">
      <c r="A111" s="9" t="s">
        <v>45</v>
      </c>
      <c r="B111" s="9" t="s">
        <v>920</v>
      </c>
      <c r="C111" s="9" t="s">
        <v>921</v>
      </c>
      <c r="D111" s="9" t="s">
        <v>926</v>
      </c>
      <c r="E111" s="9" t="s">
        <v>927</v>
      </c>
      <c r="F111" s="9" t="s">
        <v>928</v>
      </c>
      <c r="G111" s="9" t="s">
        <v>929</v>
      </c>
      <c r="L111" s="13">
        <f>$I$55*$L$55</f>
        <v>0</v>
      </c>
      <c r="M111" s="13">
        <f>$I$55*$M$55</f>
        <v>0</v>
      </c>
      <c r="N111" s="13">
        <f ca="1">$I$55*$N$55</f>
        <v>0</v>
      </c>
      <c r="O111" s="13">
        <f>$I$55*$O$55</f>
        <v>0</v>
      </c>
      <c r="P111" s="13">
        <f>$I$55*$P$55</f>
        <v>0</v>
      </c>
      <c r="Q111" s="13">
        <f>$I$55*$Q$55</f>
        <v>0</v>
      </c>
      <c r="R111" s="13">
        <f>$I$55*$R$55</f>
        <v>0</v>
      </c>
      <c r="S111" s="13">
        <f>$I$55*$S$55</f>
        <v>0</v>
      </c>
      <c r="T111" s="13">
        <f>$I$55*$T$55</f>
        <v>0</v>
      </c>
      <c r="U111" s="13">
        <f>$I$55*$U$55</f>
        <v>0</v>
      </c>
      <c r="V111" s="13">
        <f>$I$55*$V$55</f>
        <v>0</v>
      </c>
      <c r="W111" s="13">
        <f>$I$55*$W$55</f>
        <v>0</v>
      </c>
      <c r="X111" s="13">
        <f>$I$55*$X$55</f>
        <v>0</v>
      </c>
      <c r="Y111" s="13">
        <f>$I$55*$Y$55</f>
        <v>0</v>
      </c>
      <c r="Z111" s="13">
        <f>$I$55*$Z$55</f>
        <v>0</v>
      </c>
      <c r="AA111" s="13">
        <f>$I$55*$AA$55</f>
        <v>0</v>
      </c>
      <c r="AB111" s="13">
        <f ca="1">$I$55*$AB$55</f>
        <v>0</v>
      </c>
      <c r="AC111" s="13">
        <f ca="1">$I$55*$AC$55</f>
        <v>0</v>
      </c>
      <c r="AD111" s="13">
        <f>$I$55*$AD$55</f>
        <v>0</v>
      </c>
      <c r="AE111" s="13">
        <f>$I$55*$AE$55</f>
        <v>0</v>
      </c>
      <c r="AF111" s="13">
        <f ca="1">$I$55*$AF$55</f>
        <v>0</v>
      </c>
      <c r="AG111" s="13">
        <f ca="1">$I$55*$AG$55</f>
        <v>0</v>
      </c>
      <c r="AI111" s="13">
        <f>$I$55*$AI$55</f>
        <v>0</v>
      </c>
      <c r="AJ111" s="13">
        <f>$I$55*$AJ$55</f>
        <v>0</v>
      </c>
      <c r="AK111" s="13">
        <f>$I$55*$AK$55</f>
        <v>0</v>
      </c>
      <c r="AL111" s="13">
        <f>$I$55*$AL$55</f>
        <v>0</v>
      </c>
      <c r="AM111" s="13">
        <f>$I$55*$AM$55</f>
        <v>0</v>
      </c>
      <c r="AN111" s="13">
        <f>$I$55*$AN$55</f>
        <v>0</v>
      </c>
      <c r="AO111" s="13">
        <f>$I$55*$AO$55</f>
        <v>0</v>
      </c>
      <c r="AP111" s="13">
        <f>$I$55*$AP$55</f>
        <v>0</v>
      </c>
      <c r="AQ111" s="13">
        <f>$I$55*$AQ$55</f>
        <v>0</v>
      </c>
      <c r="AR111" s="13">
        <f>$I$55*$AR$55</f>
        <v>0</v>
      </c>
      <c r="AS111" s="13">
        <f>$I$55*$AS$55</f>
        <v>0</v>
      </c>
      <c r="AT111" s="13">
        <f>$I$55*$AT$55</f>
        <v>0</v>
      </c>
      <c r="AU111" s="13">
        <f>$I$55*$AU$55</f>
        <v>0</v>
      </c>
      <c r="AV111" s="13">
        <f>$I$55*$AV$55</f>
        <v>0</v>
      </c>
      <c r="AW111" s="13">
        <f>$I$55*$AW$55</f>
        <v>0</v>
      </c>
      <c r="AX111" s="13">
        <f>$I$55*$AX$55</f>
        <v>0</v>
      </c>
      <c r="AY111" s="13">
        <f>$I$55*$AY$55</f>
        <v>0</v>
      </c>
      <c r="AZ111" s="13">
        <f>$I$55*$AZ$55</f>
        <v>0</v>
      </c>
      <c r="BA111" s="13">
        <f>$I$55*$BA$55</f>
        <v>0</v>
      </c>
      <c r="BB111" s="13">
        <f>$I$55*$BB$55</f>
        <v>0</v>
      </c>
      <c r="BC111" s="13">
        <f>$I$55*$BC$55</f>
        <v>0</v>
      </c>
      <c r="BD111" s="13">
        <f>$I$55*$BD$55</f>
        <v>0</v>
      </c>
    </row>
  </sheetData>
  <mergeCells count="94">
    <mergeCell ref="F1:F4"/>
    <mergeCell ref="A1:A4"/>
    <mergeCell ref="B1:B4"/>
    <mergeCell ref="C1:C4"/>
    <mergeCell ref="D1:D4"/>
    <mergeCell ref="E1:E4"/>
    <mergeCell ref="E14:E16"/>
    <mergeCell ref="AB3:AC3"/>
    <mergeCell ref="AD3:AG3"/>
    <mergeCell ref="A5:A8"/>
    <mergeCell ref="B5:B8"/>
    <mergeCell ref="C5:C8"/>
    <mergeCell ref="D5:D8"/>
    <mergeCell ref="E5:E7"/>
    <mergeCell ref="F5:F7"/>
    <mergeCell ref="G1:G4"/>
    <mergeCell ref="H1:H4"/>
    <mergeCell ref="I1:I4"/>
    <mergeCell ref="J1:J4"/>
    <mergeCell ref="L1:AG1"/>
    <mergeCell ref="L2:AG2"/>
    <mergeCell ref="L3:S3"/>
    <mergeCell ref="F14:F16"/>
    <mergeCell ref="E17:E18"/>
    <mergeCell ref="F17:F18"/>
    <mergeCell ref="A19:A20"/>
    <mergeCell ref="B19:B20"/>
    <mergeCell ref="C19:C20"/>
    <mergeCell ref="D19:D20"/>
    <mergeCell ref="A9:A18"/>
    <mergeCell ref="B9:B12"/>
    <mergeCell ref="C9:C12"/>
    <mergeCell ref="D9:D12"/>
    <mergeCell ref="E9:E11"/>
    <mergeCell ref="F9:F11"/>
    <mergeCell ref="B14:B18"/>
    <mergeCell ref="C14:C18"/>
    <mergeCell ref="D14:D18"/>
    <mergeCell ref="F21:F23"/>
    <mergeCell ref="B24:B28"/>
    <mergeCell ref="C24:C28"/>
    <mergeCell ref="B29:B33"/>
    <mergeCell ref="C29:C33"/>
    <mergeCell ref="A21:A33"/>
    <mergeCell ref="B21:B23"/>
    <mergeCell ref="C21:C23"/>
    <mergeCell ref="D21:D23"/>
    <mergeCell ref="E21:E23"/>
    <mergeCell ref="D42:D44"/>
    <mergeCell ref="E42:E44"/>
    <mergeCell ref="F42:F44"/>
    <mergeCell ref="D34:D36"/>
    <mergeCell ref="E34:E36"/>
    <mergeCell ref="F34:F36"/>
    <mergeCell ref="D38:D40"/>
    <mergeCell ref="E38:E40"/>
    <mergeCell ref="F38:F40"/>
    <mergeCell ref="B46:B48"/>
    <mergeCell ref="C46:C48"/>
    <mergeCell ref="A49:A53"/>
    <mergeCell ref="B49:B51"/>
    <mergeCell ref="C49:C51"/>
    <mergeCell ref="A34:A48"/>
    <mergeCell ref="B34:B36"/>
    <mergeCell ref="C34:C36"/>
    <mergeCell ref="B42:B44"/>
    <mergeCell ref="C42:C44"/>
    <mergeCell ref="B38:B40"/>
    <mergeCell ref="C38:C40"/>
    <mergeCell ref="AI1:BD1"/>
    <mergeCell ref="AI2:BD2"/>
    <mergeCell ref="AI3:AP3"/>
    <mergeCell ref="AQ3:AW3"/>
    <mergeCell ref="AY3:AZ3"/>
    <mergeCell ref="E49:E51"/>
    <mergeCell ref="F49:F51"/>
    <mergeCell ref="A54:A55"/>
    <mergeCell ref="B54:B55"/>
    <mergeCell ref="C54:C55"/>
    <mergeCell ref="D49:D51"/>
    <mergeCell ref="AQ59:AW59"/>
    <mergeCell ref="AY59:AZ59"/>
    <mergeCell ref="BA59:BD59"/>
    <mergeCell ref="BA3:BD3"/>
    <mergeCell ref="L57:AG57"/>
    <mergeCell ref="AI57:BD57"/>
    <mergeCell ref="L58:AG58"/>
    <mergeCell ref="AI58:BD58"/>
    <mergeCell ref="L59:S59"/>
    <mergeCell ref="T59:Z59"/>
    <mergeCell ref="AB59:AC59"/>
    <mergeCell ref="AD59:AG59"/>
    <mergeCell ref="AI59:AP59"/>
    <mergeCell ref="T3:Z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7C24-583F-4AD0-88C5-639479FD2B11}">
  <dimension ref="A1:AH87"/>
  <sheetViews>
    <sheetView showGridLines="0" topLeftCell="L1" workbookViewId="0">
      <selection activeCell="V44" sqref="V44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64</v>
      </c>
      <c r="B1" s="100" t="s">
        <v>65</v>
      </c>
      <c r="C1" s="100" t="s">
        <v>66</v>
      </c>
      <c r="D1" s="100" t="s">
        <v>67</v>
      </c>
      <c r="E1" s="100" t="s">
        <v>68</v>
      </c>
      <c r="F1" s="100" t="s">
        <v>15</v>
      </c>
      <c r="G1" s="100" t="s">
        <v>70</v>
      </c>
      <c r="H1" s="100" t="s">
        <v>71</v>
      </c>
      <c r="I1" s="100" t="s">
        <v>549</v>
      </c>
      <c r="J1" s="82"/>
      <c r="L1" s="101" t="s">
        <v>930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931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2"/>
      <c r="L2" s="101" t="s">
        <v>476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476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2"/>
      <c r="L3" s="101" t="s">
        <v>449</v>
      </c>
      <c r="M3" s="101"/>
      <c r="N3" s="101"/>
      <c r="O3" s="101"/>
      <c r="P3" s="101"/>
      <c r="Q3" s="30" t="s">
        <v>480</v>
      </c>
      <c r="R3" s="101" t="s">
        <v>458</v>
      </c>
      <c r="S3" s="101"/>
      <c r="T3" s="101"/>
      <c r="U3" s="30" t="s">
        <v>468</v>
      </c>
      <c r="V3" s="30" t="s">
        <v>471</v>
      </c>
      <c r="X3" s="101" t="s">
        <v>449</v>
      </c>
      <c r="Y3" s="101"/>
      <c r="Z3" s="101"/>
      <c r="AA3" s="101"/>
      <c r="AB3" s="101"/>
      <c r="AC3" s="30" t="s">
        <v>480</v>
      </c>
      <c r="AD3" s="101" t="s">
        <v>458</v>
      </c>
      <c r="AE3" s="101"/>
      <c r="AF3" s="101"/>
      <c r="AG3" s="30" t="s">
        <v>468</v>
      </c>
      <c r="AH3" s="30" t="s">
        <v>471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2"/>
      <c r="L4" s="30" t="s">
        <v>451</v>
      </c>
      <c r="M4" s="30" t="s">
        <v>477</v>
      </c>
      <c r="N4" s="30" t="s">
        <v>478</v>
      </c>
      <c r="O4" s="30" t="s">
        <v>537</v>
      </c>
      <c r="P4" s="30" t="s">
        <v>479</v>
      </c>
      <c r="Q4" s="30" t="s">
        <v>481</v>
      </c>
      <c r="R4" s="30" t="s">
        <v>482</v>
      </c>
      <c r="S4" s="30" t="s">
        <v>483</v>
      </c>
      <c r="T4" s="30" t="s">
        <v>484</v>
      </c>
      <c r="U4" s="30" t="s">
        <v>469</v>
      </c>
      <c r="V4" s="30" t="s">
        <v>485</v>
      </c>
      <c r="X4" s="30" t="s">
        <v>451</v>
      </c>
      <c r="Y4" s="30" t="s">
        <v>477</v>
      </c>
      <c r="Z4" s="30" t="s">
        <v>478</v>
      </c>
      <c r="AA4" s="30" t="s">
        <v>537</v>
      </c>
      <c r="AB4" s="30" t="s">
        <v>479</v>
      </c>
      <c r="AC4" s="30" t="s">
        <v>481</v>
      </c>
      <c r="AD4" s="30" t="s">
        <v>482</v>
      </c>
      <c r="AE4" s="30" t="s">
        <v>483</v>
      </c>
      <c r="AF4" s="30" t="s">
        <v>484</v>
      </c>
      <c r="AG4" s="30" t="s">
        <v>469</v>
      </c>
      <c r="AH4" s="30" t="s">
        <v>485</v>
      </c>
    </row>
    <row r="5" spans="1:34" ht="11.25" customHeight="1" x14ac:dyDescent="0.25">
      <c r="A5" s="99" t="s">
        <v>35</v>
      </c>
      <c r="B5" s="99" t="s">
        <v>73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75</v>
      </c>
      <c r="H5" s="29" t="s">
        <v>74</v>
      </c>
      <c r="I5" s="29">
        <f>'MERCADO TE'!$U$2</f>
        <v>1179.2529999999999</v>
      </c>
      <c r="J5" s="15"/>
      <c r="L5" s="26">
        <f>('TE BE'!$L$5+'TE BF'!$L$5+'TE CVA'!$L$5)*1</f>
        <v>0</v>
      </c>
      <c r="M5" s="26">
        <f>('TE BE'!$M$5+'TE BF'!$M$5+'TE CVA'!$M$5)*1</f>
        <v>0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0</v>
      </c>
      <c r="Q5" s="26">
        <f>('TE BE'!$R$5+'TE BF'!$R$5+'TE CVA'!$R$5)*1</f>
        <v>114.76529888966962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133.97048068272801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99"/>
      <c r="B6" s="99"/>
      <c r="C6" s="99"/>
      <c r="D6" s="99"/>
      <c r="E6" s="99"/>
      <c r="F6" s="99"/>
      <c r="G6" s="29" t="s">
        <v>76</v>
      </c>
      <c r="H6" s="29" t="s">
        <v>74</v>
      </c>
      <c r="I6" s="29">
        <f>'MERCADO TE'!$U$3</f>
        <v>12180.129000000001</v>
      </c>
      <c r="J6" s="15"/>
      <c r="L6" s="26">
        <f>('TE BE'!$L$6+'TE BF'!$L$6+'TE CVA'!$L$6)*1</f>
        <v>0</v>
      </c>
      <c r="M6" s="26">
        <f>('TE BE'!$M$6+'TE BF'!$M$6+'TE CVA'!$M$6)*1</f>
        <v>0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0</v>
      </c>
      <c r="Q6" s="26">
        <f>('TE BE'!$R$6+'TE BF'!$R$6+'TE CVA'!$R$6)*1</f>
        <v>114.76529888966962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133.97048068272801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99" t="s">
        <v>39</v>
      </c>
      <c r="B7" s="99" t="s">
        <v>73</v>
      </c>
      <c r="C7" s="99" t="s">
        <v>25</v>
      </c>
      <c r="D7" s="99" t="s">
        <v>25</v>
      </c>
      <c r="E7" s="99" t="s">
        <v>25</v>
      </c>
      <c r="F7" s="99" t="s">
        <v>25</v>
      </c>
      <c r="G7" s="29" t="s">
        <v>75</v>
      </c>
      <c r="H7" s="29" t="s">
        <v>74</v>
      </c>
      <c r="I7" s="29">
        <f>'MERCADO TE'!$U$4</f>
        <v>14718.998999999998</v>
      </c>
      <c r="J7" s="15"/>
      <c r="L7" s="26">
        <f>('TE BE'!$L$7+'TE BF'!$L$7+'TE CVA'!$L$7)*1</f>
        <v>0</v>
      </c>
      <c r="M7" s="26">
        <f>('TE BE'!$M$7+'TE BF'!$M$7+'TE CVA'!$M$7)*1</f>
        <v>0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0</v>
      </c>
      <c r="Q7" s="26">
        <f>('TE BE'!$R$7+'TE BF'!$R$7+'TE CVA'!$R$7)*1</f>
        <v>114.76529888966962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133.97048068272801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99"/>
      <c r="B8" s="99"/>
      <c r="C8" s="99"/>
      <c r="D8" s="99"/>
      <c r="E8" s="99"/>
      <c r="F8" s="99"/>
      <c r="G8" s="29" t="s">
        <v>76</v>
      </c>
      <c r="H8" s="29" t="s">
        <v>74</v>
      </c>
      <c r="I8" s="29">
        <f>'MERCADO TE'!$U$5</f>
        <v>200745.10000000003</v>
      </c>
      <c r="J8" s="15"/>
      <c r="L8" s="26">
        <f>('TE BE'!$L$8+'TE BF'!$L$8+'TE CVA'!$L$8)*1</f>
        <v>0</v>
      </c>
      <c r="M8" s="26">
        <f>('TE BE'!$M$8+'TE BF'!$M$8+'TE CVA'!$M$8)*1</f>
        <v>0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0</v>
      </c>
      <c r="Q8" s="26">
        <f>('TE BE'!$R$8+'TE BF'!$R$8+'TE CVA'!$R$8)*1</f>
        <v>114.76529888966962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133.97048068272801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99" t="s">
        <v>22</v>
      </c>
      <c r="B9" s="99" t="s">
        <v>73</v>
      </c>
      <c r="C9" s="99" t="s">
        <v>24</v>
      </c>
      <c r="D9" s="99" t="s">
        <v>24</v>
      </c>
      <c r="E9" s="99" t="s">
        <v>25</v>
      </c>
      <c r="F9" s="99" t="s">
        <v>25</v>
      </c>
      <c r="G9" s="29" t="s">
        <v>75</v>
      </c>
      <c r="H9" s="29" t="s">
        <v>74</v>
      </c>
      <c r="I9" s="29">
        <f>'MERCADO TE'!$U$6</f>
        <v>0.154</v>
      </c>
      <c r="J9" s="15"/>
      <c r="L9" s="26">
        <f>('TE BE'!$L$9+'TE BF'!$L$9+'TE CVA'!$L$9)*1</f>
        <v>0</v>
      </c>
      <c r="M9" s="26">
        <f>('TE BE'!$M$9+'TE BF'!$M$9+'TE CVA'!$M$9)*1</f>
        <v>0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0</v>
      </c>
      <c r="Q9" s="26">
        <f>('TE BE'!$R$9+'TE BF'!$R$9+'TE CVA'!$R$9)*1</f>
        <v>114.76529888966962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133.97048068272801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99"/>
      <c r="B10" s="99"/>
      <c r="C10" s="99"/>
      <c r="D10" s="99"/>
      <c r="E10" s="99"/>
      <c r="F10" s="99"/>
      <c r="G10" s="29" t="s">
        <v>86</v>
      </c>
      <c r="H10" s="29" t="s">
        <v>74</v>
      </c>
      <c r="I10" s="29">
        <f>'MERCADO TE'!$U$7</f>
        <v>8.5999999999999993E-2</v>
      </c>
      <c r="J10" s="15"/>
      <c r="L10" s="26">
        <f>('TE BE'!$L$10+'TE BF'!$L$10+'TE CVA'!$L$10)*1</f>
        <v>0</v>
      </c>
      <c r="M10" s="26">
        <f>('TE BE'!$M$10+'TE BF'!$M$10+'TE CVA'!$M$10)*1</f>
        <v>0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0</v>
      </c>
      <c r="Q10" s="26">
        <f>('TE BE'!$R$10+'TE BF'!$R$10+'TE CVA'!$R$10)*1</f>
        <v>114.76529888966962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133.97048068272801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99"/>
      <c r="B11" s="99"/>
      <c r="C11" s="99"/>
      <c r="D11" s="99"/>
      <c r="E11" s="99"/>
      <c r="F11" s="99"/>
      <c r="G11" s="29" t="s">
        <v>76</v>
      </c>
      <c r="H11" s="29" t="s">
        <v>74</v>
      </c>
      <c r="I11" s="29">
        <f>'MERCADO TE'!$U$8</f>
        <v>0.95099999999999996</v>
      </c>
      <c r="J11" s="15"/>
      <c r="L11" s="26">
        <f>('TE BE'!$L$11+'TE BF'!$L$11+'TE CVA'!$L$11)*1</f>
        <v>0</v>
      </c>
      <c r="M11" s="26">
        <f>('TE BE'!$M$11+'TE BF'!$M$11+'TE CVA'!$M$11)*1</f>
        <v>0</v>
      </c>
      <c r="N11" s="26">
        <f>('TE BE'!$N$11+'TE BF'!$N$11+'TE CVA'!$N$11)*1</f>
        <v>0</v>
      </c>
      <c r="O11" s="26">
        <f>('TE BE'!$O$11+'TE BF'!$O$11+'TE CVA'!$O$11)*1</f>
        <v>0</v>
      </c>
      <c r="P11" s="26">
        <f>('TE BE'!$P$11+'TE BF'!$P$11+'TE CVA'!$P$11)*1</f>
        <v>0</v>
      </c>
      <c r="Q11" s="26">
        <f>('TE BE'!$R$11+'TE BF'!$R$11+'TE CVA'!$R$11)*1</f>
        <v>114.76529888966962</v>
      </c>
      <c r="R11" s="26">
        <f>('TE BE'!$T$11+'TE BF'!$T$11+'TE CVA'!$T$11)*1</f>
        <v>0</v>
      </c>
      <c r="S11" s="26">
        <f>('TE BE'!$U$11+'TE BF'!$U$11+'TE CVA'!$U$11)*1</f>
        <v>0</v>
      </c>
      <c r="T11" s="26">
        <f>('TE BE'!$V$11+'TE BF'!$V$11+'TE CVA'!$V$11)*1</f>
        <v>0</v>
      </c>
      <c r="U11" s="26">
        <f>('TE BE'!$X$11+'TE BF'!$X$11+'TE CVA'!$X$11)*1</f>
        <v>0</v>
      </c>
      <c r="V11" s="26">
        <f>('TE BE'!$Z$11+'TE BF'!$Z$11+'TE CVA'!$Z$11)*1</f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133.97048068272801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99"/>
      <c r="B12" s="99" t="s">
        <v>87</v>
      </c>
      <c r="C12" s="99" t="s">
        <v>24</v>
      </c>
      <c r="D12" s="28" t="s">
        <v>24</v>
      </c>
      <c r="E12" s="28" t="s">
        <v>25</v>
      </c>
      <c r="F12" s="28" t="s">
        <v>25</v>
      </c>
      <c r="G12" s="29" t="s">
        <v>80</v>
      </c>
      <c r="H12" s="29" t="s">
        <v>74</v>
      </c>
      <c r="I12" s="29">
        <f>'MERCADO TE'!$U$9</f>
        <v>58542.483</v>
      </c>
      <c r="J12" s="15"/>
      <c r="L12" s="26">
        <f>('TE BE'!$L$12+'TE BF'!$L$12+'TE CVA'!$L$12)*1</f>
        <v>0</v>
      </c>
      <c r="M12" s="26">
        <f>('TE BE'!$M$12+'TE BF'!$M$12+'TE CVA'!$M$12)*1</f>
        <v>0</v>
      </c>
      <c r="N12" s="26">
        <f>('TE BE'!$N$12+'TE BF'!$N$12+'TE CVA'!$N$12)*1</f>
        <v>0</v>
      </c>
      <c r="O12" s="26">
        <f>('TE BE'!$O$12+'TE BF'!$O$12+'TE CVA'!$O$12)*1</f>
        <v>0</v>
      </c>
      <c r="P12" s="26">
        <f>('TE BE'!$P$12+'TE BF'!$P$12+'TE CVA'!$P$12)*1</f>
        <v>0</v>
      </c>
      <c r="Q12" s="26">
        <f>('TE BE'!$R$12+'TE BF'!$R$12+'TE CVA'!$R$12)*1</f>
        <v>114.76529888966962</v>
      </c>
      <c r="R12" s="26">
        <f>('TE BE'!$T$12+'TE BF'!$T$12+'TE CVA'!$T$12)*1</f>
        <v>0</v>
      </c>
      <c r="S12" s="26">
        <f>('TE BE'!$U$12+'TE BF'!$U$12+'TE CVA'!$U$12)*1</f>
        <v>0</v>
      </c>
      <c r="T12" s="26">
        <f>('TE BE'!$V$12+'TE BF'!$V$12+'TE CVA'!$V$12)*1</f>
        <v>0</v>
      </c>
      <c r="U12" s="26">
        <f>('TE BE'!$X$12+'TE BF'!$X$12+'TE CVA'!$X$12)*1</f>
        <v>0</v>
      </c>
      <c r="V12" s="26">
        <f>('TE BE'!$Z$12+'TE BF'!$Z$12+'TE CVA'!$Z$12)*1</f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133.97048068272801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99"/>
      <c r="B13" s="99"/>
      <c r="C13" s="99"/>
      <c r="D13" s="28" t="s">
        <v>29</v>
      </c>
      <c r="E13" s="28" t="s">
        <v>25</v>
      </c>
      <c r="F13" s="28" t="s">
        <v>25</v>
      </c>
      <c r="G13" s="29" t="s">
        <v>80</v>
      </c>
      <c r="H13" s="29" t="s">
        <v>74</v>
      </c>
      <c r="I13" s="29">
        <f>'MERCADO TE'!$U$10</f>
        <v>209.435</v>
      </c>
      <c r="J13" s="15"/>
      <c r="L13" s="26">
        <f>('TE BE'!$L$13+'TE BF'!$L$13+'TE CVA'!$L$13)*(1 - 0.65)</f>
        <v>0</v>
      </c>
      <c r="M13" s="26">
        <f>('TE BE'!$M$13+'TE BF'!$M$13+'TE CVA'!$M$13)*(1 - 0.65)</f>
        <v>0</v>
      </c>
      <c r="N13" s="26">
        <f>('TE BE'!$N$13+'TE BF'!$N$13+'TE CVA'!$N$13)*(1 - 0.65)</f>
        <v>0</v>
      </c>
      <c r="O13" s="26">
        <f>('TE BE'!$O$13+'TE BF'!$O$13+'TE CVA'!$O$13)*(1 - 0.65)</f>
        <v>0</v>
      </c>
      <c r="P13" s="26">
        <f>('TE BE'!$P$13+'TE BF'!$P$13+'TE CVA'!$P$13)*(1 - 0.65)</f>
        <v>0</v>
      </c>
      <c r="Q13" s="26">
        <f>('TE BE'!$R$13+'TE BF'!$R$13+'TE CVA'!$R$13)*(1 - 0.65)</f>
        <v>40.167854611384364</v>
      </c>
      <c r="R13" s="26">
        <f>('TE BE'!$T$13+'TE BF'!$T$13+'TE CVA'!$T$13)*(1 - 0.65)</f>
        <v>0</v>
      </c>
      <c r="S13" s="26">
        <f>('TE BE'!$U$13+'TE BF'!$U$13+'TE CVA'!$U$13)*(1 - 0.65)</f>
        <v>0</v>
      </c>
      <c r="T13" s="26">
        <f>('TE BE'!$V$13+'TE BF'!$V$13+'TE CVA'!$V$13)*(1 - 0.65)</f>
        <v>0</v>
      </c>
      <c r="U13" s="26">
        <f>('TE BE'!$X$13+'TE BF'!$X$13+'TE CVA'!$X$13)*(1 - 0.65)</f>
        <v>0</v>
      </c>
      <c r="V13" s="26">
        <f>('TE BE'!$Z$13+'TE BF'!$Z$13+'TE CVA'!$Z$13)*(1 - 0.65)</f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46.889668238954798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99"/>
      <c r="B14" s="99"/>
      <c r="C14" s="99"/>
      <c r="D14" s="28" t="s">
        <v>30</v>
      </c>
      <c r="E14" s="28" t="s">
        <v>25</v>
      </c>
      <c r="F14" s="28" t="s">
        <v>25</v>
      </c>
      <c r="G14" s="29" t="s">
        <v>80</v>
      </c>
      <c r="H14" s="29" t="s">
        <v>74</v>
      </c>
      <c r="I14" s="29">
        <f>'MERCADO TE'!$U$11</f>
        <v>450.29900000000004</v>
      </c>
      <c r="J14" s="15"/>
      <c r="L14" s="26">
        <f>('TE BE'!$L$14+'TE BF'!$L$14+'TE CVA'!$L$14)*(1 - 0.4)</f>
        <v>0</v>
      </c>
      <c r="M14" s="26">
        <f>('TE BE'!$M$14+'TE BF'!$M$14+'TE CVA'!$M$14)*(1 - 0.4)</f>
        <v>0</v>
      </c>
      <c r="N14" s="26">
        <f>('TE BE'!$N$14+'TE BF'!$N$14+'TE CVA'!$N$14)*(1 - 0.4)</f>
        <v>0</v>
      </c>
      <c r="O14" s="26">
        <f>('TE BE'!$O$14+'TE BF'!$O$14+'TE CVA'!$O$14)*(1 - 0.4)</f>
        <v>0</v>
      </c>
      <c r="P14" s="26">
        <f>('TE BE'!$P$14+'TE BF'!$P$14+'TE CVA'!$P$14)*(1 - 0.4)</f>
        <v>0</v>
      </c>
      <c r="Q14" s="26">
        <f>('TE BE'!$R$14+'TE BF'!$R$14+'TE CVA'!$R$14)*(1 - 0.4)</f>
        <v>68.859179333801777</v>
      </c>
      <c r="R14" s="26">
        <f>('TE BE'!$T$14+'TE BF'!$T$14+'TE CVA'!$T$14)*(1 - 0.4)</f>
        <v>0</v>
      </c>
      <c r="S14" s="26">
        <f>('TE BE'!$U$14+'TE BF'!$U$14+'TE CVA'!$U$14)*(1 - 0.4)</f>
        <v>0</v>
      </c>
      <c r="T14" s="26">
        <f>('TE BE'!$V$14+'TE BF'!$V$14+'TE CVA'!$V$14)*(1 - 0.4)</f>
        <v>0</v>
      </c>
      <c r="U14" s="26">
        <f>('TE BE'!$X$14+'TE BF'!$X$14+'TE CVA'!$X$14)*(1 - 0.4)</f>
        <v>0</v>
      </c>
      <c r="V14" s="26">
        <f>('TE BE'!$Z$14+'TE BF'!$Z$14+'TE CVA'!$Z$14)*(1 - 0.4)</f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80.382288409636899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99"/>
      <c r="B15" s="99"/>
      <c r="C15" s="99"/>
      <c r="D15" s="28" t="s">
        <v>31</v>
      </c>
      <c r="E15" s="28" t="s">
        <v>25</v>
      </c>
      <c r="F15" s="28" t="s">
        <v>25</v>
      </c>
      <c r="G15" s="29" t="s">
        <v>80</v>
      </c>
      <c r="H15" s="29" t="s">
        <v>74</v>
      </c>
      <c r="I15" s="29">
        <f>'MERCADO TE'!$U$12</f>
        <v>514.49699999999996</v>
      </c>
      <c r="J15" s="15"/>
      <c r="L15" s="26">
        <f>('TE BE'!$L$15+'TE BF'!$L$15+'TE CVA'!$L$15)*(1 - 0.1)</f>
        <v>0</v>
      </c>
      <c r="M15" s="26">
        <f>('TE BE'!$M$15+'TE BF'!$M$15+'TE CVA'!$M$15)*(1 - 0.1)</f>
        <v>0</v>
      </c>
      <c r="N15" s="26">
        <f>('TE BE'!$N$15+'TE BF'!$N$15+'TE CVA'!$N$15)*(1 - 0.1)</f>
        <v>0</v>
      </c>
      <c r="O15" s="26">
        <f>('TE BE'!$O$15+'TE BF'!$O$15+'TE CVA'!$O$15)*(1 - 0.1)</f>
        <v>0</v>
      </c>
      <c r="P15" s="26">
        <f>('TE BE'!$P$15+'TE BF'!$P$15+'TE CVA'!$P$15)*(1 - 0.1)</f>
        <v>0</v>
      </c>
      <c r="Q15" s="26">
        <f>('TE BE'!$R$15+'TE BF'!$R$15+'TE CVA'!$R$15)*(1 - 0.1)</f>
        <v>103.28876900070266</v>
      </c>
      <c r="R15" s="26">
        <f>('TE BE'!$T$15+'TE BF'!$T$15+'TE CVA'!$T$15)*(1 - 0.1)</f>
        <v>0</v>
      </c>
      <c r="S15" s="26">
        <f>('TE BE'!$U$15+'TE BF'!$U$15+'TE CVA'!$U$15)*(1 - 0.1)</f>
        <v>0</v>
      </c>
      <c r="T15" s="26">
        <f>('TE BE'!$V$15+'TE BF'!$V$15+'TE CVA'!$V$15)*(1 - 0.1)</f>
        <v>0</v>
      </c>
      <c r="U15" s="26">
        <f>('TE BE'!$X$15+'TE BF'!$X$15+'TE CVA'!$X$15)*(1 - 0.1)</f>
        <v>0</v>
      </c>
      <c r="V15" s="26">
        <f>('TE BE'!$Z$15+'TE BF'!$Z$15+'TE CVA'!$Z$15)*(1 - 0.1)</f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120.573432614455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99"/>
      <c r="B16" s="99"/>
      <c r="C16" s="99"/>
      <c r="D16" s="28" t="s">
        <v>32</v>
      </c>
      <c r="E16" s="28" t="s">
        <v>25</v>
      </c>
      <c r="F16" s="28" t="s">
        <v>25</v>
      </c>
      <c r="G16" s="29" t="s">
        <v>80</v>
      </c>
      <c r="H16" s="29" t="s">
        <v>74</v>
      </c>
      <c r="I16" s="29">
        <f>'MERCADO TE'!$U$13</f>
        <v>277.88899999999995</v>
      </c>
      <c r="J16" s="15"/>
      <c r="L16" s="26">
        <f>('TE BE'!$L$16+'TE BF'!$L$16+'TE CVA'!$L$16)*1</f>
        <v>0</v>
      </c>
      <c r="M16" s="26">
        <f>('TE BE'!$M$16+'TE BF'!$M$16+'TE CVA'!$M$16)*1</f>
        <v>0</v>
      </c>
      <c r="N16" s="26">
        <f>('TE BE'!$N$16+'TE BF'!$N$16+'TE CVA'!$N$16)*1</f>
        <v>0</v>
      </c>
      <c r="O16" s="26">
        <f>('TE BE'!$O$16+'TE BF'!$O$16+'TE CVA'!$O$16)*1</f>
        <v>0</v>
      </c>
      <c r="P16" s="26">
        <f>('TE BE'!$P$16+'TE BF'!$P$16+'TE CVA'!$P$16)*1</f>
        <v>0</v>
      </c>
      <c r="Q16" s="26">
        <f>('TE BE'!$R$16+'TE BF'!$R$16+'TE CVA'!$R$16)*1</f>
        <v>114.76529888966962</v>
      </c>
      <c r="R16" s="26">
        <f>('TE BE'!$T$16+'TE BF'!$T$16+'TE CVA'!$T$16)*1</f>
        <v>0</v>
      </c>
      <c r="S16" s="26">
        <f>('TE BE'!$U$16+'TE BF'!$U$16+'TE CVA'!$U$16)*1</f>
        <v>0</v>
      </c>
      <c r="T16" s="26">
        <f>('TE BE'!$V$16+'TE BF'!$V$16+'TE CVA'!$V$16)*1</f>
        <v>0</v>
      </c>
      <c r="U16" s="26">
        <f>('TE BE'!$X$16+'TE BF'!$X$16+'TE CVA'!$X$16)*1</f>
        <v>0</v>
      </c>
      <c r="V16" s="26">
        <f>('TE BE'!$Z$16+'TE BF'!$Z$16+'TE CVA'!$Z$16)*1</f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133.97048068272801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99"/>
      <c r="B17" s="99" t="s">
        <v>88</v>
      </c>
      <c r="C17" s="99" t="s">
        <v>24</v>
      </c>
      <c r="D17" s="28" t="s">
        <v>24</v>
      </c>
      <c r="E17" s="28" t="s">
        <v>25</v>
      </c>
      <c r="F17" s="28" t="s">
        <v>25</v>
      </c>
      <c r="G17" s="29" t="s">
        <v>80</v>
      </c>
      <c r="H17" s="29" t="s">
        <v>74</v>
      </c>
      <c r="I17" s="29">
        <f>'MERCADO TE'!$U$14</f>
        <v>0</v>
      </c>
      <c r="J17" s="15"/>
      <c r="L17" s="26">
        <f>('TE BE'!$L$17+'TE BF'!$L$17+'TE CVA'!$L$17)*1</f>
        <v>0</v>
      </c>
      <c r="M17" s="26">
        <f>('TE BE'!$M$17+'TE BF'!$M$17+'TE CVA'!$M$17)*1</f>
        <v>0</v>
      </c>
      <c r="N17" s="26">
        <f>('TE BE'!$N$17+'TE BF'!$N$17+'TE CVA'!$N$17)*1</f>
        <v>0</v>
      </c>
      <c r="O17" s="26">
        <f>('TE BE'!$O$17+'TE BF'!$O$17+'TE CVA'!$O$17)*1</f>
        <v>0</v>
      </c>
      <c r="P17" s="26">
        <f>('TE BE'!$P$17+'TE BF'!$P$17+'TE CVA'!$P$17)*1</f>
        <v>0</v>
      </c>
      <c r="Q17" s="26">
        <f>('TE BE'!$R$17+'TE BF'!$R$17+'TE CVA'!$R$17)*1</f>
        <v>114.76529888966962</v>
      </c>
      <c r="R17" s="26">
        <f>('TE BE'!$T$17+'TE BF'!$T$17+'TE CVA'!$T$17)*1</f>
        <v>0</v>
      </c>
      <c r="S17" s="26">
        <f>('TE BE'!$U$17+'TE BF'!$U$17+'TE CVA'!$U$17)*1</f>
        <v>0</v>
      </c>
      <c r="T17" s="26">
        <f>('TE BE'!$V$17+'TE BF'!$V$17+'TE CVA'!$V$17)*1</f>
        <v>0</v>
      </c>
      <c r="U17" s="26">
        <f>('TE BE'!$X$17+'TE BF'!$X$17+'TE CVA'!$X$17)*1</f>
        <v>0</v>
      </c>
      <c r="V17" s="26">
        <f>('TE BE'!$Z$17+'TE BF'!$Z$17+'TE CVA'!$Z$17)*1</f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133.97048068272801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99"/>
      <c r="B18" s="99"/>
      <c r="C18" s="99"/>
      <c r="D18" s="28" t="s">
        <v>29</v>
      </c>
      <c r="E18" s="28" t="s">
        <v>25</v>
      </c>
      <c r="F18" s="28" t="s">
        <v>25</v>
      </c>
      <c r="G18" s="29" t="s">
        <v>80</v>
      </c>
      <c r="H18" s="29" t="s">
        <v>74</v>
      </c>
      <c r="I18" s="29">
        <f>'MERCADO TE'!$U$15</f>
        <v>0</v>
      </c>
      <c r="J18" s="15"/>
      <c r="L18" s="26">
        <f>('TE BE'!$L$18+'TE BF'!$L$18+'TE CVA'!$L$18)*(1 - 0.65)</f>
        <v>0</v>
      </c>
      <c r="M18" s="26">
        <f>('TE BE'!$M$18+'TE BF'!$M$18+'TE CVA'!$M$18)*(1 - 0.65)</f>
        <v>0</v>
      </c>
      <c r="N18" s="26">
        <f>('TE BE'!$N$18+'TE BF'!$N$18+'TE CVA'!$N$18)*(1 - 0.65)</f>
        <v>0</v>
      </c>
      <c r="O18" s="26">
        <f>('TE BE'!$O$18+'TE BF'!$O$18+'TE CVA'!$O$18)*(1 - 0.65)</f>
        <v>0</v>
      </c>
      <c r="P18" s="26">
        <f>('TE BE'!$P$18+'TE BF'!$P$18+'TE CVA'!$P$18)*(1 - 0.65)</f>
        <v>0</v>
      </c>
      <c r="Q18" s="26">
        <f>('TE BE'!$R$18+'TE BF'!$R$18+'TE CVA'!$R$18)*(1 - 0.65)</f>
        <v>40.167854611384364</v>
      </c>
      <c r="R18" s="26">
        <f>('TE BE'!$T$18+'TE BF'!$T$18+'TE CVA'!$T$18)*(1 - 0.65)</f>
        <v>0</v>
      </c>
      <c r="S18" s="26">
        <f>('TE BE'!$U$18+'TE BF'!$U$18+'TE CVA'!$U$18)*(1 - 0.65)</f>
        <v>0</v>
      </c>
      <c r="T18" s="26">
        <f>('TE BE'!$V$18+'TE BF'!$V$18+'TE CVA'!$V$18)*(1 - 0.65)</f>
        <v>0</v>
      </c>
      <c r="U18" s="26">
        <f>('TE BE'!$X$18+'TE BF'!$X$18+'TE CVA'!$X$18)*(1 - 0.65)</f>
        <v>0</v>
      </c>
      <c r="V18" s="26">
        <f>('TE BE'!$Z$18+'TE BF'!$Z$18+'TE CVA'!$Z$18)*(1 - 0.65)</f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46.889668238954798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99"/>
      <c r="B19" s="99"/>
      <c r="C19" s="99"/>
      <c r="D19" s="28" t="s">
        <v>30</v>
      </c>
      <c r="E19" s="28" t="s">
        <v>25</v>
      </c>
      <c r="F19" s="28" t="s">
        <v>25</v>
      </c>
      <c r="G19" s="29" t="s">
        <v>80</v>
      </c>
      <c r="H19" s="29" t="s">
        <v>74</v>
      </c>
      <c r="I19" s="29">
        <f>'MERCADO TE'!$U$16</f>
        <v>0</v>
      </c>
      <c r="J19" s="15"/>
      <c r="L19" s="26">
        <f>('TE BE'!$L$19+'TE BF'!$L$19+'TE CVA'!$L$19)*(1 - 0.4)</f>
        <v>0</v>
      </c>
      <c r="M19" s="26">
        <f>('TE BE'!$M$19+'TE BF'!$M$19+'TE CVA'!$M$19)*(1 - 0.4)</f>
        <v>0</v>
      </c>
      <c r="N19" s="26">
        <f>('TE BE'!$N$19+'TE BF'!$N$19+'TE CVA'!$N$19)*(1 - 0.4)</f>
        <v>0</v>
      </c>
      <c r="O19" s="26">
        <f>('TE BE'!$O$19+'TE BF'!$O$19+'TE CVA'!$O$19)*(1 - 0.4)</f>
        <v>0</v>
      </c>
      <c r="P19" s="26">
        <f>('TE BE'!$P$19+'TE BF'!$P$19+'TE CVA'!$P$19)*(1 - 0.4)</f>
        <v>0</v>
      </c>
      <c r="Q19" s="26">
        <f>('TE BE'!$R$19+'TE BF'!$R$19+'TE CVA'!$R$19)*(1 - 0.4)</f>
        <v>68.859179333801777</v>
      </c>
      <c r="R19" s="26">
        <f>('TE BE'!$T$19+'TE BF'!$T$19+'TE CVA'!$T$19)*(1 - 0.4)</f>
        <v>0</v>
      </c>
      <c r="S19" s="26">
        <f>('TE BE'!$U$19+'TE BF'!$U$19+'TE CVA'!$U$19)*(1 - 0.4)</f>
        <v>0</v>
      </c>
      <c r="T19" s="26">
        <f>('TE BE'!$V$19+'TE BF'!$V$19+'TE CVA'!$V$19)*(1 - 0.4)</f>
        <v>0</v>
      </c>
      <c r="U19" s="26">
        <f>('TE BE'!$X$19+'TE BF'!$X$19+'TE CVA'!$X$19)*(1 - 0.4)</f>
        <v>0</v>
      </c>
      <c r="V19" s="26">
        <f>('TE BE'!$Z$19+'TE BF'!$Z$19+'TE CVA'!$Z$19)*(1 - 0.4)</f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80.382288409636899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99"/>
      <c r="B20" s="99"/>
      <c r="C20" s="99"/>
      <c r="D20" s="28" t="s">
        <v>31</v>
      </c>
      <c r="E20" s="28" t="s">
        <v>25</v>
      </c>
      <c r="F20" s="28" t="s">
        <v>25</v>
      </c>
      <c r="G20" s="29" t="s">
        <v>80</v>
      </c>
      <c r="H20" s="29" t="s">
        <v>74</v>
      </c>
      <c r="I20" s="29">
        <f>'MERCADO TE'!$U$17</f>
        <v>0</v>
      </c>
      <c r="J20" s="15"/>
      <c r="L20" s="26">
        <f>('TE BE'!$L$20+'TE BF'!$L$20+'TE CVA'!$L$20)*(1 - 0.1)</f>
        <v>0</v>
      </c>
      <c r="M20" s="26">
        <f>('TE BE'!$M$20+'TE BF'!$M$20+'TE CVA'!$M$20)*(1 - 0.1)</f>
        <v>0</v>
      </c>
      <c r="N20" s="26">
        <f>('TE BE'!$N$20+'TE BF'!$N$20+'TE CVA'!$N$20)*(1 - 0.1)</f>
        <v>0</v>
      </c>
      <c r="O20" s="26">
        <f>('TE BE'!$O$20+'TE BF'!$O$20+'TE CVA'!$O$20)*(1 - 0.1)</f>
        <v>0</v>
      </c>
      <c r="P20" s="26">
        <f>('TE BE'!$P$20+'TE BF'!$P$20+'TE CVA'!$P$20)*(1 - 0.1)</f>
        <v>0</v>
      </c>
      <c r="Q20" s="26">
        <f>('TE BE'!$R$20+'TE BF'!$R$20+'TE CVA'!$R$20)*(1 - 0.1)</f>
        <v>103.28876900070266</v>
      </c>
      <c r="R20" s="26">
        <f>('TE BE'!$T$20+'TE BF'!$T$20+'TE CVA'!$T$20)*(1 - 0.1)</f>
        <v>0</v>
      </c>
      <c r="S20" s="26">
        <f>('TE BE'!$U$20+'TE BF'!$U$20+'TE CVA'!$U$20)*(1 - 0.1)</f>
        <v>0</v>
      </c>
      <c r="T20" s="26">
        <f>('TE BE'!$V$20+'TE BF'!$V$20+'TE CVA'!$V$20)*(1 - 0.1)</f>
        <v>0</v>
      </c>
      <c r="U20" s="26">
        <f>('TE BE'!$X$20+'TE BF'!$X$20+'TE CVA'!$X$20)*(1 - 0.1)</f>
        <v>0</v>
      </c>
      <c r="V20" s="26">
        <f>('TE BE'!$Z$20+'TE BF'!$Z$20+'TE CVA'!$Z$20)*(1 - 0.1)</f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120.573432614455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99"/>
      <c r="B21" s="99"/>
      <c r="C21" s="99"/>
      <c r="D21" s="28" t="s">
        <v>32</v>
      </c>
      <c r="E21" s="28" t="s">
        <v>25</v>
      </c>
      <c r="F21" s="28" t="s">
        <v>25</v>
      </c>
      <c r="G21" s="29" t="s">
        <v>80</v>
      </c>
      <c r="H21" s="29" t="s">
        <v>74</v>
      </c>
      <c r="I21" s="29">
        <f>'MERCADO TE'!$U$18</f>
        <v>0</v>
      </c>
      <c r="J21" s="15"/>
      <c r="L21" s="26">
        <f>('TE BE'!$L$21+'TE BF'!$L$21+'TE CVA'!$L$21)*1</f>
        <v>0</v>
      </c>
      <c r="M21" s="26">
        <f>('TE BE'!$M$21+'TE BF'!$M$21+'TE CVA'!$M$21)*1</f>
        <v>0</v>
      </c>
      <c r="N21" s="26">
        <f>('TE BE'!$N$21+'TE BF'!$N$21+'TE CVA'!$N$21)*1</f>
        <v>0</v>
      </c>
      <c r="O21" s="26">
        <f>('TE BE'!$O$21+'TE BF'!$O$21+'TE CVA'!$O$21)*1</f>
        <v>0</v>
      </c>
      <c r="P21" s="26">
        <f>('TE BE'!$P$21+'TE BF'!$P$21+'TE CVA'!$P$21)*1</f>
        <v>0</v>
      </c>
      <c r="Q21" s="26">
        <f>('TE BE'!$R$21+'TE BF'!$R$21+'TE CVA'!$R$21)*1</f>
        <v>114.76529888966962</v>
      </c>
      <c r="R21" s="26">
        <f>('TE BE'!$T$21+'TE BF'!$T$21+'TE CVA'!$T$21)*1</f>
        <v>0</v>
      </c>
      <c r="S21" s="26">
        <f>('TE BE'!$U$21+'TE BF'!$U$21+'TE CVA'!$U$21)*1</f>
        <v>0</v>
      </c>
      <c r="T21" s="26">
        <f>('TE BE'!$V$21+'TE BF'!$V$21+'TE CVA'!$V$21)*1</f>
        <v>0</v>
      </c>
      <c r="U21" s="26">
        <f>('TE BE'!$X$21+'TE BF'!$X$21+'TE CVA'!$X$21)*1</f>
        <v>0</v>
      </c>
      <c r="V21" s="26">
        <f>('TE BE'!$Z$21+'TE BF'!$Z$21+'TE CVA'!$Z$21)*1</f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133.97048068272801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99" t="s">
        <v>42</v>
      </c>
      <c r="B22" s="99" t="s">
        <v>73</v>
      </c>
      <c r="C22" s="99" t="s">
        <v>43</v>
      </c>
      <c r="D22" s="99" t="s">
        <v>25</v>
      </c>
      <c r="E22" s="99" t="s">
        <v>25</v>
      </c>
      <c r="F22" s="99" t="s">
        <v>25</v>
      </c>
      <c r="G22" s="29" t="s">
        <v>75</v>
      </c>
      <c r="H22" s="29" t="s">
        <v>74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0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0</v>
      </c>
      <c r="Q22" s="26">
        <f>('TE BE'!$R$22+'TE BF'!$R$22+'TE CVA'!$R$22)*(1 - CUSTOS!$M$38)</f>
        <v>107.87938095628944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117.894023000801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99"/>
      <c r="B23" s="99"/>
      <c r="C23" s="99"/>
      <c r="D23" s="99"/>
      <c r="E23" s="99"/>
      <c r="F23" s="99"/>
      <c r="G23" s="29" t="s">
        <v>86</v>
      </c>
      <c r="H23" s="29" t="s">
        <v>74</v>
      </c>
      <c r="I23" s="29">
        <f>'MERCADO TE'!$U$20</f>
        <v>0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0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0</v>
      </c>
      <c r="Q23" s="26">
        <f>('TE BE'!$R$23+'TE BF'!$R$23+'TE CVA'!$R$23)*(1 - CUSTOS!$M$38)</f>
        <v>107.87938095628944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117.894023000801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99"/>
      <c r="B24" s="99"/>
      <c r="C24" s="99"/>
      <c r="D24" s="99"/>
      <c r="E24" s="99"/>
      <c r="F24" s="99"/>
      <c r="G24" s="29" t="s">
        <v>76</v>
      </c>
      <c r="H24" s="29" t="s">
        <v>74</v>
      </c>
      <c r="I24" s="29">
        <f>'MERCADO TE'!$U$21</f>
        <v>0</v>
      </c>
      <c r="J24" s="15"/>
      <c r="L24" s="26">
        <f>('TE BE'!$L$24+'TE BF'!$L$24+'TE CVA'!$L$24)*(1 - CUSTOS!$M$38)</f>
        <v>0</v>
      </c>
      <c r="M24" s="26">
        <f>('TE BE'!$M$24+'TE BF'!$M$24+'TE CVA'!$M$24)*(1 - CUSTOS!$M$38)</f>
        <v>0</v>
      </c>
      <c r="N24" s="26">
        <f>('TE BE'!$N$24+'TE BF'!$N$24+'TE CVA'!$N$24)*(1 - CUSTOS!$M$38)</f>
        <v>0</v>
      </c>
      <c r="O24" s="26">
        <f>('TE BE'!$O$24+'TE BF'!$O$24+'TE CVA'!$O$24)*(1 - CUSTOS!$M$38)</f>
        <v>0</v>
      </c>
      <c r="P24" s="26">
        <f>('TE BE'!$P$24+'TE BF'!$P$24+'TE CVA'!$P$24)*(1 - CUSTOS!$M$38)</f>
        <v>0</v>
      </c>
      <c r="Q24" s="26">
        <f>('TE BE'!$R$24+'TE BF'!$R$24+'TE CVA'!$R$24)*(1 - CUSTOS!$M$38)</f>
        <v>107.87938095628944</v>
      </c>
      <c r="R24" s="26">
        <f>('TE BE'!$T$24+'TE BF'!$T$24+'TE CVA'!$T$24)*(1 - CUSTOS!$M$38)</f>
        <v>0</v>
      </c>
      <c r="S24" s="26">
        <f>('TE BE'!$U$24+'TE BF'!$U$24+'TE CVA'!$U$24)*(1 - CUSTOS!$M$38)</f>
        <v>0</v>
      </c>
      <c r="T24" s="26">
        <f>('TE BE'!$V$24+'TE BF'!$V$24+'TE CVA'!$V$24)*(1 - CUSTOS!$M$38)</f>
        <v>0</v>
      </c>
      <c r="U24" s="26">
        <f>('TE BE'!$X$24+'TE BF'!$X$24+'TE CVA'!$X$24)*(1 - CUSTOS!$M$38)</f>
        <v>0</v>
      </c>
      <c r="V24" s="26">
        <f>('TE BE'!$Z$24+'TE BF'!$Z$24+'TE CVA'!$Z$24)*(1 - CUSTOS!$M$38)</f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117.894023000801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99"/>
      <c r="B25" s="28" t="s">
        <v>87</v>
      </c>
      <c r="C25" s="28" t="s">
        <v>43</v>
      </c>
      <c r="D25" s="28" t="s">
        <v>25</v>
      </c>
      <c r="E25" s="28" t="s">
        <v>25</v>
      </c>
      <c r="F25" s="28" t="s">
        <v>25</v>
      </c>
      <c r="G25" s="29" t="s">
        <v>80</v>
      </c>
      <c r="H25" s="29" t="s">
        <v>74</v>
      </c>
      <c r="I25" s="29">
        <f>'MERCADO TE'!$U$22</f>
        <v>15992.407000000001</v>
      </c>
      <c r="J25" s="15"/>
      <c r="L25" s="26">
        <f>('TE BE'!$L$25+'TE BF'!$L$25+'TE CVA'!$L$25)*(1 - CUSTOS!$M$38)</f>
        <v>0</v>
      </c>
      <c r="M25" s="26">
        <f>('TE BE'!$M$25+'TE BF'!$M$25+'TE CVA'!$M$25)*(1 - CUSTOS!$M$38)</f>
        <v>0</v>
      </c>
      <c r="N25" s="26">
        <f>('TE BE'!$N$25+'TE BF'!$N$25+'TE CVA'!$N$25)*(1 - CUSTOS!$M$38)</f>
        <v>0</v>
      </c>
      <c r="O25" s="26">
        <f>('TE BE'!$O$25+'TE BF'!$O$25+'TE CVA'!$O$25)*(1 - CUSTOS!$M$38)</f>
        <v>0</v>
      </c>
      <c r="P25" s="26">
        <f>('TE BE'!$P$25+'TE BF'!$P$25+'TE CVA'!$P$25)*(1 - CUSTOS!$M$38)</f>
        <v>0</v>
      </c>
      <c r="Q25" s="26">
        <f>('TE BE'!$R$25+'TE BF'!$R$25+'TE CVA'!$R$25)*(1 - CUSTOS!$M$38)</f>
        <v>107.87938095628944</v>
      </c>
      <c r="R25" s="26">
        <f>('TE BE'!$T$25+'TE BF'!$T$25+'TE CVA'!$T$25)*(1 - CUSTOS!$M$38)</f>
        <v>0</v>
      </c>
      <c r="S25" s="26">
        <f>('TE BE'!$U$25+'TE BF'!$U$25+'TE CVA'!$U$25)*(1 - CUSTOS!$M$38)</f>
        <v>0</v>
      </c>
      <c r="T25" s="26">
        <f>('TE BE'!$V$25+'TE BF'!$V$25+'TE CVA'!$V$25)*(1 - CUSTOS!$M$38)</f>
        <v>0</v>
      </c>
      <c r="U25" s="26">
        <f>('TE BE'!$X$25+'TE BF'!$X$25+'TE CVA'!$X$25)*(1 - CUSTOS!$M$38)</f>
        <v>0</v>
      </c>
      <c r="V25" s="26">
        <f>('TE BE'!$Z$25+'TE BF'!$Z$25+'TE CVA'!$Z$25)*(1 - CUSTOS!$M$38)</f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117.894023000801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99"/>
      <c r="B26" s="99" t="s">
        <v>73</v>
      </c>
      <c r="C26" s="99" t="s">
        <v>43</v>
      </c>
      <c r="D26" s="99" t="s">
        <v>90</v>
      </c>
      <c r="E26" s="99" t="s">
        <v>25</v>
      </c>
      <c r="F26" s="99" t="s">
        <v>25</v>
      </c>
      <c r="G26" s="29" t="s">
        <v>75</v>
      </c>
      <c r="H26" s="29" t="s">
        <v>74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0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0</v>
      </c>
      <c r="Q26" s="26">
        <f>('TE BE'!$R$26+'TE BF'!$R$26+'TE CVA'!$R$26)*(1 - CUSTOS!$M$39)</f>
        <v>107.87938095628944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117.894023000801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99"/>
      <c r="B27" s="99"/>
      <c r="C27" s="99"/>
      <c r="D27" s="99"/>
      <c r="E27" s="99"/>
      <c r="F27" s="99"/>
      <c r="G27" s="29" t="s">
        <v>86</v>
      </c>
      <c r="H27" s="29" t="s">
        <v>74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0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0</v>
      </c>
      <c r="Q27" s="26">
        <f>('TE BE'!$R$27+'TE BF'!$R$27+'TE CVA'!$R$27)*(1 - CUSTOS!$M$39)</f>
        <v>107.87938095628944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117.894023000801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99"/>
      <c r="B28" s="99"/>
      <c r="C28" s="99"/>
      <c r="D28" s="99"/>
      <c r="E28" s="99"/>
      <c r="F28" s="99"/>
      <c r="G28" s="29" t="s">
        <v>76</v>
      </c>
      <c r="H28" s="29" t="s">
        <v>74</v>
      </c>
      <c r="I28" s="29">
        <f>'MERCADO TE'!$U$25</f>
        <v>0</v>
      </c>
      <c r="J28" s="15"/>
      <c r="L28" s="26">
        <f>('TE BE'!$L$28+'TE BF'!$L$28+'TE CVA'!$L$28)*(1 - CUSTOS!$M$39)</f>
        <v>0</v>
      </c>
      <c r="M28" s="26">
        <f>('TE BE'!$M$28+'TE BF'!$M$28+'TE CVA'!$M$28)*(1 - CUSTOS!$M$39)</f>
        <v>0</v>
      </c>
      <c r="N28" s="26">
        <f>('TE BE'!$N$28+'TE BF'!$N$28+'TE CVA'!$N$28)*(1 - CUSTOS!$M$39)</f>
        <v>0</v>
      </c>
      <c r="O28" s="26">
        <f>('TE BE'!$O$28+'TE BF'!$O$28+'TE CVA'!$O$28)*(1 - CUSTOS!$M$39)</f>
        <v>0</v>
      </c>
      <c r="P28" s="26">
        <f>('TE BE'!$P$28+'TE BF'!$P$28+'TE CVA'!$P$28)*(1 - CUSTOS!$M$39)</f>
        <v>0</v>
      </c>
      <c r="Q28" s="26">
        <f>('TE BE'!$R$28+'TE BF'!$R$28+'TE CVA'!$R$28)*(1 - CUSTOS!$M$39)</f>
        <v>107.87938095628944</v>
      </c>
      <c r="R28" s="26">
        <f>('TE BE'!$T$28+'TE BF'!$T$28+'TE CVA'!$T$28)*(1 - CUSTOS!$M$39)</f>
        <v>0</v>
      </c>
      <c r="S28" s="26">
        <f>('TE BE'!$U$28+'TE BF'!$U$28+'TE CVA'!$U$28)*(1 - CUSTOS!$M$39)</f>
        <v>0</v>
      </c>
      <c r="T28" s="26">
        <f>('TE BE'!$V$28+'TE BF'!$V$28+'TE CVA'!$V$28)*(1 - CUSTOS!$M$39)</f>
        <v>0</v>
      </c>
      <c r="U28" s="26">
        <f>('TE BE'!$X$28+'TE BF'!$X$28+'TE CVA'!$X$28)*(1 - CUSTOS!$M$39)</f>
        <v>0</v>
      </c>
      <c r="V28" s="26">
        <f>('TE BE'!$Z$28+'TE BF'!$Z$28+'TE CVA'!$Z$28)*(1 - CUSTOS!$M$39)</f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117.894023000801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99"/>
      <c r="B29" s="28" t="s">
        <v>87</v>
      </c>
      <c r="C29" s="28" t="s">
        <v>43</v>
      </c>
      <c r="D29" s="28" t="s">
        <v>90</v>
      </c>
      <c r="E29" s="28" t="s">
        <v>25</v>
      </c>
      <c r="F29" s="28" t="s">
        <v>25</v>
      </c>
      <c r="G29" s="29" t="s">
        <v>80</v>
      </c>
      <c r="H29" s="29" t="s">
        <v>74</v>
      </c>
      <c r="I29" s="29">
        <f>'MERCADO TE'!$U$26</f>
        <v>0</v>
      </c>
      <c r="J29" s="15"/>
      <c r="L29" s="26">
        <f>('TE BE'!$L$29+'TE BF'!$L$29+'TE CVA'!$L$29)*(1 - CUSTOS!$M$39)</f>
        <v>0</v>
      </c>
      <c r="M29" s="26">
        <f>('TE BE'!$M$29+'TE BF'!$M$29+'TE CVA'!$M$29)*(1 - CUSTOS!$M$39)</f>
        <v>0</v>
      </c>
      <c r="N29" s="26">
        <f>('TE BE'!$N$29+'TE BF'!$N$29+'TE CVA'!$N$29)*(1 - CUSTOS!$M$39)</f>
        <v>0</v>
      </c>
      <c r="O29" s="26">
        <f>('TE BE'!$O$29+'TE BF'!$O$29+'TE CVA'!$O$29)*(1 - CUSTOS!$M$39)</f>
        <v>0</v>
      </c>
      <c r="P29" s="26">
        <f>('TE BE'!$P$29+'TE BF'!$P$29+'TE CVA'!$P$29)*(1 - CUSTOS!$M$39)</f>
        <v>0</v>
      </c>
      <c r="Q29" s="26">
        <f>('TE BE'!$R$29+'TE BF'!$R$29+'TE CVA'!$R$29)*(1 - CUSTOS!$M$39)</f>
        <v>107.87938095628944</v>
      </c>
      <c r="R29" s="26">
        <f>('TE BE'!$T$29+'TE BF'!$T$29+'TE CVA'!$T$29)*(1 - CUSTOS!$M$39)</f>
        <v>0</v>
      </c>
      <c r="S29" s="26">
        <f>('TE BE'!$U$29+'TE BF'!$U$29+'TE CVA'!$U$29)*(1 - CUSTOS!$M$39)</f>
        <v>0</v>
      </c>
      <c r="T29" s="26">
        <f>('TE BE'!$V$29+'TE BF'!$V$29+'TE CVA'!$V$29)*(1 - CUSTOS!$M$39)</f>
        <v>0</v>
      </c>
      <c r="U29" s="26">
        <f>('TE BE'!$X$29+'TE BF'!$X$29+'TE CVA'!$X$29)*(1 - CUSTOS!$M$39)</f>
        <v>0</v>
      </c>
      <c r="V29" s="26">
        <f>('TE BE'!$Z$29+'TE BF'!$Z$29+'TE CVA'!$Z$29)*(1 - CUSTOS!$M$39)</f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117.894023000801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99"/>
      <c r="B30" s="99" t="s">
        <v>73</v>
      </c>
      <c r="C30" s="99" t="s">
        <v>43</v>
      </c>
      <c r="D30" s="99" t="s">
        <v>91</v>
      </c>
      <c r="E30" s="99" t="s">
        <v>25</v>
      </c>
      <c r="F30" s="99" t="s">
        <v>25</v>
      </c>
      <c r="G30" s="29" t="s">
        <v>75</v>
      </c>
      <c r="H30" s="29" t="s">
        <v>74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0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0</v>
      </c>
      <c r="Q30" s="26">
        <f>('TE BE'!$R$30+'TE BF'!$R$30+'TE CVA'!$R$30)*(1 - CUSTOS!$M$40)</f>
        <v>105.58407497849606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112.535203773492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99"/>
      <c r="B31" s="99"/>
      <c r="C31" s="99"/>
      <c r="D31" s="99"/>
      <c r="E31" s="99"/>
      <c r="F31" s="99"/>
      <c r="G31" s="29" t="s">
        <v>86</v>
      </c>
      <c r="H31" s="29" t="s">
        <v>74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0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0</v>
      </c>
      <c r="Q31" s="26">
        <f>('TE BE'!$R$31+'TE BF'!$R$31+'TE CVA'!$R$31)*(1 - CUSTOS!$M$40)</f>
        <v>105.58407497849606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112.535203773492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99"/>
      <c r="B32" s="99"/>
      <c r="C32" s="99"/>
      <c r="D32" s="99"/>
      <c r="E32" s="99"/>
      <c r="F32" s="99"/>
      <c r="G32" s="29" t="s">
        <v>76</v>
      </c>
      <c r="H32" s="29" t="s">
        <v>74</v>
      </c>
      <c r="I32" s="29">
        <f>'MERCADO TE'!$U$29</f>
        <v>0</v>
      </c>
      <c r="J32" s="15"/>
      <c r="L32" s="26">
        <f>('TE BE'!$L$32+'TE BF'!$L$32+'TE CVA'!$L$32)*(1 - CUSTOS!$M$40)</f>
        <v>0</v>
      </c>
      <c r="M32" s="26">
        <f>('TE BE'!$M$32+'TE BF'!$M$32+'TE CVA'!$M$32)*(1 - CUSTOS!$M$40)</f>
        <v>0</v>
      </c>
      <c r="N32" s="26">
        <f>('TE BE'!$N$32+'TE BF'!$N$32+'TE CVA'!$N$32)*(1 - CUSTOS!$M$40)</f>
        <v>0</v>
      </c>
      <c r="O32" s="26">
        <f>('TE BE'!$O$32+'TE BF'!$O$32+'TE CVA'!$O$32)*(1 - CUSTOS!$M$40)</f>
        <v>0</v>
      </c>
      <c r="P32" s="26">
        <f>('TE BE'!$P$32+'TE BF'!$P$32+'TE CVA'!$P$32)*(1 - CUSTOS!$M$40)</f>
        <v>0</v>
      </c>
      <c r="Q32" s="26">
        <f>('TE BE'!$R$32+'TE BF'!$R$32+'TE CVA'!$R$32)*(1 - CUSTOS!$M$40)</f>
        <v>105.58407497849606</v>
      </c>
      <c r="R32" s="26">
        <f>('TE BE'!$T$32+'TE BF'!$T$32+'TE CVA'!$T$32)*(1 - CUSTOS!$M$40)</f>
        <v>0</v>
      </c>
      <c r="S32" s="26">
        <f>('TE BE'!$U$32+'TE BF'!$U$32+'TE CVA'!$U$32)*(1 - CUSTOS!$M$40)</f>
        <v>0</v>
      </c>
      <c r="T32" s="26">
        <f>('TE BE'!$V$32+'TE BF'!$V$32+'TE CVA'!$V$32)*(1 - CUSTOS!$M$40)</f>
        <v>0</v>
      </c>
      <c r="U32" s="26">
        <f>('TE BE'!$X$32+'TE BF'!$X$32+'TE CVA'!$X$32)*(1 - CUSTOS!$M$40)</f>
        <v>0</v>
      </c>
      <c r="V32" s="26">
        <f>('TE BE'!$Z$32+'TE BF'!$Z$32+'TE CVA'!$Z$32)*(1 - CUSTOS!$M$40)</f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112.535203773492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99"/>
      <c r="B33" s="28" t="s">
        <v>87</v>
      </c>
      <c r="C33" s="28" t="s">
        <v>43</v>
      </c>
      <c r="D33" s="28" t="s">
        <v>91</v>
      </c>
      <c r="E33" s="28" t="s">
        <v>25</v>
      </c>
      <c r="F33" s="28" t="s">
        <v>25</v>
      </c>
      <c r="G33" s="29" t="s">
        <v>80</v>
      </c>
      <c r="H33" s="29" t="s">
        <v>74</v>
      </c>
      <c r="I33" s="29">
        <f>'MERCADO TE'!$U$30</f>
        <v>0</v>
      </c>
      <c r="J33" s="15"/>
      <c r="L33" s="26">
        <f>('TE BE'!$L$33+'TE BF'!$L$33+'TE CVA'!$L$33)*(1 - CUSTOS!$M$40)</f>
        <v>0</v>
      </c>
      <c r="M33" s="26">
        <f>('TE BE'!$M$33+'TE BF'!$M$33+'TE CVA'!$M$33)*(1 - CUSTOS!$M$40)</f>
        <v>0</v>
      </c>
      <c r="N33" s="26">
        <f>('TE BE'!$N$33+'TE BF'!$N$33+'TE CVA'!$N$33)*(1 - CUSTOS!$M$40)</f>
        <v>0</v>
      </c>
      <c r="O33" s="26">
        <f>('TE BE'!$O$33+'TE BF'!$O$33+'TE CVA'!$O$33)*(1 - CUSTOS!$M$40)</f>
        <v>0</v>
      </c>
      <c r="P33" s="26">
        <f>('TE BE'!$P$33+'TE BF'!$P$33+'TE CVA'!$P$33)*(1 - CUSTOS!$M$40)</f>
        <v>0</v>
      </c>
      <c r="Q33" s="26">
        <f>('TE BE'!$R$33+'TE BF'!$R$33+'TE CVA'!$R$33)*(1 - CUSTOS!$M$40)</f>
        <v>105.58407497849606</v>
      </c>
      <c r="R33" s="26">
        <f>('TE BE'!$T$33+'TE BF'!$T$33+'TE CVA'!$T$33)*(1 - CUSTOS!$M$40)</f>
        <v>0</v>
      </c>
      <c r="S33" s="26">
        <f>('TE BE'!$U$33+'TE BF'!$U$33+'TE CVA'!$U$33)*(1 - CUSTOS!$M$40)</f>
        <v>0</v>
      </c>
      <c r="T33" s="26">
        <f>('TE BE'!$V$33+'TE BF'!$V$33+'TE CVA'!$V$33)*(1 - CUSTOS!$M$40)</f>
        <v>0</v>
      </c>
      <c r="U33" s="26">
        <f>('TE BE'!$X$33+'TE BF'!$X$33+'TE CVA'!$X$33)*(1 - CUSTOS!$M$40)</f>
        <v>0</v>
      </c>
      <c r="V33" s="26">
        <f>('TE BE'!$Z$33+'TE BF'!$Z$33+'TE CVA'!$Z$33)*(1 - CUSTOS!$M$40)</f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112.535203773492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99"/>
      <c r="B34" s="99" t="s">
        <v>88</v>
      </c>
      <c r="C34" s="99" t="s">
        <v>43</v>
      </c>
      <c r="D34" s="28" t="s">
        <v>25</v>
      </c>
      <c r="E34" s="28" t="s">
        <v>25</v>
      </c>
      <c r="F34" s="28" t="s">
        <v>25</v>
      </c>
      <c r="G34" s="29" t="s">
        <v>80</v>
      </c>
      <c r="H34" s="29" t="s">
        <v>74</v>
      </c>
      <c r="I34" s="29">
        <f>'MERCADO TE'!$U$31</f>
        <v>0</v>
      </c>
      <c r="J34" s="15"/>
      <c r="L34" s="26">
        <f>('TE BE'!$L$34+'TE BF'!$L$34+'TE CVA'!$L$34)*(1 - CUSTOS!$M$38)</f>
        <v>0</v>
      </c>
      <c r="M34" s="26">
        <f>('TE BE'!$M$34+'TE BF'!$M$34+'TE CVA'!$M$34)*(1 - CUSTOS!$M$38)</f>
        <v>0</v>
      </c>
      <c r="N34" s="26">
        <f>('TE BE'!$N$34+'TE BF'!$N$34+'TE CVA'!$N$34)*(1 - CUSTOS!$M$38)</f>
        <v>0</v>
      </c>
      <c r="O34" s="26">
        <f>('TE BE'!$O$34+'TE BF'!$O$34+'TE CVA'!$O$34)*(1 - CUSTOS!$M$38)</f>
        <v>0</v>
      </c>
      <c r="P34" s="26">
        <f>('TE BE'!$P$34+'TE BF'!$P$34+'TE CVA'!$P$34)*(1 - CUSTOS!$M$38)</f>
        <v>0</v>
      </c>
      <c r="Q34" s="26">
        <f>('TE BE'!$R$34+'TE BF'!$R$34+'TE CVA'!$R$34)*(1 - CUSTOS!$M$38)</f>
        <v>107.87938095628944</v>
      </c>
      <c r="R34" s="26">
        <f>('TE BE'!$T$34+'TE BF'!$T$34+'TE CVA'!$T$34)*(1 - CUSTOS!$M$38)</f>
        <v>0</v>
      </c>
      <c r="S34" s="26">
        <f>('TE BE'!$U$34+'TE BF'!$U$34+'TE CVA'!$U$34)*(1 - CUSTOS!$M$38)</f>
        <v>0</v>
      </c>
      <c r="T34" s="26">
        <f>('TE BE'!$V$34+'TE BF'!$V$34+'TE CVA'!$V$34)*(1 - CUSTOS!$M$38)</f>
        <v>0</v>
      </c>
      <c r="U34" s="26">
        <f>('TE BE'!$X$34+'TE BF'!$X$34+'TE CVA'!$X$34)*(1 - CUSTOS!$M$38)</f>
        <v>0</v>
      </c>
      <c r="V34" s="26">
        <f>('TE BE'!$Z$34+'TE BF'!$Z$34+'TE CVA'!$Z$34)*(1 - CUSTOS!$M$38)</f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117.894023000801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99"/>
      <c r="B35" s="99"/>
      <c r="C35" s="99"/>
      <c r="D35" s="28" t="s">
        <v>90</v>
      </c>
      <c r="E35" s="28" t="s">
        <v>25</v>
      </c>
      <c r="F35" s="28" t="s">
        <v>25</v>
      </c>
      <c r="G35" s="29" t="s">
        <v>80</v>
      </c>
      <c r="H35" s="29" t="s">
        <v>74</v>
      </c>
      <c r="I35" s="29">
        <f>'MERCADO TE'!$U$32</f>
        <v>0</v>
      </c>
      <c r="J35" s="15"/>
      <c r="L35" s="26">
        <f>('TE BE'!$L$35+'TE BF'!$L$35+'TE CVA'!$L$35)*(1 - CUSTOS!$M$39)</f>
        <v>0</v>
      </c>
      <c r="M35" s="26">
        <f>('TE BE'!$M$35+'TE BF'!$M$35+'TE CVA'!$M$35)*(1 - CUSTOS!$M$39)</f>
        <v>0</v>
      </c>
      <c r="N35" s="26">
        <f>('TE BE'!$N$35+'TE BF'!$N$35+'TE CVA'!$N$35)*(1 - CUSTOS!$M$39)</f>
        <v>0</v>
      </c>
      <c r="O35" s="26">
        <f>('TE BE'!$O$35+'TE BF'!$O$35+'TE CVA'!$O$35)*(1 - CUSTOS!$M$39)</f>
        <v>0</v>
      </c>
      <c r="P35" s="26">
        <f>('TE BE'!$P$35+'TE BF'!$P$35+'TE CVA'!$P$35)*(1 - CUSTOS!$M$39)</f>
        <v>0</v>
      </c>
      <c r="Q35" s="26">
        <f>('TE BE'!$R$35+'TE BF'!$R$35+'TE CVA'!$R$35)*(1 - CUSTOS!$M$39)</f>
        <v>107.87938095628944</v>
      </c>
      <c r="R35" s="26">
        <f>('TE BE'!$T$35+'TE BF'!$T$35+'TE CVA'!$T$35)*(1 - CUSTOS!$M$39)</f>
        <v>0</v>
      </c>
      <c r="S35" s="26">
        <f>('TE BE'!$U$35+'TE BF'!$U$35+'TE CVA'!$U$35)*(1 - CUSTOS!$M$39)</f>
        <v>0</v>
      </c>
      <c r="T35" s="26">
        <f>('TE BE'!$V$35+'TE BF'!$V$35+'TE CVA'!$V$35)*(1 - CUSTOS!$M$39)</f>
        <v>0</v>
      </c>
      <c r="U35" s="26">
        <f>('TE BE'!$X$35+'TE BF'!$X$35+'TE CVA'!$X$35)*(1 - CUSTOS!$M$39)</f>
        <v>0</v>
      </c>
      <c r="V35" s="26">
        <f>('TE BE'!$Z$35+'TE BF'!$Z$35+'TE CVA'!$Z$35)*(1 - CUSTOS!$M$39)</f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117.894023000801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99"/>
      <c r="B36" s="99"/>
      <c r="C36" s="99"/>
      <c r="D36" s="28" t="s">
        <v>91</v>
      </c>
      <c r="E36" s="28" t="s">
        <v>25</v>
      </c>
      <c r="F36" s="28" t="s">
        <v>25</v>
      </c>
      <c r="G36" s="29" t="s">
        <v>80</v>
      </c>
      <c r="H36" s="29" t="s">
        <v>74</v>
      </c>
      <c r="I36" s="29">
        <f>'MERCADO TE'!$U$33</f>
        <v>0</v>
      </c>
      <c r="J36" s="15"/>
      <c r="L36" s="26">
        <f>('TE BE'!$L$36+'TE BF'!$L$36+'TE CVA'!$L$36)*(1 - CUSTOS!$M$40)</f>
        <v>0</v>
      </c>
      <c r="M36" s="26">
        <f>('TE BE'!$M$36+'TE BF'!$M$36+'TE CVA'!$M$36)*(1 - CUSTOS!$M$40)</f>
        <v>0</v>
      </c>
      <c r="N36" s="26">
        <f>('TE BE'!$N$36+'TE BF'!$N$36+'TE CVA'!$N$36)*(1 - CUSTOS!$M$40)</f>
        <v>0</v>
      </c>
      <c r="O36" s="26">
        <f>('TE BE'!$O$36+'TE BF'!$O$36+'TE CVA'!$O$36)*(1 - CUSTOS!$M$40)</f>
        <v>0</v>
      </c>
      <c r="P36" s="26">
        <f>('TE BE'!$P$36+'TE BF'!$P$36+'TE CVA'!$P$36)*(1 - CUSTOS!$M$40)</f>
        <v>0</v>
      </c>
      <c r="Q36" s="26">
        <f>('TE BE'!$R$36+'TE BF'!$R$36+'TE CVA'!$R$36)*(1 - CUSTOS!$M$40)</f>
        <v>105.58407497849606</v>
      </c>
      <c r="R36" s="26">
        <f>('TE BE'!$T$36+'TE BF'!$T$36+'TE CVA'!$T$36)*(1 - CUSTOS!$M$40)</f>
        <v>0</v>
      </c>
      <c r="S36" s="26">
        <f>('TE BE'!$U$36+'TE BF'!$U$36+'TE CVA'!$U$36)*(1 - CUSTOS!$M$40)</f>
        <v>0</v>
      </c>
      <c r="T36" s="26">
        <f>('TE BE'!$V$36+'TE BF'!$V$36+'TE CVA'!$V$36)*(1 - CUSTOS!$M$40)</f>
        <v>0</v>
      </c>
      <c r="U36" s="26">
        <f>('TE BE'!$X$36+'TE BF'!$X$36+'TE CVA'!$X$36)*(1 - CUSTOS!$M$40)</f>
        <v>0</v>
      </c>
      <c r="V36" s="26">
        <f>('TE BE'!$Z$36+'TE BF'!$Z$36+'TE CVA'!$Z$36)*(1 - CUSTOS!$M$40)</f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112.535203773492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99" t="s">
        <v>33</v>
      </c>
      <c r="B37" s="99" t="s">
        <v>73</v>
      </c>
      <c r="C37" s="99" t="s">
        <v>25</v>
      </c>
      <c r="D37" s="99" t="s">
        <v>25</v>
      </c>
      <c r="E37" s="99" t="s">
        <v>25</v>
      </c>
      <c r="F37" s="99" t="s">
        <v>25</v>
      </c>
      <c r="G37" s="29" t="s">
        <v>75</v>
      </c>
      <c r="H37" s="29" t="s">
        <v>74</v>
      </c>
      <c r="I37" s="29">
        <f>'MERCADO TE'!$U$34</f>
        <v>0</v>
      </c>
      <c r="J37" s="15"/>
      <c r="L37" s="26">
        <f>('TE BE'!$L$37+'TE BF'!$L$37+'TE CVA'!$L$37)*1</f>
        <v>0</v>
      </c>
      <c r="M37" s="26">
        <f>('TE BE'!$M$37+'TE BF'!$M$37+'TE CVA'!$M$37)*1</f>
        <v>0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0</v>
      </c>
      <c r="Q37" s="26">
        <f>('TE BE'!$R$37+'TE BF'!$R$37+'TE CVA'!$R$37)*1</f>
        <v>114.76529888966962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133.97048068272801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99"/>
      <c r="B38" s="99"/>
      <c r="C38" s="99"/>
      <c r="D38" s="99"/>
      <c r="E38" s="99"/>
      <c r="F38" s="99"/>
      <c r="G38" s="29" t="s">
        <v>86</v>
      </c>
      <c r="H38" s="29" t="s">
        <v>74</v>
      </c>
      <c r="I38" s="29">
        <f>'MERCADO TE'!$U$35</f>
        <v>0</v>
      </c>
      <c r="J38" s="15"/>
      <c r="L38" s="26">
        <f>('TE BE'!$L$38+'TE BF'!$L$38+'TE CVA'!$L$38)*1</f>
        <v>0</v>
      </c>
      <c r="M38" s="26">
        <f>('TE BE'!$M$38+'TE BF'!$M$38+'TE CVA'!$M$38)*1</f>
        <v>0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0</v>
      </c>
      <c r="Q38" s="26">
        <f>('TE BE'!$R$38+'TE BF'!$R$38+'TE CVA'!$R$38)*1</f>
        <v>114.76529888966962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133.97048068272801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99"/>
      <c r="B39" s="99"/>
      <c r="C39" s="99"/>
      <c r="D39" s="99"/>
      <c r="E39" s="99"/>
      <c r="F39" s="99"/>
      <c r="G39" s="29" t="s">
        <v>76</v>
      </c>
      <c r="H39" s="29" t="s">
        <v>74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0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0</v>
      </c>
      <c r="Q39" s="26">
        <f>('TE BE'!$R$39+'TE BF'!$R$39+'TE CVA'!$R$39)*1</f>
        <v>114.76529888966962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133.97048068272801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99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80</v>
      </c>
      <c r="H40" s="29" t="s">
        <v>74</v>
      </c>
      <c r="I40" s="29">
        <f>'MERCADO TE'!$U$37</f>
        <v>21501.073</v>
      </c>
      <c r="J40" s="15"/>
      <c r="L40" s="26">
        <f>('TE BE'!$L$40+'TE BF'!$L$40+'TE CVA'!$L$40)*1</f>
        <v>0</v>
      </c>
      <c r="M40" s="26">
        <f>('TE BE'!$M$40+'TE BF'!$M$40+'TE CVA'!$M$40)*1</f>
        <v>0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0</v>
      </c>
      <c r="Q40" s="26">
        <f>('TE BE'!$R$40+'TE BF'!$R$40+'TE CVA'!$R$40)*1</f>
        <v>114.76529888966962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133.97048068272801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99"/>
      <c r="B41" s="28" t="s">
        <v>88</v>
      </c>
      <c r="C41" s="28" t="s">
        <v>25</v>
      </c>
      <c r="D41" s="28" t="s">
        <v>25</v>
      </c>
      <c r="E41" s="28" t="s">
        <v>25</v>
      </c>
      <c r="F41" s="28" t="s">
        <v>25</v>
      </c>
      <c r="G41" s="29" t="s">
        <v>80</v>
      </c>
      <c r="H41" s="29" t="s">
        <v>74</v>
      </c>
      <c r="I41" s="29">
        <f>'MERCADO TE'!$U$38</f>
        <v>0</v>
      </c>
      <c r="J41" s="15"/>
      <c r="L41" s="26">
        <f>('TE BE'!$L$41+'TE BF'!$L$41+'TE CVA'!$L$41)*1</f>
        <v>0</v>
      </c>
      <c r="M41" s="26">
        <f>('TE BE'!$M$41+'TE BF'!$M$41+'TE CVA'!$M$41)*1</f>
        <v>0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0</v>
      </c>
      <c r="Q41" s="26">
        <f>('TE BE'!$R$41+'TE BF'!$R$41+'TE CVA'!$R$41)*1</f>
        <v>114.76529888966962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133.97048068272801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2" spans="1:34" ht="11.25" customHeight="1" x14ac:dyDescent="0.25">
      <c r="A42" s="99" t="s">
        <v>45</v>
      </c>
      <c r="B42" s="99" t="s">
        <v>87</v>
      </c>
      <c r="C42" s="99" t="s">
        <v>46</v>
      </c>
      <c r="D42" s="28" t="s">
        <v>47</v>
      </c>
      <c r="E42" s="28" t="s">
        <v>25</v>
      </c>
      <c r="F42" s="28" t="s">
        <v>25</v>
      </c>
      <c r="G42" s="29" t="s">
        <v>80</v>
      </c>
      <c r="H42" s="29" t="s">
        <v>74</v>
      </c>
      <c r="I42" s="29">
        <f>'MERCADO TE'!$U$39</f>
        <v>10480.718000000001</v>
      </c>
      <c r="J42" s="15"/>
      <c r="L42" s="26">
        <f>('TE BE'!$L$42+'TE BF'!$L$42+'TE CVA'!$L$42)*1</f>
        <v>0</v>
      </c>
      <c r="M42" s="26">
        <f>('TE BE'!$M$42+'TE BF'!$M$42+'TE CVA'!$M$42)*1</f>
        <v>0</v>
      </c>
      <c r="N42" s="26">
        <f>('TE BE'!$N$42+'TE BF'!$N$42+'TE CVA'!$N$42)*1</f>
        <v>0</v>
      </c>
      <c r="O42" s="26">
        <f>('TE BE'!$O$42+'TE BF'!$O$42+'TE CVA'!$O$42)*1</f>
        <v>0</v>
      </c>
      <c r="P42" s="26">
        <f>('TE BE'!$P$42+'TE BF'!$P$42+'TE CVA'!$P$42)*1</f>
        <v>0</v>
      </c>
      <c r="Q42" s="26">
        <f>('TE BE'!$R$42+'TE BF'!$R$42+'TE CVA'!$R$42)*1</f>
        <v>63.120914389318308</v>
      </c>
      <c r="R42" s="26">
        <f>('TE BE'!$T$42+'TE BF'!$T$42+'TE CVA'!$T$42)*1</f>
        <v>0</v>
      </c>
      <c r="S42" s="26">
        <f>('TE BE'!$U$42+'TE BF'!$U$42+'TE CVA'!$U$42)*1</f>
        <v>0</v>
      </c>
      <c r="T42" s="26">
        <f>('TE BE'!$V$42+'TE BF'!$V$42+'TE CVA'!$V$42)*1</f>
        <v>0</v>
      </c>
      <c r="U42" s="26">
        <f>('TE BE'!$X$42+'TE BF'!$X$42+'TE CVA'!$X$42)*1</f>
        <v>0</v>
      </c>
      <c r="V42" s="26">
        <f>('TE BE'!$Z$42+'TE BF'!$Z$42+'TE CVA'!$Z$42)*1</f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73.683764375500502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</row>
    <row r="43" spans="1:34" ht="11.25" customHeight="1" x14ac:dyDescent="0.25">
      <c r="A43" s="99"/>
      <c r="B43" s="99"/>
      <c r="C43" s="99"/>
      <c r="D43" s="29" t="s">
        <v>92</v>
      </c>
      <c r="E43" s="29" t="s">
        <v>25</v>
      </c>
      <c r="F43" s="29" t="s">
        <v>25</v>
      </c>
      <c r="G43" s="29" t="s">
        <v>80</v>
      </c>
      <c r="H43" s="29" t="s">
        <v>74</v>
      </c>
      <c r="I43" s="29">
        <f>'MERCADO TE'!$U$40</f>
        <v>0</v>
      </c>
      <c r="J43" s="15"/>
      <c r="L43" s="26">
        <f>('TE BE'!$L$43+'TE BF'!$L$43+'TE CVA'!$L$43)*1</f>
        <v>0</v>
      </c>
      <c r="M43" s="26">
        <f>('TE BE'!$M$43+'TE BF'!$M$43+'TE CVA'!$M$43)*1</f>
        <v>0</v>
      </c>
      <c r="N43" s="26">
        <f>('TE BE'!$N$43+'TE BF'!$N$43+'TE CVA'!$N$43)*1</f>
        <v>0</v>
      </c>
      <c r="O43" s="26">
        <f>('TE BE'!$O$43+'TE BF'!$O$43+'TE CVA'!$O$43)*1</f>
        <v>0</v>
      </c>
      <c r="P43" s="26">
        <f>('TE BE'!$P$43+'TE BF'!$P$43+'TE CVA'!$P$43)*1</f>
        <v>0</v>
      </c>
      <c r="Q43" s="26">
        <f>('TE BE'!$R$43+'TE BF'!$R$43+'TE CVA'!$R$43)*1</f>
        <v>68.859179333801777</v>
      </c>
      <c r="R43" s="26">
        <f>('TE BE'!$T$43+'TE BF'!$T$43+'TE CVA'!$T$43)*1</f>
        <v>0</v>
      </c>
      <c r="S43" s="26">
        <f>('TE BE'!$U$43+'TE BF'!$U$43+'TE CVA'!$U$43)*1</f>
        <v>0</v>
      </c>
      <c r="T43" s="26">
        <f>('TE BE'!$V$43+'TE BF'!$V$43+'TE CVA'!$V$43)*1</f>
        <v>0</v>
      </c>
      <c r="U43" s="26">
        <f>('TE BE'!$X$43+'TE BF'!$X$43+'TE CVA'!$X$43)*1</f>
        <v>0</v>
      </c>
      <c r="V43" s="26">
        <f>('TE BE'!$Z$43+'TE BF'!$Z$43+'TE CVA'!$Z$43)*1</f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80.382288409636899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</row>
    <row r="45" spans="1:34" ht="11.25" customHeight="1" x14ac:dyDescent="0.25">
      <c r="L45" s="101" t="s">
        <v>930</v>
      </c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X45" s="101" t="s">
        <v>931</v>
      </c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</row>
    <row r="46" spans="1:34" ht="11.25" customHeight="1" x14ac:dyDescent="0.25">
      <c r="L46" s="101" t="s">
        <v>476</v>
      </c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X46" s="101" t="s">
        <v>476</v>
      </c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</row>
    <row r="47" spans="1:34" ht="11.25" customHeight="1" x14ac:dyDescent="0.25">
      <c r="L47" s="101" t="s">
        <v>449</v>
      </c>
      <c r="M47" s="101"/>
      <c r="N47" s="101"/>
      <c r="O47" s="101"/>
      <c r="P47" s="101"/>
      <c r="Q47" s="30" t="s">
        <v>480</v>
      </c>
      <c r="R47" s="101" t="s">
        <v>458</v>
      </c>
      <c r="S47" s="101"/>
      <c r="T47" s="101"/>
      <c r="U47" s="30" t="s">
        <v>468</v>
      </c>
      <c r="V47" s="30" t="s">
        <v>471</v>
      </c>
      <c r="X47" s="101" t="s">
        <v>449</v>
      </c>
      <c r="Y47" s="101"/>
      <c r="Z47" s="101"/>
      <c r="AA47" s="101"/>
      <c r="AB47" s="101"/>
      <c r="AC47" s="30" t="s">
        <v>480</v>
      </c>
      <c r="AD47" s="101" t="s">
        <v>458</v>
      </c>
      <c r="AE47" s="101"/>
      <c r="AF47" s="101"/>
      <c r="AG47" s="30" t="s">
        <v>468</v>
      </c>
      <c r="AH47" s="30" t="s">
        <v>471</v>
      </c>
    </row>
    <row r="48" spans="1:34" ht="11.25" customHeight="1" x14ac:dyDescent="0.25">
      <c r="L48" s="30" t="s">
        <v>451</v>
      </c>
      <c r="M48" s="30" t="s">
        <v>477</v>
      </c>
      <c r="N48" s="30" t="s">
        <v>478</v>
      </c>
      <c r="O48" s="30" t="s">
        <v>537</v>
      </c>
      <c r="P48" s="30" t="s">
        <v>479</v>
      </c>
      <c r="Q48" s="30" t="s">
        <v>481</v>
      </c>
      <c r="R48" s="30" t="s">
        <v>482</v>
      </c>
      <c r="S48" s="30" t="s">
        <v>483</v>
      </c>
      <c r="T48" s="30" t="s">
        <v>484</v>
      </c>
      <c r="U48" s="30" t="s">
        <v>469</v>
      </c>
      <c r="V48" s="30" t="s">
        <v>485</v>
      </c>
      <c r="X48" s="30" t="s">
        <v>451</v>
      </c>
      <c r="Y48" s="30" t="s">
        <v>477</v>
      </c>
      <c r="Z48" s="30" t="s">
        <v>478</v>
      </c>
      <c r="AA48" s="30" t="s">
        <v>537</v>
      </c>
      <c r="AB48" s="30" t="s">
        <v>479</v>
      </c>
      <c r="AC48" s="30" t="s">
        <v>481</v>
      </c>
      <c r="AD48" s="30" t="s">
        <v>482</v>
      </c>
      <c r="AE48" s="30" t="s">
        <v>483</v>
      </c>
      <c r="AF48" s="30" t="s">
        <v>484</v>
      </c>
      <c r="AG48" s="30" t="s">
        <v>469</v>
      </c>
      <c r="AH48" s="30" t="s">
        <v>485</v>
      </c>
    </row>
    <row r="49" spans="1:34" ht="11.25" customHeight="1" x14ac:dyDescent="0.25">
      <c r="A49" s="9" t="s">
        <v>35</v>
      </c>
      <c r="B49" s="9" t="s">
        <v>932</v>
      </c>
      <c r="C49" s="9" t="s">
        <v>933</v>
      </c>
      <c r="D49" s="9" t="s">
        <v>934</v>
      </c>
      <c r="E49" s="9" t="s">
        <v>935</v>
      </c>
      <c r="F49" s="9" t="s">
        <v>936</v>
      </c>
      <c r="G49" s="9" t="s">
        <v>937</v>
      </c>
      <c r="L49" s="26">
        <f>$I$5*$L$5</f>
        <v>0</v>
      </c>
      <c r="M49" s="26">
        <f>$I$5*$M$5</f>
        <v>0</v>
      </c>
      <c r="N49" s="26">
        <f>$I$5*$N$5</f>
        <v>0</v>
      </c>
      <c r="O49" s="26">
        <f>$I$5*$O$5</f>
        <v>0</v>
      </c>
      <c r="P49" s="26">
        <f>$I$5*$P$5</f>
        <v>0</v>
      </c>
      <c r="Q49" s="26">
        <f>$I$5*$Q$5</f>
        <v>135337.32301153956</v>
      </c>
      <c r="R49" s="26">
        <f>$I$5*$R$5</f>
        <v>0</v>
      </c>
      <c r="S49" s="26">
        <f>$I$5*$S$5</f>
        <v>0</v>
      </c>
      <c r="T49" s="26">
        <f>$I$5*$T$5</f>
        <v>0</v>
      </c>
      <c r="U49" s="26">
        <f>$I$5*$U$5</f>
        <v>0</v>
      </c>
      <c r="V49" s="26">
        <f>$I$5*$V$5</f>
        <v>0</v>
      </c>
      <c r="X49" s="26">
        <f>$I$5*$X$5</f>
        <v>0</v>
      </c>
      <c r="Y49" s="26">
        <f>$I$5*$Y$5</f>
        <v>0</v>
      </c>
      <c r="Z49" s="26">
        <f>$I$5*$Z$5</f>
        <v>0</v>
      </c>
      <c r="AA49" s="26">
        <f>$I$5*$AA$5</f>
        <v>0</v>
      </c>
      <c r="AB49" s="26">
        <f>$I$5*$AB$5</f>
        <v>0</v>
      </c>
      <c r="AC49" s="26">
        <f>$I$5*$AC$5</f>
        <v>157985.09125654906</v>
      </c>
      <c r="AD49" s="26">
        <f>$I$5*$AD$5</f>
        <v>0</v>
      </c>
      <c r="AE49" s="26">
        <f>$I$5*$AE$5</f>
        <v>0</v>
      </c>
      <c r="AF49" s="26">
        <f>$I$5*$AF$5</f>
        <v>0</v>
      </c>
      <c r="AG49" s="26">
        <f>$I$5*$AG$5</f>
        <v>0</v>
      </c>
      <c r="AH49" s="26">
        <f>$I$5*$AH$5</f>
        <v>0</v>
      </c>
    </row>
    <row r="50" spans="1:34" ht="11.25" customHeight="1" x14ac:dyDescent="0.25">
      <c r="A50" s="9" t="s">
        <v>35</v>
      </c>
      <c r="B50" s="9" t="s">
        <v>932</v>
      </c>
      <c r="C50" s="9" t="s">
        <v>933</v>
      </c>
      <c r="D50" s="9" t="s">
        <v>934</v>
      </c>
      <c r="E50" s="9" t="s">
        <v>935</v>
      </c>
      <c r="F50" s="9" t="s">
        <v>936</v>
      </c>
      <c r="G50" s="9" t="s">
        <v>938</v>
      </c>
      <c r="L50" s="26">
        <f>$I$6*$L$6</f>
        <v>0</v>
      </c>
      <c r="M50" s="26">
        <f>$I$6*$M$6</f>
        <v>0</v>
      </c>
      <c r="N50" s="26">
        <f>$I$6*$N$6</f>
        <v>0</v>
      </c>
      <c r="O50" s="26">
        <f>$I$6*$O$6</f>
        <v>0</v>
      </c>
      <c r="P50" s="26">
        <f>$I$6*$P$6</f>
        <v>0</v>
      </c>
      <c r="Q50" s="26">
        <f>$I$6*$Q$6</f>
        <v>1397856.1451997329</v>
      </c>
      <c r="R50" s="26">
        <f>$I$6*$R$6</f>
        <v>0</v>
      </c>
      <c r="S50" s="26">
        <f>$I$6*$S$6</f>
        <v>0</v>
      </c>
      <c r="T50" s="26">
        <f>$I$6*$T$6</f>
        <v>0</v>
      </c>
      <c r="U50" s="26">
        <f>$I$6*$U$6</f>
        <v>0</v>
      </c>
      <c r="V50" s="26">
        <f>$I$6*$V$6</f>
        <v>0</v>
      </c>
      <c r="X50" s="26">
        <f>$I$6*$X$6</f>
        <v>0</v>
      </c>
      <c r="Y50" s="26">
        <f>$I$6*$Y$6</f>
        <v>0</v>
      </c>
      <c r="Z50" s="26">
        <f>$I$6*$Z$6</f>
        <v>0</v>
      </c>
      <c r="AA50" s="26">
        <f>$I$6*$AA$6</f>
        <v>0</v>
      </c>
      <c r="AB50" s="26">
        <f>$I$6*$AB$6</f>
        <v>0</v>
      </c>
      <c r="AC50" s="26">
        <f>$I$6*$AC$6</f>
        <v>1631777.7369076353</v>
      </c>
      <c r="AD50" s="26">
        <f>$I$6*$AD$6</f>
        <v>0</v>
      </c>
      <c r="AE50" s="26">
        <f>$I$6*$AE$6</f>
        <v>0</v>
      </c>
      <c r="AF50" s="26">
        <f>$I$6*$AF$6</f>
        <v>0</v>
      </c>
      <c r="AG50" s="26">
        <f>$I$6*$AG$6</f>
        <v>0</v>
      </c>
      <c r="AH50" s="26">
        <f>$I$6*$AH$6</f>
        <v>0</v>
      </c>
    </row>
    <row r="51" spans="1:34" ht="11.25" customHeight="1" x14ac:dyDescent="0.25">
      <c r="A51" s="9" t="s">
        <v>39</v>
      </c>
      <c r="B51" s="9" t="s">
        <v>939</v>
      </c>
      <c r="C51" s="9" t="s">
        <v>940</v>
      </c>
      <c r="D51" s="9" t="s">
        <v>941</v>
      </c>
      <c r="E51" s="9" t="s">
        <v>942</v>
      </c>
      <c r="F51" s="9" t="s">
        <v>943</v>
      </c>
      <c r="G51" s="9" t="s">
        <v>944</v>
      </c>
      <c r="L51" s="26">
        <f>$I$7*$L$7</f>
        <v>0</v>
      </c>
      <c r="M51" s="26">
        <f>$I$7*$M$7</f>
        <v>0</v>
      </c>
      <c r="N51" s="26">
        <f>$I$7*$N$7</f>
        <v>0</v>
      </c>
      <c r="O51" s="26">
        <f>$I$7*$O$7</f>
        <v>0</v>
      </c>
      <c r="P51" s="26">
        <f>$I$7*$P$7</f>
        <v>0</v>
      </c>
      <c r="Q51" s="26">
        <f>$I$7*$Q$7</f>
        <v>1689230.3195917481</v>
      </c>
      <c r="R51" s="26">
        <f>$I$7*$R$7</f>
        <v>0</v>
      </c>
      <c r="S51" s="26">
        <f>$I$7*$S$7</f>
        <v>0</v>
      </c>
      <c r="T51" s="26">
        <f>$I$7*$T$7</f>
        <v>0</v>
      </c>
      <c r="U51" s="26">
        <f>$I$7*$U$7</f>
        <v>0</v>
      </c>
      <c r="V51" s="26">
        <f>$I$7*$V$7</f>
        <v>0</v>
      </c>
      <c r="X51" s="26">
        <f>$I$7*$X$7</f>
        <v>0</v>
      </c>
      <c r="Y51" s="26">
        <f>$I$7*$Y$7</f>
        <v>0</v>
      </c>
      <c r="Z51" s="26">
        <f>$I$7*$Z$7</f>
        <v>0</v>
      </c>
      <c r="AA51" s="26">
        <f>$I$7*$AA$7</f>
        <v>0</v>
      </c>
      <c r="AB51" s="26">
        <f>$I$7*$AB$7</f>
        <v>0</v>
      </c>
      <c r="AC51" s="26">
        <f>$I$7*$AC$7</f>
        <v>1971911.3711985927</v>
      </c>
      <c r="AD51" s="26">
        <f>$I$7*$AD$7</f>
        <v>0</v>
      </c>
      <c r="AE51" s="26">
        <f>$I$7*$AE$7</f>
        <v>0</v>
      </c>
      <c r="AF51" s="26">
        <f>$I$7*$AF$7</f>
        <v>0</v>
      </c>
      <c r="AG51" s="26">
        <f>$I$7*$AG$7</f>
        <v>0</v>
      </c>
      <c r="AH51" s="26">
        <f>$I$7*$AH$7</f>
        <v>0</v>
      </c>
    </row>
    <row r="52" spans="1:34" ht="11.25" customHeight="1" x14ac:dyDescent="0.25">
      <c r="A52" s="9" t="s">
        <v>39</v>
      </c>
      <c r="B52" s="9" t="s">
        <v>939</v>
      </c>
      <c r="C52" s="9" t="s">
        <v>940</v>
      </c>
      <c r="D52" s="9" t="s">
        <v>941</v>
      </c>
      <c r="E52" s="9" t="s">
        <v>942</v>
      </c>
      <c r="F52" s="9" t="s">
        <v>943</v>
      </c>
      <c r="G52" s="9" t="s">
        <v>945</v>
      </c>
      <c r="L52" s="26">
        <f>$I$8*$L$8</f>
        <v>0</v>
      </c>
      <c r="M52" s="26">
        <f>$I$8*$M$8</f>
        <v>0</v>
      </c>
      <c r="N52" s="26">
        <f>$I$8*$N$8</f>
        <v>0</v>
      </c>
      <c r="O52" s="26">
        <f>$I$8*$O$8</f>
        <v>0</v>
      </c>
      <c r="P52" s="26">
        <f>$I$8*$P$8</f>
        <v>0</v>
      </c>
      <c r="Q52" s="26">
        <f>$I$8*$Q$8</f>
        <v>23038571.40213662</v>
      </c>
      <c r="R52" s="26">
        <f>$I$8*$R$8</f>
        <v>0</v>
      </c>
      <c r="S52" s="26">
        <f>$I$8*$S$8</f>
        <v>0</v>
      </c>
      <c r="T52" s="26">
        <f>$I$8*$T$8</f>
        <v>0</v>
      </c>
      <c r="U52" s="26">
        <f>$I$8*$U$8</f>
        <v>0</v>
      </c>
      <c r="V52" s="26">
        <f>$I$8*$V$8</f>
        <v>0</v>
      </c>
      <c r="X52" s="26">
        <f>$I$8*$X$8</f>
        <v>0</v>
      </c>
      <c r="Y52" s="26">
        <f>$I$8*$Y$8</f>
        <v>0</v>
      </c>
      <c r="Z52" s="26">
        <f>$I$8*$Z$8</f>
        <v>0</v>
      </c>
      <c r="AA52" s="26">
        <f>$I$8*$AA$8</f>
        <v>0</v>
      </c>
      <c r="AB52" s="26">
        <f>$I$8*$AB$8</f>
        <v>0</v>
      </c>
      <c r="AC52" s="26">
        <f>$I$8*$AC$8</f>
        <v>26893917.541702308</v>
      </c>
      <c r="AD52" s="26">
        <f>$I$8*$AD$8</f>
        <v>0</v>
      </c>
      <c r="AE52" s="26">
        <f>$I$8*$AE$8</f>
        <v>0</v>
      </c>
      <c r="AF52" s="26">
        <f>$I$8*$AF$8</f>
        <v>0</v>
      </c>
      <c r="AG52" s="26">
        <f>$I$8*$AG$8</f>
        <v>0</v>
      </c>
      <c r="AH52" s="26">
        <f>$I$8*$AH$8</f>
        <v>0</v>
      </c>
    </row>
    <row r="53" spans="1:34" ht="11.25" customHeight="1" x14ac:dyDescent="0.25">
      <c r="A53" s="9" t="s">
        <v>22</v>
      </c>
      <c r="B53" s="9" t="s">
        <v>946</v>
      </c>
      <c r="C53" s="9" t="s">
        <v>947</v>
      </c>
      <c r="D53" s="9" t="s">
        <v>948</v>
      </c>
      <c r="E53" s="9" t="s">
        <v>949</v>
      </c>
      <c r="F53" s="9" t="s">
        <v>950</v>
      </c>
      <c r="G53" s="9" t="s">
        <v>951</v>
      </c>
      <c r="L53" s="26">
        <f>$I$9*$L$9</f>
        <v>0</v>
      </c>
      <c r="M53" s="26">
        <f>$I$9*$M$9</f>
        <v>0</v>
      </c>
      <c r="N53" s="26">
        <f>$I$9*$N$9</f>
        <v>0</v>
      </c>
      <c r="O53" s="26">
        <f>$I$9*$O$9</f>
        <v>0</v>
      </c>
      <c r="P53" s="26">
        <f>$I$9*$P$9</f>
        <v>0</v>
      </c>
      <c r="Q53" s="26">
        <f>$I$9*$Q$9</f>
        <v>17.673856029009123</v>
      </c>
      <c r="R53" s="26">
        <f>$I$9*$R$9</f>
        <v>0</v>
      </c>
      <c r="S53" s="26">
        <f>$I$9*$S$9</f>
        <v>0</v>
      </c>
      <c r="T53" s="26">
        <f>$I$9*$T$9</f>
        <v>0</v>
      </c>
      <c r="U53" s="26">
        <f>$I$9*$U$9</f>
        <v>0</v>
      </c>
      <c r="V53" s="26">
        <f>$I$9*$V$9</f>
        <v>0</v>
      </c>
      <c r="X53" s="26">
        <f>$I$9*$X$9</f>
        <v>0</v>
      </c>
      <c r="Y53" s="26">
        <f>$I$9*$Y$9</f>
        <v>0</v>
      </c>
      <c r="Z53" s="26">
        <f>$I$9*$Z$9</f>
        <v>0</v>
      </c>
      <c r="AA53" s="26">
        <f>$I$9*$AA$9</f>
        <v>0</v>
      </c>
      <c r="AB53" s="26">
        <f>$I$9*$AB$9</f>
        <v>0</v>
      </c>
      <c r="AC53" s="26">
        <f>$I$9*$AC$9</f>
        <v>20.631454025140112</v>
      </c>
      <c r="AD53" s="26">
        <f>$I$9*$AD$9</f>
        <v>0</v>
      </c>
      <c r="AE53" s="26">
        <f>$I$9*$AE$9</f>
        <v>0</v>
      </c>
      <c r="AF53" s="26">
        <f>$I$9*$AF$9</f>
        <v>0</v>
      </c>
      <c r="AG53" s="26">
        <f>$I$9*$AG$9</f>
        <v>0</v>
      </c>
      <c r="AH53" s="26">
        <f>$I$9*$AH$9</f>
        <v>0</v>
      </c>
    </row>
    <row r="54" spans="1:34" ht="11.25" customHeight="1" x14ac:dyDescent="0.25">
      <c r="A54" s="9" t="s">
        <v>22</v>
      </c>
      <c r="B54" s="9" t="s">
        <v>946</v>
      </c>
      <c r="C54" s="9" t="s">
        <v>947</v>
      </c>
      <c r="D54" s="9" t="s">
        <v>948</v>
      </c>
      <c r="E54" s="9" t="s">
        <v>949</v>
      </c>
      <c r="F54" s="9" t="s">
        <v>950</v>
      </c>
      <c r="G54" s="9" t="s">
        <v>952</v>
      </c>
      <c r="L54" s="26">
        <f>$I$10*$L$10</f>
        <v>0</v>
      </c>
      <c r="M54" s="26">
        <f>$I$10*$M$10</f>
        <v>0</v>
      </c>
      <c r="N54" s="26">
        <f>$I$10*$N$10</f>
        <v>0</v>
      </c>
      <c r="O54" s="26">
        <f>$I$10*$O$10</f>
        <v>0</v>
      </c>
      <c r="P54" s="26">
        <f>$I$10*$P$10</f>
        <v>0</v>
      </c>
      <c r="Q54" s="26">
        <f>$I$10*$Q$10</f>
        <v>9.869815704511586</v>
      </c>
      <c r="R54" s="26">
        <f>$I$10*$R$10</f>
        <v>0</v>
      </c>
      <c r="S54" s="26">
        <f>$I$10*$S$10</f>
        <v>0</v>
      </c>
      <c r="T54" s="26">
        <f>$I$10*$T$10</f>
        <v>0</v>
      </c>
      <c r="U54" s="26">
        <f>$I$10*$U$10</f>
        <v>0</v>
      </c>
      <c r="V54" s="26">
        <f>$I$10*$V$10</f>
        <v>0</v>
      </c>
      <c r="X54" s="26">
        <f>$I$10*$X$10</f>
        <v>0</v>
      </c>
      <c r="Y54" s="26">
        <f>$I$10*$Y$10</f>
        <v>0</v>
      </c>
      <c r="Z54" s="26">
        <f>$I$10*$Z$10</f>
        <v>0</v>
      </c>
      <c r="AA54" s="26">
        <f>$I$10*$AA$10</f>
        <v>0</v>
      </c>
      <c r="AB54" s="26">
        <f>$I$10*$AB$10</f>
        <v>0</v>
      </c>
      <c r="AC54" s="26">
        <f>$I$10*$AC$10</f>
        <v>11.521461338714609</v>
      </c>
      <c r="AD54" s="26">
        <f>$I$10*$AD$10</f>
        <v>0</v>
      </c>
      <c r="AE54" s="26">
        <f>$I$10*$AE$10</f>
        <v>0</v>
      </c>
      <c r="AF54" s="26">
        <f>$I$10*$AF$10</f>
        <v>0</v>
      </c>
      <c r="AG54" s="26">
        <f>$I$10*$AG$10</f>
        <v>0</v>
      </c>
      <c r="AH54" s="26">
        <f>$I$10*$AH$10</f>
        <v>0</v>
      </c>
    </row>
    <row r="55" spans="1:34" ht="11.25" customHeight="1" x14ac:dyDescent="0.25">
      <c r="A55" s="9" t="s">
        <v>22</v>
      </c>
      <c r="B55" s="9" t="s">
        <v>946</v>
      </c>
      <c r="C55" s="9" t="s">
        <v>947</v>
      </c>
      <c r="D55" s="9" t="s">
        <v>948</v>
      </c>
      <c r="E55" s="9" t="s">
        <v>949</v>
      </c>
      <c r="F55" s="9" t="s">
        <v>950</v>
      </c>
      <c r="G55" s="9" t="s">
        <v>953</v>
      </c>
      <c r="L55" s="26">
        <f>$I$11*$L$11</f>
        <v>0</v>
      </c>
      <c r="M55" s="26">
        <f>$I$11*$M$11</f>
        <v>0</v>
      </c>
      <c r="N55" s="26">
        <f>$I$11*$N$11</f>
        <v>0</v>
      </c>
      <c r="O55" s="26">
        <f>$I$11*$O$11</f>
        <v>0</v>
      </c>
      <c r="P55" s="26">
        <f>$I$11*$P$11</f>
        <v>0</v>
      </c>
      <c r="Q55" s="26">
        <f>$I$11*$Q$11</f>
        <v>109.14179924407581</v>
      </c>
      <c r="R55" s="26">
        <f>$I$11*$R$11</f>
        <v>0</v>
      </c>
      <c r="S55" s="26">
        <f>$I$11*$S$11</f>
        <v>0</v>
      </c>
      <c r="T55" s="26">
        <f>$I$11*$T$11</f>
        <v>0</v>
      </c>
      <c r="U55" s="26">
        <f>$I$11*$U$11</f>
        <v>0</v>
      </c>
      <c r="V55" s="26">
        <f>$I$11*$V$11</f>
        <v>0</v>
      </c>
      <c r="X55" s="26">
        <f>$I$11*$X$11</f>
        <v>0</v>
      </c>
      <c r="Y55" s="26">
        <f>$I$11*$Y$11</f>
        <v>0</v>
      </c>
      <c r="Z55" s="26">
        <f>$I$11*$Z$11</f>
        <v>0</v>
      </c>
      <c r="AA55" s="26">
        <f>$I$11*$AA$11</f>
        <v>0</v>
      </c>
      <c r="AB55" s="26">
        <f>$I$11*$AB$11</f>
        <v>0</v>
      </c>
      <c r="AC55" s="26">
        <f>$I$11*$AC$11</f>
        <v>127.40592712927433</v>
      </c>
      <c r="AD55" s="26">
        <f>$I$11*$AD$11</f>
        <v>0</v>
      </c>
      <c r="AE55" s="26">
        <f>$I$11*$AE$11</f>
        <v>0</v>
      </c>
      <c r="AF55" s="26">
        <f>$I$11*$AF$11</f>
        <v>0</v>
      </c>
      <c r="AG55" s="26">
        <f>$I$11*$AG$11</f>
        <v>0</v>
      </c>
      <c r="AH55" s="26">
        <f>$I$11*$AH$11</f>
        <v>0</v>
      </c>
    </row>
    <row r="56" spans="1:34" ht="11.25" customHeight="1" x14ac:dyDescent="0.25">
      <c r="A56" s="9" t="s">
        <v>22</v>
      </c>
      <c r="B56" s="9" t="s">
        <v>954</v>
      </c>
      <c r="C56" s="9" t="s">
        <v>955</v>
      </c>
      <c r="D56" s="9" t="s">
        <v>956</v>
      </c>
      <c r="E56" s="9" t="s">
        <v>957</v>
      </c>
      <c r="F56" s="9" t="s">
        <v>958</v>
      </c>
      <c r="G56" s="9" t="s">
        <v>959</v>
      </c>
      <c r="L56" s="26">
        <f>$I$12*$L$12</f>
        <v>0</v>
      </c>
      <c r="M56" s="26">
        <f>$I$12*$M$12</f>
        <v>0</v>
      </c>
      <c r="N56" s="26">
        <f>$I$12*$N$12</f>
        <v>0</v>
      </c>
      <c r="O56" s="26">
        <f>$I$12*$O$12</f>
        <v>0</v>
      </c>
      <c r="P56" s="26">
        <f>$I$12*$P$12</f>
        <v>0</v>
      </c>
      <c r="Q56" s="26">
        <f>$I$12*$Q$12</f>
        <v>6718645.5592384031</v>
      </c>
      <c r="R56" s="26">
        <f>$I$12*$R$12</f>
        <v>0</v>
      </c>
      <c r="S56" s="26">
        <f>$I$12*$S$12</f>
        <v>0</v>
      </c>
      <c r="T56" s="26">
        <f>$I$12*$T$12</f>
        <v>0</v>
      </c>
      <c r="U56" s="26">
        <f>$I$12*$U$12</f>
        <v>0</v>
      </c>
      <c r="V56" s="26">
        <f>$I$12*$V$12</f>
        <v>0</v>
      </c>
      <c r="X56" s="26">
        <f>$I$12*$X$12</f>
        <v>0</v>
      </c>
      <c r="Y56" s="26">
        <f>$I$12*$Y$12</f>
        <v>0</v>
      </c>
      <c r="Z56" s="26">
        <f>$I$12*$Z$12</f>
        <v>0</v>
      </c>
      <c r="AA56" s="26">
        <f>$I$12*$AA$12</f>
        <v>0</v>
      </c>
      <c r="AB56" s="26">
        <f>$I$12*$AB$12</f>
        <v>0</v>
      </c>
      <c r="AC56" s="26">
        <f>$I$12*$AC$12</f>
        <v>7842964.587870433</v>
      </c>
      <c r="AD56" s="26">
        <f>$I$12*$AD$12</f>
        <v>0</v>
      </c>
      <c r="AE56" s="26">
        <f>$I$12*$AE$12</f>
        <v>0</v>
      </c>
      <c r="AF56" s="26">
        <f>$I$12*$AF$12</f>
        <v>0</v>
      </c>
      <c r="AG56" s="26">
        <f>$I$12*$AG$12</f>
        <v>0</v>
      </c>
      <c r="AH56" s="26">
        <f>$I$12*$AH$12</f>
        <v>0</v>
      </c>
    </row>
    <row r="57" spans="1:34" ht="11.25" customHeight="1" x14ac:dyDescent="0.25">
      <c r="A57" s="9" t="s">
        <v>22</v>
      </c>
      <c r="B57" s="9" t="s">
        <v>954</v>
      </c>
      <c r="C57" s="9" t="s">
        <v>955</v>
      </c>
      <c r="D57" s="9" t="s">
        <v>960</v>
      </c>
      <c r="E57" s="9" t="s">
        <v>961</v>
      </c>
      <c r="F57" s="9" t="s">
        <v>962</v>
      </c>
      <c r="G57" s="9" t="s">
        <v>963</v>
      </c>
      <c r="L57" s="26">
        <f>$I$13*$L$13</f>
        <v>0</v>
      </c>
      <c r="M57" s="26">
        <f>$I$13*$M$13</f>
        <v>0</v>
      </c>
      <c r="N57" s="26">
        <f>$I$13*$N$13</f>
        <v>0</v>
      </c>
      <c r="O57" s="26">
        <f>$I$13*$O$13</f>
        <v>0</v>
      </c>
      <c r="P57" s="26">
        <f>$I$13*$P$13</f>
        <v>0</v>
      </c>
      <c r="Q57" s="26">
        <f>$I$13*$Q$13</f>
        <v>8412.5546305352836</v>
      </c>
      <c r="R57" s="26">
        <f>$I$13*$R$13</f>
        <v>0</v>
      </c>
      <c r="S57" s="26">
        <f>$I$13*$S$13</f>
        <v>0</v>
      </c>
      <c r="T57" s="26">
        <f>$I$13*$T$13</f>
        <v>0</v>
      </c>
      <c r="U57" s="26">
        <f>$I$13*$U$13</f>
        <v>0</v>
      </c>
      <c r="V57" s="26">
        <f>$I$13*$V$13</f>
        <v>0</v>
      </c>
      <c r="X57" s="26">
        <f>$I$13*$X$13</f>
        <v>0</v>
      </c>
      <c r="Y57" s="26">
        <f>$I$13*$Y$13</f>
        <v>0</v>
      </c>
      <c r="Z57" s="26">
        <f>$I$13*$Z$13</f>
        <v>0</v>
      </c>
      <c r="AA57" s="26">
        <f>$I$13*$AA$13</f>
        <v>0</v>
      </c>
      <c r="AB57" s="26">
        <f>$I$13*$AB$13</f>
        <v>0</v>
      </c>
      <c r="AC57" s="26">
        <f>$I$13*$AC$13</f>
        <v>9820.3376676254975</v>
      </c>
      <c r="AD57" s="26">
        <f>$I$13*$AD$13</f>
        <v>0</v>
      </c>
      <c r="AE57" s="26">
        <f>$I$13*$AE$13</f>
        <v>0</v>
      </c>
      <c r="AF57" s="26">
        <f>$I$13*$AF$13</f>
        <v>0</v>
      </c>
      <c r="AG57" s="26">
        <f>$I$13*$AG$13</f>
        <v>0</v>
      </c>
      <c r="AH57" s="26">
        <f>$I$13*$AH$13</f>
        <v>0</v>
      </c>
    </row>
    <row r="58" spans="1:34" ht="11.25" customHeight="1" x14ac:dyDescent="0.25">
      <c r="A58" s="9" t="s">
        <v>22</v>
      </c>
      <c r="B58" s="9" t="s">
        <v>954</v>
      </c>
      <c r="C58" s="9" t="s">
        <v>955</v>
      </c>
      <c r="D58" s="9" t="s">
        <v>964</v>
      </c>
      <c r="E58" s="9" t="s">
        <v>965</v>
      </c>
      <c r="F58" s="9" t="s">
        <v>966</v>
      </c>
      <c r="G58" s="9" t="s">
        <v>967</v>
      </c>
      <c r="L58" s="26">
        <f>$I$14*$L$14</f>
        <v>0</v>
      </c>
      <c r="M58" s="26">
        <f>$I$14*$M$14</f>
        <v>0</v>
      </c>
      <c r="N58" s="26">
        <f>$I$14*$N$14</f>
        <v>0</v>
      </c>
      <c r="O58" s="26">
        <f>$I$14*$O$14</f>
        <v>0</v>
      </c>
      <c r="P58" s="26">
        <f>$I$14*$P$14</f>
        <v>0</v>
      </c>
      <c r="Q58" s="26">
        <f>$I$14*$Q$14</f>
        <v>31007.219594831608</v>
      </c>
      <c r="R58" s="26">
        <f>$I$14*$R$14</f>
        <v>0</v>
      </c>
      <c r="S58" s="26">
        <f>$I$14*$S$14</f>
        <v>0</v>
      </c>
      <c r="T58" s="26">
        <f>$I$14*$T$14</f>
        <v>0</v>
      </c>
      <c r="U58" s="26">
        <f>$I$14*$U$14</f>
        <v>0</v>
      </c>
      <c r="V58" s="26">
        <f>$I$14*$V$14</f>
        <v>0</v>
      </c>
      <c r="X58" s="26">
        <f>$I$14*$X$14</f>
        <v>0</v>
      </c>
      <c r="Y58" s="26">
        <f>$I$14*$Y$14</f>
        <v>0</v>
      </c>
      <c r="Z58" s="26">
        <f>$I$14*$Z$14</f>
        <v>0</v>
      </c>
      <c r="AA58" s="26">
        <f>$I$14*$AA$14</f>
        <v>0</v>
      </c>
      <c r="AB58" s="26">
        <f>$I$14*$AB$14</f>
        <v>0</v>
      </c>
      <c r="AC58" s="26">
        <f>$I$14*$AC$14</f>
        <v>36196.064088571089</v>
      </c>
      <c r="AD58" s="26">
        <f>$I$14*$AD$14</f>
        <v>0</v>
      </c>
      <c r="AE58" s="26">
        <f>$I$14*$AE$14</f>
        <v>0</v>
      </c>
      <c r="AF58" s="26">
        <f>$I$14*$AF$14</f>
        <v>0</v>
      </c>
      <c r="AG58" s="26">
        <f>$I$14*$AG$14</f>
        <v>0</v>
      </c>
      <c r="AH58" s="26">
        <f>$I$14*$AH$14</f>
        <v>0</v>
      </c>
    </row>
    <row r="59" spans="1:34" ht="11.25" customHeight="1" x14ac:dyDescent="0.25">
      <c r="A59" s="9" t="s">
        <v>22</v>
      </c>
      <c r="B59" s="9" t="s">
        <v>954</v>
      </c>
      <c r="C59" s="9" t="s">
        <v>955</v>
      </c>
      <c r="D59" s="9" t="s">
        <v>968</v>
      </c>
      <c r="E59" s="9" t="s">
        <v>969</v>
      </c>
      <c r="F59" s="9" t="s">
        <v>970</v>
      </c>
      <c r="G59" s="9" t="s">
        <v>971</v>
      </c>
      <c r="L59" s="26">
        <f>$I$15*$L$15</f>
        <v>0</v>
      </c>
      <c r="M59" s="26">
        <f>$I$15*$M$15</f>
        <v>0</v>
      </c>
      <c r="N59" s="26">
        <f>$I$15*$N$15</f>
        <v>0</v>
      </c>
      <c r="O59" s="26">
        <f>$I$15*$O$15</f>
        <v>0</v>
      </c>
      <c r="P59" s="26">
        <f>$I$15*$P$15</f>
        <v>0</v>
      </c>
      <c r="Q59" s="26">
        <f>$I$15*$Q$15</f>
        <v>53141.76178455451</v>
      </c>
      <c r="R59" s="26">
        <f>$I$15*$R$15</f>
        <v>0</v>
      </c>
      <c r="S59" s="26">
        <f>$I$15*$S$15</f>
        <v>0</v>
      </c>
      <c r="T59" s="26">
        <f>$I$15*$T$15</f>
        <v>0</v>
      </c>
      <c r="U59" s="26">
        <f>$I$15*$U$15</f>
        <v>0</v>
      </c>
      <c r="V59" s="26">
        <f>$I$15*$V$15</f>
        <v>0</v>
      </c>
      <c r="X59" s="26">
        <f>$I$15*$X$15</f>
        <v>0</v>
      </c>
      <c r="Y59" s="26">
        <f>$I$15*$Y$15</f>
        <v>0</v>
      </c>
      <c r="Z59" s="26">
        <f>$I$15*$Z$15</f>
        <v>0</v>
      </c>
      <c r="AA59" s="26">
        <f>$I$15*$AA$15</f>
        <v>0</v>
      </c>
      <c r="AB59" s="26">
        <f>$I$15*$AB$15</f>
        <v>0</v>
      </c>
      <c r="AC59" s="26">
        <f>$I$15*$AC$15</f>
        <v>62034.669359839252</v>
      </c>
      <c r="AD59" s="26">
        <f>$I$15*$AD$15</f>
        <v>0</v>
      </c>
      <c r="AE59" s="26">
        <f>$I$15*$AE$15</f>
        <v>0</v>
      </c>
      <c r="AF59" s="26">
        <f>$I$15*$AF$15</f>
        <v>0</v>
      </c>
      <c r="AG59" s="26">
        <f>$I$15*$AG$15</f>
        <v>0</v>
      </c>
      <c r="AH59" s="26">
        <f>$I$15*$AH$15</f>
        <v>0</v>
      </c>
    </row>
    <row r="60" spans="1:34" ht="11.25" customHeight="1" x14ac:dyDescent="0.25">
      <c r="A60" s="9" t="s">
        <v>22</v>
      </c>
      <c r="B60" s="9" t="s">
        <v>954</v>
      </c>
      <c r="C60" s="9" t="s">
        <v>955</v>
      </c>
      <c r="D60" s="9" t="s">
        <v>972</v>
      </c>
      <c r="E60" s="9" t="s">
        <v>973</v>
      </c>
      <c r="F60" s="9" t="s">
        <v>974</v>
      </c>
      <c r="G60" s="9" t="s">
        <v>975</v>
      </c>
      <c r="L60" s="26">
        <f>$I$16*$L$16</f>
        <v>0</v>
      </c>
      <c r="M60" s="26">
        <f>$I$16*$M$16</f>
        <v>0</v>
      </c>
      <c r="N60" s="26">
        <f>$I$16*$N$16</f>
        <v>0</v>
      </c>
      <c r="O60" s="26">
        <f>$I$16*$O$16</f>
        <v>0</v>
      </c>
      <c r="P60" s="26">
        <f>$I$16*$P$16</f>
        <v>0</v>
      </c>
      <c r="Q60" s="26">
        <f>$I$16*$Q$16</f>
        <v>31892.014143151395</v>
      </c>
      <c r="R60" s="26">
        <f>$I$16*$R$16</f>
        <v>0</v>
      </c>
      <c r="S60" s="26">
        <f>$I$16*$S$16</f>
        <v>0</v>
      </c>
      <c r="T60" s="26">
        <f>$I$16*$T$16</f>
        <v>0</v>
      </c>
      <c r="U60" s="26">
        <f>$I$16*$U$16</f>
        <v>0</v>
      </c>
      <c r="V60" s="26">
        <f>$I$16*$V$16</f>
        <v>0</v>
      </c>
      <c r="X60" s="26">
        <f>$I$16*$X$16</f>
        <v>0</v>
      </c>
      <c r="Y60" s="26">
        <f>$I$16*$Y$16</f>
        <v>0</v>
      </c>
      <c r="Z60" s="26">
        <f>$I$16*$Z$16</f>
        <v>0</v>
      </c>
      <c r="AA60" s="26">
        <f>$I$16*$AA$16</f>
        <v>0</v>
      </c>
      <c r="AB60" s="26">
        <f>$I$16*$AB$16</f>
        <v>0</v>
      </c>
      <c r="AC60" s="26">
        <f>$I$16*$AC$16</f>
        <v>37228.922906442596</v>
      </c>
      <c r="AD60" s="26">
        <f>$I$16*$AD$16</f>
        <v>0</v>
      </c>
      <c r="AE60" s="26">
        <f>$I$16*$AE$16</f>
        <v>0</v>
      </c>
      <c r="AF60" s="26">
        <f>$I$16*$AF$16</f>
        <v>0</v>
      </c>
      <c r="AG60" s="26">
        <f>$I$16*$AG$16</f>
        <v>0</v>
      </c>
      <c r="AH60" s="26">
        <f>$I$16*$AH$16</f>
        <v>0</v>
      </c>
    </row>
    <row r="61" spans="1:34" ht="11.25" customHeight="1" x14ac:dyDescent="0.25">
      <c r="A61" s="9" t="s">
        <v>22</v>
      </c>
      <c r="B61" s="9" t="s">
        <v>976</v>
      </c>
      <c r="C61" s="9" t="s">
        <v>977</v>
      </c>
      <c r="D61" s="9" t="s">
        <v>978</v>
      </c>
      <c r="E61" s="9" t="s">
        <v>979</v>
      </c>
      <c r="F61" s="9" t="s">
        <v>980</v>
      </c>
      <c r="G61" s="9" t="s">
        <v>981</v>
      </c>
      <c r="L61" s="26">
        <f>$I$17*$L$17</f>
        <v>0</v>
      </c>
      <c r="M61" s="26">
        <f>$I$17*$M$17</f>
        <v>0</v>
      </c>
      <c r="N61" s="26">
        <f>$I$17*$N$17</f>
        <v>0</v>
      </c>
      <c r="O61" s="26">
        <f>$I$17*$O$17</f>
        <v>0</v>
      </c>
      <c r="P61" s="26">
        <f>$I$17*$P$17</f>
        <v>0</v>
      </c>
      <c r="Q61" s="26">
        <f>$I$17*$Q$17</f>
        <v>0</v>
      </c>
      <c r="R61" s="26">
        <f>$I$17*$R$17</f>
        <v>0</v>
      </c>
      <c r="S61" s="26">
        <f>$I$17*$S$17</f>
        <v>0</v>
      </c>
      <c r="T61" s="26">
        <f>$I$17*$T$17</f>
        <v>0</v>
      </c>
      <c r="U61" s="26">
        <f>$I$17*$U$17</f>
        <v>0</v>
      </c>
      <c r="V61" s="26">
        <f>$I$17*$V$17</f>
        <v>0</v>
      </c>
      <c r="X61" s="26">
        <f>$I$17*$X$17</f>
        <v>0</v>
      </c>
      <c r="Y61" s="26">
        <f>$I$17*$Y$17</f>
        <v>0</v>
      </c>
      <c r="Z61" s="26">
        <f>$I$17*$Z$17</f>
        <v>0</v>
      </c>
      <c r="AA61" s="26">
        <f>$I$17*$AA$17</f>
        <v>0</v>
      </c>
      <c r="AB61" s="26">
        <f>$I$17*$AB$17</f>
        <v>0</v>
      </c>
      <c r="AC61" s="26">
        <f>$I$17*$AC$17</f>
        <v>0</v>
      </c>
      <c r="AD61" s="26">
        <f>$I$17*$AD$17</f>
        <v>0</v>
      </c>
      <c r="AE61" s="26">
        <f>$I$17*$AE$17</f>
        <v>0</v>
      </c>
      <c r="AF61" s="26">
        <f>$I$17*$AF$17</f>
        <v>0</v>
      </c>
      <c r="AG61" s="26">
        <f>$I$17*$AG$17</f>
        <v>0</v>
      </c>
      <c r="AH61" s="26">
        <f>$I$17*$AH$17</f>
        <v>0</v>
      </c>
    </row>
    <row r="62" spans="1:34" ht="11.25" customHeight="1" x14ac:dyDescent="0.25">
      <c r="A62" s="9" t="s">
        <v>22</v>
      </c>
      <c r="B62" s="9" t="s">
        <v>976</v>
      </c>
      <c r="C62" s="9" t="s">
        <v>977</v>
      </c>
      <c r="D62" s="9" t="s">
        <v>982</v>
      </c>
      <c r="E62" s="9" t="s">
        <v>983</v>
      </c>
      <c r="F62" s="9" t="s">
        <v>984</v>
      </c>
      <c r="G62" s="9" t="s">
        <v>985</v>
      </c>
      <c r="L62" s="26">
        <f>$I$18*$L$18</f>
        <v>0</v>
      </c>
      <c r="M62" s="26">
        <f>$I$18*$M$18</f>
        <v>0</v>
      </c>
      <c r="N62" s="26">
        <f>$I$18*$N$18</f>
        <v>0</v>
      </c>
      <c r="O62" s="26">
        <f>$I$18*$O$18</f>
        <v>0</v>
      </c>
      <c r="P62" s="26">
        <f>$I$18*$P$18</f>
        <v>0</v>
      </c>
      <c r="Q62" s="26">
        <f>$I$18*$Q$18</f>
        <v>0</v>
      </c>
      <c r="R62" s="26">
        <f>$I$18*$R$18</f>
        <v>0</v>
      </c>
      <c r="S62" s="26">
        <f>$I$18*$S$18</f>
        <v>0</v>
      </c>
      <c r="T62" s="26">
        <f>$I$18*$T$18</f>
        <v>0</v>
      </c>
      <c r="U62" s="26">
        <f>$I$18*$U$18</f>
        <v>0</v>
      </c>
      <c r="V62" s="26">
        <f>$I$18*$V$18</f>
        <v>0</v>
      </c>
      <c r="X62" s="26">
        <f>$I$18*$X$18</f>
        <v>0</v>
      </c>
      <c r="Y62" s="26">
        <f>$I$18*$Y$18</f>
        <v>0</v>
      </c>
      <c r="Z62" s="26">
        <f>$I$18*$Z$18</f>
        <v>0</v>
      </c>
      <c r="AA62" s="26">
        <f>$I$18*$AA$18</f>
        <v>0</v>
      </c>
      <c r="AB62" s="26">
        <f>$I$18*$AB$18</f>
        <v>0</v>
      </c>
      <c r="AC62" s="26">
        <f>$I$18*$AC$18</f>
        <v>0</v>
      </c>
      <c r="AD62" s="26">
        <f>$I$18*$AD$18</f>
        <v>0</v>
      </c>
      <c r="AE62" s="26">
        <f>$I$18*$AE$18</f>
        <v>0</v>
      </c>
      <c r="AF62" s="26">
        <f>$I$18*$AF$18</f>
        <v>0</v>
      </c>
      <c r="AG62" s="26">
        <f>$I$18*$AG$18</f>
        <v>0</v>
      </c>
      <c r="AH62" s="26">
        <f>$I$18*$AH$18</f>
        <v>0</v>
      </c>
    </row>
    <row r="63" spans="1:34" ht="11.25" customHeight="1" x14ac:dyDescent="0.25">
      <c r="A63" s="9" t="s">
        <v>22</v>
      </c>
      <c r="B63" s="9" t="s">
        <v>976</v>
      </c>
      <c r="C63" s="9" t="s">
        <v>977</v>
      </c>
      <c r="D63" s="9" t="s">
        <v>986</v>
      </c>
      <c r="E63" s="9" t="s">
        <v>987</v>
      </c>
      <c r="F63" s="9" t="s">
        <v>988</v>
      </c>
      <c r="G63" s="9" t="s">
        <v>989</v>
      </c>
      <c r="L63" s="26">
        <f>$I$19*$L$19</f>
        <v>0</v>
      </c>
      <c r="M63" s="26">
        <f>$I$19*$M$19</f>
        <v>0</v>
      </c>
      <c r="N63" s="26">
        <f>$I$19*$N$19</f>
        <v>0</v>
      </c>
      <c r="O63" s="26">
        <f>$I$19*$O$19</f>
        <v>0</v>
      </c>
      <c r="P63" s="26">
        <f>$I$19*$P$19</f>
        <v>0</v>
      </c>
      <c r="Q63" s="26">
        <f>$I$19*$Q$19</f>
        <v>0</v>
      </c>
      <c r="R63" s="26">
        <f>$I$19*$R$19</f>
        <v>0</v>
      </c>
      <c r="S63" s="26">
        <f>$I$19*$S$19</f>
        <v>0</v>
      </c>
      <c r="T63" s="26">
        <f>$I$19*$T$19</f>
        <v>0</v>
      </c>
      <c r="U63" s="26">
        <f>$I$19*$U$19</f>
        <v>0</v>
      </c>
      <c r="V63" s="26">
        <f>$I$19*$V$19</f>
        <v>0</v>
      </c>
      <c r="X63" s="26">
        <f>$I$19*$X$19</f>
        <v>0</v>
      </c>
      <c r="Y63" s="26">
        <f>$I$19*$Y$19</f>
        <v>0</v>
      </c>
      <c r="Z63" s="26">
        <f>$I$19*$Z$19</f>
        <v>0</v>
      </c>
      <c r="AA63" s="26">
        <f>$I$19*$AA$19</f>
        <v>0</v>
      </c>
      <c r="AB63" s="26">
        <f>$I$19*$AB$19</f>
        <v>0</v>
      </c>
      <c r="AC63" s="26">
        <f>$I$19*$AC$19</f>
        <v>0</v>
      </c>
      <c r="AD63" s="26">
        <f>$I$19*$AD$19</f>
        <v>0</v>
      </c>
      <c r="AE63" s="26">
        <f>$I$19*$AE$19</f>
        <v>0</v>
      </c>
      <c r="AF63" s="26">
        <f>$I$19*$AF$19</f>
        <v>0</v>
      </c>
      <c r="AG63" s="26">
        <f>$I$19*$AG$19</f>
        <v>0</v>
      </c>
      <c r="AH63" s="26">
        <f>$I$19*$AH$19</f>
        <v>0</v>
      </c>
    </row>
    <row r="64" spans="1:34" ht="11.25" customHeight="1" x14ac:dyDescent="0.25">
      <c r="A64" s="9" t="s">
        <v>22</v>
      </c>
      <c r="B64" s="9" t="s">
        <v>976</v>
      </c>
      <c r="C64" s="9" t="s">
        <v>977</v>
      </c>
      <c r="D64" s="9" t="s">
        <v>990</v>
      </c>
      <c r="E64" s="9" t="s">
        <v>991</v>
      </c>
      <c r="F64" s="9" t="s">
        <v>992</v>
      </c>
      <c r="G64" s="9" t="s">
        <v>993</v>
      </c>
      <c r="L64" s="26">
        <f>$I$20*$L$20</f>
        <v>0</v>
      </c>
      <c r="M64" s="26">
        <f>$I$20*$M$20</f>
        <v>0</v>
      </c>
      <c r="N64" s="26">
        <f>$I$20*$N$20</f>
        <v>0</v>
      </c>
      <c r="O64" s="26">
        <f>$I$20*$O$20</f>
        <v>0</v>
      </c>
      <c r="P64" s="26">
        <f>$I$20*$P$20</f>
        <v>0</v>
      </c>
      <c r="Q64" s="26">
        <f>$I$20*$Q$20</f>
        <v>0</v>
      </c>
      <c r="R64" s="26">
        <f>$I$20*$R$20</f>
        <v>0</v>
      </c>
      <c r="S64" s="26">
        <f>$I$20*$S$20</f>
        <v>0</v>
      </c>
      <c r="T64" s="26">
        <f>$I$20*$T$20</f>
        <v>0</v>
      </c>
      <c r="U64" s="26">
        <f>$I$20*$U$20</f>
        <v>0</v>
      </c>
      <c r="V64" s="26">
        <f>$I$20*$V$20</f>
        <v>0</v>
      </c>
      <c r="X64" s="26">
        <f>$I$20*$X$20</f>
        <v>0</v>
      </c>
      <c r="Y64" s="26">
        <f>$I$20*$Y$20</f>
        <v>0</v>
      </c>
      <c r="Z64" s="26">
        <f>$I$20*$Z$20</f>
        <v>0</v>
      </c>
      <c r="AA64" s="26">
        <f>$I$20*$AA$20</f>
        <v>0</v>
      </c>
      <c r="AB64" s="26">
        <f>$I$20*$AB$20</f>
        <v>0</v>
      </c>
      <c r="AC64" s="26">
        <f>$I$20*$AC$20</f>
        <v>0</v>
      </c>
      <c r="AD64" s="26">
        <f>$I$20*$AD$20</f>
        <v>0</v>
      </c>
      <c r="AE64" s="26">
        <f>$I$20*$AE$20</f>
        <v>0</v>
      </c>
      <c r="AF64" s="26">
        <f>$I$20*$AF$20</f>
        <v>0</v>
      </c>
      <c r="AG64" s="26">
        <f>$I$20*$AG$20</f>
        <v>0</v>
      </c>
      <c r="AH64" s="26">
        <f>$I$20*$AH$20</f>
        <v>0</v>
      </c>
    </row>
    <row r="65" spans="1:34" ht="11.25" customHeight="1" x14ac:dyDescent="0.25">
      <c r="A65" s="9" t="s">
        <v>22</v>
      </c>
      <c r="B65" s="9" t="s">
        <v>976</v>
      </c>
      <c r="C65" s="9" t="s">
        <v>977</v>
      </c>
      <c r="D65" s="9" t="s">
        <v>994</v>
      </c>
      <c r="E65" s="9" t="s">
        <v>995</v>
      </c>
      <c r="F65" s="9" t="s">
        <v>996</v>
      </c>
      <c r="G65" s="9" t="s">
        <v>997</v>
      </c>
      <c r="L65" s="26">
        <f>$I$21*$L$21</f>
        <v>0</v>
      </c>
      <c r="M65" s="26">
        <f>$I$21*$M$21</f>
        <v>0</v>
      </c>
      <c r="N65" s="26">
        <f>$I$21*$N$21</f>
        <v>0</v>
      </c>
      <c r="O65" s="26">
        <f>$I$21*$O$21</f>
        <v>0</v>
      </c>
      <c r="P65" s="26">
        <f>$I$21*$P$21</f>
        <v>0</v>
      </c>
      <c r="Q65" s="26">
        <f>$I$21*$Q$21</f>
        <v>0</v>
      </c>
      <c r="R65" s="26">
        <f>$I$21*$R$21</f>
        <v>0</v>
      </c>
      <c r="S65" s="26">
        <f>$I$21*$S$21</f>
        <v>0</v>
      </c>
      <c r="T65" s="26">
        <f>$I$21*$T$21</f>
        <v>0</v>
      </c>
      <c r="U65" s="26">
        <f>$I$21*$U$21</f>
        <v>0</v>
      </c>
      <c r="V65" s="26">
        <f>$I$21*$V$21</f>
        <v>0</v>
      </c>
      <c r="X65" s="26">
        <f>$I$21*$X$21</f>
        <v>0</v>
      </c>
      <c r="Y65" s="26">
        <f>$I$21*$Y$21</f>
        <v>0</v>
      </c>
      <c r="Z65" s="26">
        <f>$I$21*$Z$21</f>
        <v>0</v>
      </c>
      <c r="AA65" s="26">
        <f>$I$21*$AA$21</f>
        <v>0</v>
      </c>
      <c r="AB65" s="26">
        <f>$I$21*$AB$21</f>
        <v>0</v>
      </c>
      <c r="AC65" s="26">
        <f>$I$21*$AC$21</f>
        <v>0</v>
      </c>
      <c r="AD65" s="26">
        <f>$I$21*$AD$21</f>
        <v>0</v>
      </c>
      <c r="AE65" s="26">
        <f>$I$21*$AE$21</f>
        <v>0</v>
      </c>
      <c r="AF65" s="26">
        <f>$I$21*$AF$21</f>
        <v>0</v>
      </c>
      <c r="AG65" s="26">
        <f>$I$21*$AG$21</f>
        <v>0</v>
      </c>
      <c r="AH65" s="26">
        <f>$I$21*$AH$21</f>
        <v>0</v>
      </c>
    </row>
    <row r="66" spans="1:34" ht="11.25" customHeight="1" x14ac:dyDescent="0.25">
      <c r="A66" s="9" t="s">
        <v>42</v>
      </c>
      <c r="B66" s="9" t="s">
        <v>998</v>
      </c>
      <c r="C66" s="9" t="s">
        <v>999</v>
      </c>
      <c r="D66" s="9" t="s">
        <v>1000</v>
      </c>
      <c r="E66" s="9" t="s">
        <v>1001</v>
      </c>
      <c r="F66" s="9" t="s">
        <v>1002</v>
      </c>
      <c r="G66" s="9" t="s">
        <v>1003</v>
      </c>
      <c r="L66" s="26">
        <f>$I$22*$L$22</f>
        <v>0</v>
      </c>
      <c r="M66" s="26">
        <f>$I$22*$M$22</f>
        <v>0</v>
      </c>
      <c r="N66" s="26">
        <f>$I$22*$N$22</f>
        <v>0</v>
      </c>
      <c r="O66" s="26">
        <f>$I$22*$O$22</f>
        <v>0</v>
      </c>
      <c r="P66" s="26">
        <f>$I$22*$P$22</f>
        <v>0</v>
      </c>
      <c r="Q66" s="26">
        <f>$I$22*$Q$22</f>
        <v>0</v>
      </c>
      <c r="R66" s="26">
        <f>$I$22*$R$22</f>
        <v>0</v>
      </c>
      <c r="S66" s="26">
        <f>$I$22*$S$22</f>
        <v>0</v>
      </c>
      <c r="T66" s="26">
        <f>$I$22*$T$22</f>
        <v>0</v>
      </c>
      <c r="U66" s="26">
        <f>$I$22*$U$22</f>
        <v>0</v>
      </c>
      <c r="V66" s="26">
        <f>$I$22*$V$22</f>
        <v>0</v>
      </c>
      <c r="X66" s="26">
        <f>$I$22*$X$22</f>
        <v>0</v>
      </c>
      <c r="Y66" s="26">
        <f>$I$22*$Y$22</f>
        <v>0</v>
      </c>
      <c r="Z66" s="26">
        <f>$I$22*$Z$22</f>
        <v>0</v>
      </c>
      <c r="AA66" s="26">
        <f>$I$22*$AA$22</f>
        <v>0</v>
      </c>
      <c r="AB66" s="26">
        <f>$I$22*$AB$22</f>
        <v>0</v>
      </c>
      <c r="AC66" s="26">
        <f>$I$22*$AC$22</f>
        <v>0</v>
      </c>
      <c r="AD66" s="26">
        <f>$I$22*$AD$22</f>
        <v>0</v>
      </c>
      <c r="AE66" s="26">
        <f>$I$22*$AE$22</f>
        <v>0</v>
      </c>
      <c r="AF66" s="26">
        <f>$I$22*$AF$22</f>
        <v>0</v>
      </c>
      <c r="AG66" s="26">
        <f>$I$22*$AG$22</f>
        <v>0</v>
      </c>
      <c r="AH66" s="26">
        <f>$I$22*$AH$22</f>
        <v>0</v>
      </c>
    </row>
    <row r="67" spans="1:34" ht="11.25" customHeight="1" x14ac:dyDescent="0.25">
      <c r="A67" s="9" t="s">
        <v>42</v>
      </c>
      <c r="B67" s="9" t="s">
        <v>998</v>
      </c>
      <c r="C67" s="9" t="s">
        <v>999</v>
      </c>
      <c r="D67" s="9" t="s">
        <v>1000</v>
      </c>
      <c r="E67" s="9" t="s">
        <v>1001</v>
      </c>
      <c r="F67" s="9" t="s">
        <v>1002</v>
      </c>
      <c r="G67" s="9" t="s">
        <v>1004</v>
      </c>
      <c r="L67" s="26">
        <f>$I$23*$L$23</f>
        <v>0</v>
      </c>
      <c r="M67" s="26">
        <f>$I$23*$M$23</f>
        <v>0</v>
      </c>
      <c r="N67" s="26">
        <f>$I$23*$N$23</f>
        <v>0</v>
      </c>
      <c r="O67" s="26">
        <f>$I$23*$O$23</f>
        <v>0</v>
      </c>
      <c r="P67" s="26">
        <f>$I$23*$P$23</f>
        <v>0</v>
      </c>
      <c r="Q67" s="26">
        <f>$I$23*$Q$23</f>
        <v>0</v>
      </c>
      <c r="R67" s="26">
        <f>$I$23*$R$23</f>
        <v>0</v>
      </c>
      <c r="S67" s="26">
        <f>$I$23*$S$23</f>
        <v>0</v>
      </c>
      <c r="T67" s="26">
        <f>$I$23*$T$23</f>
        <v>0</v>
      </c>
      <c r="U67" s="26">
        <f>$I$23*$U$23</f>
        <v>0</v>
      </c>
      <c r="V67" s="26">
        <f>$I$23*$V$23</f>
        <v>0</v>
      </c>
      <c r="X67" s="26">
        <f>$I$23*$X$23</f>
        <v>0</v>
      </c>
      <c r="Y67" s="26">
        <f>$I$23*$Y$23</f>
        <v>0</v>
      </c>
      <c r="Z67" s="26">
        <f>$I$23*$Z$23</f>
        <v>0</v>
      </c>
      <c r="AA67" s="26">
        <f>$I$23*$AA$23</f>
        <v>0</v>
      </c>
      <c r="AB67" s="26">
        <f>$I$23*$AB$23</f>
        <v>0</v>
      </c>
      <c r="AC67" s="26">
        <f>$I$23*$AC$23</f>
        <v>0</v>
      </c>
      <c r="AD67" s="26">
        <f>$I$23*$AD$23</f>
        <v>0</v>
      </c>
      <c r="AE67" s="26">
        <f>$I$23*$AE$23</f>
        <v>0</v>
      </c>
      <c r="AF67" s="26">
        <f>$I$23*$AF$23</f>
        <v>0</v>
      </c>
      <c r="AG67" s="26">
        <f>$I$23*$AG$23</f>
        <v>0</v>
      </c>
      <c r="AH67" s="26">
        <f>$I$23*$AH$23</f>
        <v>0</v>
      </c>
    </row>
    <row r="68" spans="1:34" ht="11.25" customHeight="1" x14ac:dyDescent="0.25">
      <c r="A68" s="9" t="s">
        <v>42</v>
      </c>
      <c r="B68" s="9" t="s">
        <v>998</v>
      </c>
      <c r="C68" s="9" t="s">
        <v>999</v>
      </c>
      <c r="D68" s="9" t="s">
        <v>1000</v>
      </c>
      <c r="E68" s="9" t="s">
        <v>1001</v>
      </c>
      <c r="F68" s="9" t="s">
        <v>1002</v>
      </c>
      <c r="G68" s="9" t="s">
        <v>1005</v>
      </c>
      <c r="L68" s="26">
        <f>$I$24*$L$24</f>
        <v>0</v>
      </c>
      <c r="M68" s="26">
        <f>$I$24*$M$24</f>
        <v>0</v>
      </c>
      <c r="N68" s="26">
        <f>$I$24*$N$24</f>
        <v>0</v>
      </c>
      <c r="O68" s="26">
        <f>$I$24*$O$24</f>
        <v>0</v>
      </c>
      <c r="P68" s="26">
        <f>$I$24*$P$24</f>
        <v>0</v>
      </c>
      <c r="Q68" s="26">
        <f>$I$24*$Q$24</f>
        <v>0</v>
      </c>
      <c r="R68" s="26">
        <f>$I$24*$R$24</f>
        <v>0</v>
      </c>
      <c r="S68" s="26">
        <f>$I$24*$S$24</f>
        <v>0</v>
      </c>
      <c r="T68" s="26">
        <f>$I$24*$T$24</f>
        <v>0</v>
      </c>
      <c r="U68" s="26">
        <f>$I$24*$U$24</f>
        <v>0</v>
      </c>
      <c r="V68" s="26">
        <f>$I$24*$V$24</f>
        <v>0</v>
      </c>
      <c r="X68" s="26">
        <f>$I$24*$X$24</f>
        <v>0</v>
      </c>
      <c r="Y68" s="26">
        <f>$I$24*$Y$24</f>
        <v>0</v>
      </c>
      <c r="Z68" s="26">
        <f>$I$24*$Z$24</f>
        <v>0</v>
      </c>
      <c r="AA68" s="26">
        <f>$I$24*$AA$24</f>
        <v>0</v>
      </c>
      <c r="AB68" s="26">
        <f>$I$24*$AB$24</f>
        <v>0</v>
      </c>
      <c r="AC68" s="26">
        <f>$I$24*$AC$24</f>
        <v>0</v>
      </c>
      <c r="AD68" s="26">
        <f>$I$24*$AD$24</f>
        <v>0</v>
      </c>
      <c r="AE68" s="26">
        <f>$I$24*$AE$24</f>
        <v>0</v>
      </c>
      <c r="AF68" s="26">
        <f>$I$24*$AF$24</f>
        <v>0</v>
      </c>
      <c r="AG68" s="26">
        <f>$I$24*$AG$24</f>
        <v>0</v>
      </c>
      <c r="AH68" s="26">
        <f>$I$24*$AH$24</f>
        <v>0</v>
      </c>
    </row>
    <row r="69" spans="1:34" ht="11.25" customHeight="1" x14ac:dyDescent="0.25">
      <c r="A69" s="9" t="s">
        <v>42</v>
      </c>
      <c r="B69" s="9" t="s">
        <v>1006</v>
      </c>
      <c r="C69" s="9" t="s">
        <v>1007</v>
      </c>
      <c r="D69" s="9" t="s">
        <v>1008</v>
      </c>
      <c r="E69" s="9" t="s">
        <v>1009</v>
      </c>
      <c r="F69" s="9" t="s">
        <v>1010</v>
      </c>
      <c r="G69" s="9" t="s">
        <v>1011</v>
      </c>
      <c r="L69" s="26">
        <f>$I$25*$L$25</f>
        <v>0</v>
      </c>
      <c r="M69" s="26">
        <f>$I$25*$M$25</f>
        <v>0</v>
      </c>
      <c r="N69" s="26">
        <f>$I$25*$N$25</f>
        <v>0</v>
      </c>
      <c r="O69" s="26">
        <f>$I$25*$O$25</f>
        <v>0</v>
      </c>
      <c r="P69" s="26">
        <f>$I$25*$P$25</f>
        <v>0</v>
      </c>
      <c r="Q69" s="26">
        <f>$I$25*$Q$25</f>
        <v>1725250.96716103</v>
      </c>
      <c r="R69" s="26">
        <f>$I$25*$R$25</f>
        <v>0</v>
      </c>
      <c r="S69" s="26">
        <f>$I$25*$S$25</f>
        <v>0</v>
      </c>
      <c r="T69" s="26">
        <f>$I$25*$T$25</f>
        <v>0</v>
      </c>
      <c r="U69" s="26">
        <f>$I$25*$U$25</f>
        <v>0</v>
      </c>
      <c r="V69" s="26">
        <f>$I$25*$V$25</f>
        <v>0</v>
      </c>
      <c r="X69" s="26">
        <f>$I$25*$X$25</f>
        <v>0</v>
      </c>
      <c r="Y69" s="26">
        <f>$I$25*$Y$25</f>
        <v>0</v>
      </c>
      <c r="Z69" s="26">
        <f>$I$25*$Z$25</f>
        <v>0</v>
      </c>
      <c r="AA69" s="26">
        <f>$I$25*$AA$25</f>
        <v>0</v>
      </c>
      <c r="AB69" s="26">
        <f>$I$25*$AB$25</f>
        <v>0</v>
      </c>
      <c r="AC69" s="26">
        <f>$I$25*$AC$25</f>
        <v>1885409.1986961709</v>
      </c>
      <c r="AD69" s="26">
        <f>$I$25*$AD$25</f>
        <v>0</v>
      </c>
      <c r="AE69" s="26">
        <f>$I$25*$AE$25</f>
        <v>0</v>
      </c>
      <c r="AF69" s="26">
        <f>$I$25*$AF$25</f>
        <v>0</v>
      </c>
      <c r="AG69" s="26">
        <f>$I$25*$AG$25</f>
        <v>0</v>
      </c>
      <c r="AH69" s="26">
        <f>$I$25*$AH$25</f>
        <v>0</v>
      </c>
    </row>
    <row r="70" spans="1:34" ht="11.25" customHeight="1" x14ac:dyDescent="0.25">
      <c r="A70" s="9" t="s">
        <v>42</v>
      </c>
      <c r="B70" s="9" t="s">
        <v>998</v>
      </c>
      <c r="C70" s="9" t="s">
        <v>999</v>
      </c>
      <c r="D70" s="9" t="s">
        <v>1012</v>
      </c>
      <c r="E70" s="9" t="s">
        <v>1013</v>
      </c>
      <c r="F70" s="9" t="s">
        <v>1014</v>
      </c>
      <c r="G70" s="9" t="s">
        <v>1015</v>
      </c>
      <c r="L70" s="26">
        <f>$I$26*$L$26</f>
        <v>0</v>
      </c>
      <c r="M70" s="26">
        <f>$I$26*$M$26</f>
        <v>0</v>
      </c>
      <c r="N70" s="26">
        <f>$I$26*$N$26</f>
        <v>0</v>
      </c>
      <c r="O70" s="26">
        <f>$I$26*$O$26</f>
        <v>0</v>
      </c>
      <c r="P70" s="26">
        <f>$I$26*$P$26</f>
        <v>0</v>
      </c>
      <c r="Q70" s="26">
        <f>$I$26*$Q$26</f>
        <v>0</v>
      </c>
      <c r="R70" s="26">
        <f>$I$26*$R$26</f>
        <v>0</v>
      </c>
      <c r="S70" s="26">
        <f>$I$26*$S$26</f>
        <v>0</v>
      </c>
      <c r="T70" s="26">
        <f>$I$26*$T$26</f>
        <v>0</v>
      </c>
      <c r="U70" s="26">
        <f>$I$26*$U$26</f>
        <v>0</v>
      </c>
      <c r="V70" s="26">
        <f>$I$26*$V$26</f>
        <v>0</v>
      </c>
      <c r="X70" s="26">
        <f>$I$26*$X$26</f>
        <v>0</v>
      </c>
      <c r="Y70" s="26">
        <f>$I$26*$Y$26</f>
        <v>0</v>
      </c>
      <c r="Z70" s="26">
        <f>$I$26*$Z$26</f>
        <v>0</v>
      </c>
      <c r="AA70" s="26">
        <f>$I$26*$AA$26</f>
        <v>0</v>
      </c>
      <c r="AB70" s="26">
        <f>$I$26*$AB$26</f>
        <v>0</v>
      </c>
      <c r="AC70" s="26">
        <f>$I$26*$AC$26</f>
        <v>0</v>
      </c>
      <c r="AD70" s="26">
        <f>$I$26*$AD$26</f>
        <v>0</v>
      </c>
      <c r="AE70" s="26">
        <f>$I$26*$AE$26</f>
        <v>0</v>
      </c>
      <c r="AF70" s="26">
        <f>$I$26*$AF$26</f>
        <v>0</v>
      </c>
      <c r="AG70" s="26">
        <f>$I$26*$AG$26</f>
        <v>0</v>
      </c>
      <c r="AH70" s="26">
        <f>$I$26*$AH$26</f>
        <v>0</v>
      </c>
    </row>
    <row r="71" spans="1:34" ht="11.25" customHeight="1" x14ac:dyDescent="0.25">
      <c r="A71" s="9" t="s">
        <v>42</v>
      </c>
      <c r="B71" s="9" t="s">
        <v>998</v>
      </c>
      <c r="C71" s="9" t="s">
        <v>999</v>
      </c>
      <c r="D71" s="9" t="s">
        <v>1012</v>
      </c>
      <c r="E71" s="9" t="s">
        <v>1013</v>
      </c>
      <c r="F71" s="9" t="s">
        <v>1014</v>
      </c>
      <c r="G71" s="9" t="s">
        <v>1016</v>
      </c>
      <c r="L71" s="26">
        <f>$I$27*$L$27</f>
        <v>0</v>
      </c>
      <c r="M71" s="26">
        <f>$I$27*$M$27</f>
        <v>0</v>
      </c>
      <c r="N71" s="26">
        <f>$I$27*$N$27</f>
        <v>0</v>
      </c>
      <c r="O71" s="26">
        <f>$I$27*$O$27</f>
        <v>0</v>
      </c>
      <c r="P71" s="26">
        <f>$I$27*$P$27</f>
        <v>0</v>
      </c>
      <c r="Q71" s="26">
        <f>$I$27*$Q$27</f>
        <v>0</v>
      </c>
      <c r="R71" s="26">
        <f>$I$27*$R$27</f>
        <v>0</v>
      </c>
      <c r="S71" s="26">
        <f>$I$27*$S$27</f>
        <v>0</v>
      </c>
      <c r="T71" s="26">
        <f>$I$27*$T$27</f>
        <v>0</v>
      </c>
      <c r="U71" s="26">
        <f>$I$27*$U$27</f>
        <v>0</v>
      </c>
      <c r="V71" s="26">
        <f>$I$27*$V$27</f>
        <v>0</v>
      </c>
      <c r="X71" s="26">
        <f>$I$27*$X$27</f>
        <v>0</v>
      </c>
      <c r="Y71" s="26">
        <f>$I$27*$Y$27</f>
        <v>0</v>
      </c>
      <c r="Z71" s="26">
        <f>$I$27*$Z$27</f>
        <v>0</v>
      </c>
      <c r="AA71" s="26">
        <f>$I$27*$AA$27</f>
        <v>0</v>
      </c>
      <c r="AB71" s="26">
        <f>$I$27*$AB$27</f>
        <v>0</v>
      </c>
      <c r="AC71" s="26">
        <f>$I$27*$AC$27</f>
        <v>0</v>
      </c>
      <c r="AD71" s="26">
        <f>$I$27*$AD$27</f>
        <v>0</v>
      </c>
      <c r="AE71" s="26">
        <f>$I$27*$AE$27</f>
        <v>0</v>
      </c>
      <c r="AF71" s="26">
        <f>$I$27*$AF$27</f>
        <v>0</v>
      </c>
      <c r="AG71" s="26">
        <f>$I$27*$AG$27</f>
        <v>0</v>
      </c>
      <c r="AH71" s="26">
        <f>$I$27*$AH$27</f>
        <v>0</v>
      </c>
    </row>
    <row r="72" spans="1:34" ht="11.25" customHeight="1" x14ac:dyDescent="0.25">
      <c r="A72" s="9" t="s">
        <v>42</v>
      </c>
      <c r="B72" s="9" t="s">
        <v>998</v>
      </c>
      <c r="C72" s="9" t="s">
        <v>999</v>
      </c>
      <c r="D72" s="9" t="s">
        <v>1012</v>
      </c>
      <c r="E72" s="9" t="s">
        <v>1013</v>
      </c>
      <c r="F72" s="9" t="s">
        <v>1014</v>
      </c>
      <c r="G72" s="9" t="s">
        <v>1017</v>
      </c>
      <c r="L72" s="26">
        <f>$I$28*$L$28</f>
        <v>0</v>
      </c>
      <c r="M72" s="26">
        <f>$I$28*$M$28</f>
        <v>0</v>
      </c>
      <c r="N72" s="26">
        <f>$I$28*$N$28</f>
        <v>0</v>
      </c>
      <c r="O72" s="26">
        <f>$I$28*$O$28</f>
        <v>0</v>
      </c>
      <c r="P72" s="26">
        <f>$I$28*$P$28</f>
        <v>0</v>
      </c>
      <c r="Q72" s="26">
        <f>$I$28*$Q$28</f>
        <v>0</v>
      </c>
      <c r="R72" s="26">
        <f>$I$28*$R$28</f>
        <v>0</v>
      </c>
      <c r="S72" s="26">
        <f>$I$28*$S$28</f>
        <v>0</v>
      </c>
      <c r="T72" s="26">
        <f>$I$28*$T$28</f>
        <v>0</v>
      </c>
      <c r="U72" s="26">
        <f>$I$28*$U$28</f>
        <v>0</v>
      </c>
      <c r="V72" s="26">
        <f>$I$28*$V$28</f>
        <v>0</v>
      </c>
      <c r="X72" s="26">
        <f>$I$28*$X$28</f>
        <v>0</v>
      </c>
      <c r="Y72" s="26">
        <f>$I$28*$Y$28</f>
        <v>0</v>
      </c>
      <c r="Z72" s="26">
        <f>$I$28*$Z$28</f>
        <v>0</v>
      </c>
      <c r="AA72" s="26">
        <f>$I$28*$AA$28</f>
        <v>0</v>
      </c>
      <c r="AB72" s="26">
        <f>$I$28*$AB$28</f>
        <v>0</v>
      </c>
      <c r="AC72" s="26">
        <f>$I$28*$AC$28</f>
        <v>0</v>
      </c>
      <c r="AD72" s="26">
        <f>$I$28*$AD$28</f>
        <v>0</v>
      </c>
      <c r="AE72" s="26">
        <f>$I$28*$AE$28</f>
        <v>0</v>
      </c>
      <c r="AF72" s="26">
        <f>$I$28*$AF$28</f>
        <v>0</v>
      </c>
      <c r="AG72" s="26">
        <f>$I$28*$AG$28</f>
        <v>0</v>
      </c>
      <c r="AH72" s="26">
        <f>$I$28*$AH$28</f>
        <v>0</v>
      </c>
    </row>
    <row r="73" spans="1:34" ht="11.25" customHeight="1" x14ac:dyDescent="0.25">
      <c r="A73" s="9" t="s">
        <v>42</v>
      </c>
      <c r="B73" s="9" t="s">
        <v>1006</v>
      </c>
      <c r="C73" s="9" t="s">
        <v>1007</v>
      </c>
      <c r="D73" s="9" t="s">
        <v>1018</v>
      </c>
      <c r="E73" s="9" t="s">
        <v>1019</v>
      </c>
      <c r="F73" s="9" t="s">
        <v>1020</v>
      </c>
      <c r="G73" s="9" t="s">
        <v>1021</v>
      </c>
      <c r="L73" s="26">
        <f>$I$29*$L$29</f>
        <v>0</v>
      </c>
      <c r="M73" s="26">
        <f>$I$29*$M$29</f>
        <v>0</v>
      </c>
      <c r="N73" s="26">
        <f>$I$29*$N$29</f>
        <v>0</v>
      </c>
      <c r="O73" s="26">
        <f>$I$29*$O$29</f>
        <v>0</v>
      </c>
      <c r="P73" s="26">
        <f>$I$29*$P$29</f>
        <v>0</v>
      </c>
      <c r="Q73" s="26">
        <f>$I$29*$Q$29</f>
        <v>0</v>
      </c>
      <c r="R73" s="26">
        <f>$I$29*$R$29</f>
        <v>0</v>
      </c>
      <c r="S73" s="26">
        <f>$I$29*$S$29</f>
        <v>0</v>
      </c>
      <c r="T73" s="26">
        <f>$I$29*$T$29</f>
        <v>0</v>
      </c>
      <c r="U73" s="26">
        <f>$I$29*$U$29</f>
        <v>0</v>
      </c>
      <c r="V73" s="26">
        <f>$I$29*$V$29</f>
        <v>0</v>
      </c>
      <c r="X73" s="26">
        <f>$I$29*$X$29</f>
        <v>0</v>
      </c>
      <c r="Y73" s="26">
        <f>$I$29*$Y$29</f>
        <v>0</v>
      </c>
      <c r="Z73" s="26">
        <f>$I$29*$Z$29</f>
        <v>0</v>
      </c>
      <c r="AA73" s="26">
        <f>$I$29*$AA$29</f>
        <v>0</v>
      </c>
      <c r="AB73" s="26">
        <f>$I$29*$AB$29</f>
        <v>0</v>
      </c>
      <c r="AC73" s="26">
        <f>$I$29*$AC$29</f>
        <v>0</v>
      </c>
      <c r="AD73" s="26">
        <f>$I$29*$AD$29</f>
        <v>0</v>
      </c>
      <c r="AE73" s="26">
        <f>$I$29*$AE$29</f>
        <v>0</v>
      </c>
      <c r="AF73" s="26">
        <f>$I$29*$AF$29</f>
        <v>0</v>
      </c>
      <c r="AG73" s="26">
        <f>$I$29*$AG$29</f>
        <v>0</v>
      </c>
      <c r="AH73" s="26">
        <f>$I$29*$AH$29</f>
        <v>0</v>
      </c>
    </row>
    <row r="74" spans="1:34" ht="11.25" customHeight="1" x14ac:dyDescent="0.25">
      <c r="A74" s="9" t="s">
        <v>42</v>
      </c>
      <c r="B74" s="9" t="s">
        <v>998</v>
      </c>
      <c r="C74" s="9" t="s">
        <v>999</v>
      </c>
      <c r="D74" s="9" t="s">
        <v>1022</v>
      </c>
      <c r="E74" s="9" t="s">
        <v>1023</v>
      </c>
      <c r="F74" s="9" t="s">
        <v>1024</v>
      </c>
      <c r="G74" s="9" t="s">
        <v>1025</v>
      </c>
      <c r="L74" s="26">
        <f>$I$30*$L$30</f>
        <v>0</v>
      </c>
      <c r="M74" s="26">
        <f>$I$30*$M$30</f>
        <v>0</v>
      </c>
      <c r="N74" s="26">
        <f>$I$30*$N$30</f>
        <v>0</v>
      </c>
      <c r="O74" s="26">
        <f>$I$30*$O$30</f>
        <v>0</v>
      </c>
      <c r="P74" s="26">
        <f>$I$30*$P$30</f>
        <v>0</v>
      </c>
      <c r="Q74" s="26">
        <f>$I$30*$Q$30</f>
        <v>0</v>
      </c>
      <c r="R74" s="26">
        <f>$I$30*$R$30</f>
        <v>0</v>
      </c>
      <c r="S74" s="26">
        <f>$I$30*$S$30</f>
        <v>0</v>
      </c>
      <c r="T74" s="26">
        <f>$I$30*$T$30</f>
        <v>0</v>
      </c>
      <c r="U74" s="26">
        <f>$I$30*$U$30</f>
        <v>0</v>
      </c>
      <c r="V74" s="26">
        <f>$I$30*$V$30</f>
        <v>0</v>
      </c>
      <c r="X74" s="26">
        <f>$I$30*$X$30</f>
        <v>0</v>
      </c>
      <c r="Y74" s="26">
        <f>$I$30*$Y$30</f>
        <v>0</v>
      </c>
      <c r="Z74" s="26">
        <f>$I$30*$Z$30</f>
        <v>0</v>
      </c>
      <c r="AA74" s="26">
        <f>$I$30*$AA$30</f>
        <v>0</v>
      </c>
      <c r="AB74" s="26">
        <f>$I$30*$AB$30</f>
        <v>0</v>
      </c>
      <c r="AC74" s="26">
        <f>$I$30*$AC$30</f>
        <v>0</v>
      </c>
      <c r="AD74" s="26">
        <f>$I$30*$AD$30</f>
        <v>0</v>
      </c>
      <c r="AE74" s="26">
        <f>$I$30*$AE$30</f>
        <v>0</v>
      </c>
      <c r="AF74" s="26">
        <f>$I$30*$AF$30</f>
        <v>0</v>
      </c>
      <c r="AG74" s="26">
        <f>$I$30*$AG$30</f>
        <v>0</v>
      </c>
      <c r="AH74" s="26">
        <f>$I$30*$AH$30</f>
        <v>0</v>
      </c>
    </row>
    <row r="75" spans="1:34" ht="11.25" customHeight="1" x14ac:dyDescent="0.25">
      <c r="A75" s="9" t="s">
        <v>42</v>
      </c>
      <c r="B75" s="9" t="s">
        <v>998</v>
      </c>
      <c r="C75" s="9" t="s">
        <v>999</v>
      </c>
      <c r="D75" s="9" t="s">
        <v>1022</v>
      </c>
      <c r="E75" s="9" t="s">
        <v>1023</v>
      </c>
      <c r="F75" s="9" t="s">
        <v>1024</v>
      </c>
      <c r="G75" s="9" t="s">
        <v>1026</v>
      </c>
      <c r="L75" s="26">
        <f>$I$31*$L$31</f>
        <v>0</v>
      </c>
      <c r="M75" s="26">
        <f>$I$31*$M$31</f>
        <v>0</v>
      </c>
      <c r="N75" s="26">
        <f>$I$31*$N$31</f>
        <v>0</v>
      </c>
      <c r="O75" s="26">
        <f>$I$31*$O$31</f>
        <v>0</v>
      </c>
      <c r="P75" s="26">
        <f>$I$31*$P$31</f>
        <v>0</v>
      </c>
      <c r="Q75" s="26">
        <f>$I$31*$Q$31</f>
        <v>0</v>
      </c>
      <c r="R75" s="26">
        <f>$I$31*$R$31</f>
        <v>0</v>
      </c>
      <c r="S75" s="26">
        <f>$I$31*$S$31</f>
        <v>0</v>
      </c>
      <c r="T75" s="26">
        <f>$I$31*$T$31</f>
        <v>0</v>
      </c>
      <c r="U75" s="26">
        <f>$I$31*$U$31</f>
        <v>0</v>
      </c>
      <c r="V75" s="26">
        <f>$I$31*$V$31</f>
        <v>0</v>
      </c>
      <c r="X75" s="26">
        <f>$I$31*$X$31</f>
        <v>0</v>
      </c>
      <c r="Y75" s="26">
        <f>$I$31*$Y$31</f>
        <v>0</v>
      </c>
      <c r="Z75" s="26">
        <f>$I$31*$Z$31</f>
        <v>0</v>
      </c>
      <c r="AA75" s="26">
        <f>$I$31*$AA$31</f>
        <v>0</v>
      </c>
      <c r="AB75" s="26">
        <f>$I$31*$AB$31</f>
        <v>0</v>
      </c>
      <c r="AC75" s="26">
        <f>$I$31*$AC$31</f>
        <v>0</v>
      </c>
      <c r="AD75" s="26">
        <f>$I$31*$AD$31</f>
        <v>0</v>
      </c>
      <c r="AE75" s="26">
        <f>$I$31*$AE$31</f>
        <v>0</v>
      </c>
      <c r="AF75" s="26">
        <f>$I$31*$AF$31</f>
        <v>0</v>
      </c>
      <c r="AG75" s="26">
        <f>$I$31*$AG$31</f>
        <v>0</v>
      </c>
      <c r="AH75" s="26">
        <f>$I$31*$AH$31</f>
        <v>0</v>
      </c>
    </row>
    <row r="76" spans="1:34" ht="11.25" customHeight="1" x14ac:dyDescent="0.25">
      <c r="A76" s="9" t="s">
        <v>42</v>
      </c>
      <c r="B76" s="9" t="s">
        <v>998</v>
      </c>
      <c r="C76" s="9" t="s">
        <v>999</v>
      </c>
      <c r="D76" s="9" t="s">
        <v>1022</v>
      </c>
      <c r="E76" s="9" t="s">
        <v>1023</v>
      </c>
      <c r="F76" s="9" t="s">
        <v>1024</v>
      </c>
      <c r="G76" s="9" t="s">
        <v>1027</v>
      </c>
      <c r="L76" s="26">
        <f>$I$32*$L$32</f>
        <v>0</v>
      </c>
      <c r="M76" s="26">
        <f>$I$32*$M$32</f>
        <v>0</v>
      </c>
      <c r="N76" s="26">
        <f>$I$32*$N$32</f>
        <v>0</v>
      </c>
      <c r="O76" s="26">
        <f>$I$32*$O$32</f>
        <v>0</v>
      </c>
      <c r="P76" s="26">
        <f>$I$32*$P$32</f>
        <v>0</v>
      </c>
      <c r="Q76" s="26">
        <f>$I$32*$Q$32</f>
        <v>0</v>
      </c>
      <c r="R76" s="26">
        <f>$I$32*$R$32</f>
        <v>0</v>
      </c>
      <c r="S76" s="26">
        <f>$I$32*$S$32</f>
        <v>0</v>
      </c>
      <c r="T76" s="26">
        <f>$I$32*$T$32</f>
        <v>0</v>
      </c>
      <c r="U76" s="26">
        <f>$I$32*$U$32</f>
        <v>0</v>
      </c>
      <c r="V76" s="26">
        <f>$I$32*$V$32</f>
        <v>0</v>
      </c>
      <c r="X76" s="26">
        <f>$I$32*$X$32</f>
        <v>0</v>
      </c>
      <c r="Y76" s="26">
        <f>$I$32*$Y$32</f>
        <v>0</v>
      </c>
      <c r="Z76" s="26">
        <f>$I$32*$Z$32</f>
        <v>0</v>
      </c>
      <c r="AA76" s="26">
        <f>$I$32*$AA$32</f>
        <v>0</v>
      </c>
      <c r="AB76" s="26">
        <f>$I$32*$AB$32</f>
        <v>0</v>
      </c>
      <c r="AC76" s="26">
        <f>$I$32*$AC$32</f>
        <v>0</v>
      </c>
      <c r="AD76" s="26">
        <f>$I$32*$AD$32</f>
        <v>0</v>
      </c>
      <c r="AE76" s="26">
        <f>$I$32*$AE$32</f>
        <v>0</v>
      </c>
      <c r="AF76" s="26">
        <f>$I$32*$AF$32</f>
        <v>0</v>
      </c>
      <c r="AG76" s="26">
        <f>$I$32*$AG$32</f>
        <v>0</v>
      </c>
      <c r="AH76" s="26">
        <f>$I$32*$AH$32</f>
        <v>0</v>
      </c>
    </row>
    <row r="77" spans="1:34" ht="11.25" customHeight="1" x14ac:dyDescent="0.25">
      <c r="A77" s="9" t="s">
        <v>42</v>
      </c>
      <c r="B77" s="9" t="s">
        <v>1006</v>
      </c>
      <c r="C77" s="9" t="s">
        <v>1007</v>
      </c>
      <c r="D77" s="9" t="s">
        <v>1028</v>
      </c>
      <c r="E77" s="9" t="s">
        <v>1029</v>
      </c>
      <c r="F77" s="9" t="s">
        <v>1030</v>
      </c>
      <c r="G77" s="9" t="s">
        <v>1031</v>
      </c>
      <c r="L77" s="26">
        <f>$I$33*$L$33</f>
        <v>0</v>
      </c>
      <c r="M77" s="26">
        <f>$I$33*$M$33</f>
        <v>0</v>
      </c>
      <c r="N77" s="26">
        <f>$I$33*$N$33</f>
        <v>0</v>
      </c>
      <c r="O77" s="26">
        <f>$I$33*$O$33</f>
        <v>0</v>
      </c>
      <c r="P77" s="26">
        <f>$I$33*$P$33</f>
        <v>0</v>
      </c>
      <c r="Q77" s="26">
        <f>$I$33*$Q$33</f>
        <v>0</v>
      </c>
      <c r="R77" s="26">
        <f>$I$33*$R$33</f>
        <v>0</v>
      </c>
      <c r="S77" s="26">
        <f>$I$33*$S$33</f>
        <v>0</v>
      </c>
      <c r="T77" s="26">
        <f>$I$33*$T$33</f>
        <v>0</v>
      </c>
      <c r="U77" s="26">
        <f>$I$33*$U$33</f>
        <v>0</v>
      </c>
      <c r="V77" s="26">
        <f>$I$33*$V$33</f>
        <v>0</v>
      </c>
      <c r="X77" s="26">
        <f>$I$33*$X$33</f>
        <v>0</v>
      </c>
      <c r="Y77" s="26">
        <f>$I$33*$Y$33</f>
        <v>0</v>
      </c>
      <c r="Z77" s="26">
        <f>$I$33*$Z$33</f>
        <v>0</v>
      </c>
      <c r="AA77" s="26">
        <f>$I$33*$AA$33</f>
        <v>0</v>
      </c>
      <c r="AB77" s="26">
        <f>$I$33*$AB$33</f>
        <v>0</v>
      </c>
      <c r="AC77" s="26">
        <f>$I$33*$AC$33</f>
        <v>0</v>
      </c>
      <c r="AD77" s="26">
        <f>$I$33*$AD$33</f>
        <v>0</v>
      </c>
      <c r="AE77" s="26">
        <f>$I$33*$AE$33</f>
        <v>0</v>
      </c>
      <c r="AF77" s="26">
        <f>$I$33*$AF$33</f>
        <v>0</v>
      </c>
      <c r="AG77" s="26">
        <f>$I$33*$AG$33</f>
        <v>0</v>
      </c>
      <c r="AH77" s="26">
        <f>$I$33*$AH$33</f>
        <v>0</v>
      </c>
    </row>
    <row r="78" spans="1:34" ht="11.25" customHeight="1" x14ac:dyDescent="0.25">
      <c r="A78" s="9" t="s">
        <v>42</v>
      </c>
      <c r="B78" s="9" t="s">
        <v>1032</v>
      </c>
      <c r="C78" s="9" t="s">
        <v>1033</v>
      </c>
      <c r="D78" s="9" t="s">
        <v>1034</v>
      </c>
      <c r="E78" s="9" t="s">
        <v>1035</v>
      </c>
      <c r="F78" s="9" t="s">
        <v>1036</v>
      </c>
      <c r="G78" s="9" t="s">
        <v>1037</v>
      </c>
      <c r="L78" s="26">
        <f>$I$34*$L$34</f>
        <v>0</v>
      </c>
      <c r="M78" s="26">
        <f>$I$34*$M$34</f>
        <v>0</v>
      </c>
      <c r="N78" s="26">
        <f>$I$34*$N$34</f>
        <v>0</v>
      </c>
      <c r="O78" s="26">
        <f>$I$34*$O$34</f>
        <v>0</v>
      </c>
      <c r="P78" s="26">
        <f>$I$34*$P$34</f>
        <v>0</v>
      </c>
      <c r="Q78" s="26">
        <f>$I$34*$Q$34</f>
        <v>0</v>
      </c>
      <c r="R78" s="26">
        <f>$I$34*$R$34</f>
        <v>0</v>
      </c>
      <c r="S78" s="26">
        <f>$I$34*$S$34</f>
        <v>0</v>
      </c>
      <c r="T78" s="26">
        <f>$I$34*$T$34</f>
        <v>0</v>
      </c>
      <c r="U78" s="26">
        <f>$I$34*$U$34</f>
        <v>0</v>
      </c>
      <c r="V78" s="26">
        <f>$I$34*$V$34</f>
        <v>0</v>
      </c>
      <c r="X78" s="26">
        <f>$I$34*$X$34</f>
        <v>0</v>
      </c>
      <c r="Y78" s="26">
        <f>$I$34*$Y$34</f>
        <v>0</v>
      </c>
      <c r="Z78" s="26">
        <f>$I$34*$Z$34</f>
        <v>0</v>
      </c>
      <c r="AA78" s="26">
        <f>$I$34*$AA$34</f>
        <v>0</v>
      </c>
      <c r="AB78" s="26">
        <f>$I$34*$AB$34</f>
        <v>0</v>
      </c>
      <c r="AC78" s="26">
        <f>$I$34*$AC$34</f>
        <v>0</v>
      </c>
      <c r="AD78" s="26">
        <f>$I$34*$AD$34</f>
        <v>0</v>
      </c>
      <c r="AE78" s="26">
        <f>$I$34*$AE$34</f>
        <v>0</v>
      </c>
      <c r="AF78" s="26">
        <f>$I$34*$AF$34</f>
        <v>0</v>
      </c>
      <c r="AG78" s="26">
        <f>$I$34*$AG$34</f>
        <v>0</v>
      </c>
      <c r="AH78" s="26">
        <f>$I$34*$AH$34</f>
        <v>0</v>
      </c>
    </row>
    <row r="79" spans="1:34" ht="11.25" customHeight="1" x14ac:dyDescent="0.25">
      <c r="A79" s="9" t="s">
        <v>42</v>
      </c>
      <c r="B79" s="9" t="s">
        <v>1032</v>
      </c>
      <c r="C79" s="9" t="s">
        <v>1033</v>
      </c>
      <c r="D79" s="9" t="s">
        <v>1038</v>
      </c>
      <c r="E79" s="9" t="s">
        <v>1039</v>
      </c>
      <c r="F79" s="9" t="s">
        <v>1040</v>
      </c>
      <c r="G79" s="9" t="s">
        <v>1041</v>
      </c>
      <c r="L79" s="26">
        <f>$I$35*$L$35</f>
        <v>0</v>
      </c>
      <c r="M79" s="26">
        <f>$I$35*$M$35</f>
        <v>0</v>
      </c>
      <c r="N79" s="26">
        <f>$I$35*$N$35</f>
        <v>0</v>
      </c>
      <c r="O79" s="26">
        <f>$I$35*$O$35</f>
        <v>0</v>
      </c>
      <c r="P79" s="26">
        <f>$I$35*$P$35</f>
        <v>0</v>
      </c>
      <c r="Q79" s="26">
        <f>$I$35*$Q$35</f>
        <v>0</v>
      </c>
      <c r="R79" s="26">
        <f>$I$35*$R$35</f>
        <v>0</v>
      </c>
      <c r="S79" s="26">
        <f>$I$35*$S$35</f>
        <v>0</v>
      </c>
      <c r="T79" s="26">
        <f>$I$35*$T$35</f>
        <v>0</v>
      </c>
      <c r="U79" s="26">
        <f>$I$35*$U$35</f>
        <v>0</v>
      </c>
      <c r="V79" s="26">
        <f>$I$35*$V$35</f>
        <v>0</v>
      </c>
      <c r="X79" s="26">
        <f>$I$35*$X$35</f>
        <v>0</v>
      </c>
      <c r="Y79" s="26">
        <f>$I$35*$Y$35</f>
        <v>0</v>
      </c>
      <c r="Z79" s="26">
        <f>$I$35*$Z$35</f>
        <v>0</v>
      </c>
      <c r="AA79" s="26">
        <f>$I$35*$AA$35</f>
        <v>0</v>
      </c>
      <c r="AB79" s="26">
        <f>$I$35*$AB$35</f>
        <v>0</v>
      </c>
      <c r="AC79" s="26">
        <f>$I$35*$AC$35</f>
        <v>0</v>
      </c>
      <c r="AD79" s="26">
        <f>$I$35*$AD$35</f>
        <v>0</v>
      </c>
      <c r="AE79" s="26">
        <f>$I$35*$AE$35</f>
        <v>0</v>
      </c>
      <c r="AF79" s="26">
        <f>$I$35*$AF$35</f>
        <v>0</v>
      </c>
      <c r="AG79" s="26">
        <f>$I$35*$AG$35</f>
        <v>0</v>
      </c>
      <c r="AH79" s="26">
        <f>$I$35*$AH$35</f>
        <v>0</v>
      </c>
    </row>
    <row r="80" spans="1:34" ht="11.25" customHeight="1" x14ac:dyDescent="0.25">
      <c r="A80" s="9" t="s">
        <v>42</v>
      </c>
      <c r="B80" s="9" t="s">
        <v>1032</v>
      </c>
      <c r="C80" s="9" t="s">
        <v>1033</v>
      </c>
      <c r="D80" s="9" t="s">
        <v>1042</v>
      </c>
      <c r="E80" s="9" t="s">
        <v>1043</v>
      </c>
      <c r="F80" s="9" t="s">
        <v>1044</v>
      </c>
      <c r="G80" s="9" t="s">
        <v>1045</v>
      </c>
      <c r="L80" s="26">
        <f>$I$36*$L$36</f>
        <v>0</v>
      </c>
      <c r="M80" s="26">
        <f>$I$36*$M$36</f>
        <v>0</v>
      </c>
      <c r="N80" s="26">
        <f>$I$36*$N$36</f>
        <v>0</v>
      </c>
      <c r="O80" s="26">
        <f>$I$36*$O$36</f>
        <v>0</v>
      </c>
      <c r="P80" s="26">
        <f>$I$36*$P$36</f>
        <v>0</v>
      </c>
      <c r="Q80" s="26">
        <f>$I$36*$Q$36</f>
        <v>0</v>
      </c>
      <c r="R80" s="26">
        <f>$I$36*$R$36</f>
        <v>0</v>
      </c>
      <c r="S80" s="26">
        <f>$I$36*$S$36</f>
        <v>0</v>
      </c>
      <c r="T80" s="26">
        <f>$I$36*$T$36</f>
        <v>0</v>
      </c>
      <c r="U80" s="26">
        <f>$I$36*$U$36</f>
        <v>0</v>
      </c>
      <c r="V80" s="26">
        <f>$I$36*$V$36</f>
        <v>0</v>
      </c>
      <c r="X80" s="26">
        <f>$I$36*$X$36</f>
        <v>0</v>
      </c>
      <c r="Y80" s="26">
        <f>$I$36*$Y$36</f>
        <v>0</v>
      </c>
      <c r="Z80" s="26">
        <f>$I$36*$Z$36</f>
        <v>0</v>
      </c>
      <c r="AA80" s="26">
        <f>$I$36*$AA$36</f>
        <v>0</v>
      </c>
      <c r="AB80" s="26">
        <f>$I$36*$AB$36</f>
        <v>0</v>
      </c>
      <c r="AC80" s="26">
        <f>$I$36*$AC$36</f>
        <v>0</v>
      </c>
      <c r="AD80" s="26">
        <f>$I$36*$AD$36</f>
        <v>0</v>
      </c>
      <c r="AE80" s="26">
        <f>$I$36*$AE$36</f>
        <v>0</v>
      </c>
      <c r="AF80" s="26">
        <f>$I$36*$AF$36</f>
        <v>0</v>
      </c>
      <c r="AG80" s="26">
        <f>$I$36*$AG$36</f>
        <v>0</v>
      </c>
      <c r="AH80" s="26">
        <f>$I$36*$AH$36</f>
        <v>0</v>
      </c>
    </row>
    <row r="81" spans="1:34" ht="11.25" customHeight="1" x14ac:dyDescent="0.25">
      <c r="A81" s="9" t="s">
        <v>33</v>
      </c>
      <c r="B81" s="9" t="s">
        <v>1046</v>
      </c>
      <c r="C81" s="9" t="s">
        <v>1047</v>
      </c>
      <c r="D81" s="9" t="s">
        <v>1048</v>
      </c>
      <c r="E81" s="9" t="s">
        <v>1049</v>
      </c>
      <c r="F81" s="9" t="s">
        <v>1050</v>
      </c>
      <c r="G81" s="9" t="s">
        <v>1051</v>
      </c>
      <c r="L81" s="26">
        <f>$I$37*$L$37</f>
        <v>0</v>
      </c>
      <c r="M81" s="26">
        <f>$I$37*$M$37</f>
        <v>0</v>
      </c>
      <c r="N81" s="26">
        <f>$I$37*$N$37</f>
        <v>0</v>
      </c>
      <c r="O81" s="26">
        <f>$I$37*$O$37</f>
        <v>0</v>
      </c>
      <c r="P81" s="26">
        <f>$I$37*$P$37</f>
        <v>0</v>
      </c>
      <c r="Q81" s="26">
        <f>$I$37*$Q$37</f>
        <v>0</v>
      </c>
      <c r="R81" s="26">
        <f>$I$37*$R$37</f>
        <v>0</v>
      </c>
      <c r="S81" s="26">
        <f>$I$37*$S$37</f>
        <v>0</v>
      </c>
      <c r="T81" s="26">
        <f>$I$37*$T$37</f>
        <v>0</v>
      </c>
      <c r="U81" s="26">
        <f>$I$37*$U$37</f>
        <v>0</v>
      </c>
      <c r="V81" s="26">
        <f>$I$37*$V$37</f>
        <v>0</v>
      </c>
      <c r="X81" s="26">
        <f>$I$37*$X$37</f>
        <v>0</v>
      </c>
      <c r="Y81" s="26">
        <f>$I$37*$Y$37</f>
        <v>0</v>
      </c>
      <c r="Z81" s="26">
        <f>$I$37*$Z$37</f>
        <v>0</v>
      </c>
      <c r="AA81" s="26">
        <f>$I$37*$AA$37</f>
        <v>0</v>
      </c>
      <c r="AB81" s="26">
        <f>$I$37*$AB$37</f>
        <v>0</v>
      </c>
      <c r="AC81" s="26">
        <f>$I$37*$AC$37</f>
        <v>0</v>
      </c>
      <c r="AD81" s="26">
        <f>$I$37*$AD$37</f>
        <v>0</v>
      </c>
      <c r="AE81" s="26">
        <f>$I$37*$AE$37</f>
        <v>0</v>
      </c>
      <c r="AF81" s="26">
        <f>$I$37*$AF$37</f>
        <v>0</v>
      </c>
      <c r="AG81" s="26">
        <f>$I$37*$AG$37</f>
        <v>0</v>
      </c>
      <c r="AH81" s="26">
        <f>$I$37*$AH$37</f>
        <v>0</v>
      </c>
    </row>
    <row r="82" spans="1:34" ht="11.25" customHeight="1" x14ac:dyDescent="0.25">
      <c r="A82" s="9" t="s">
        <v>33</v>
      </c>
      <c r="B82" s="9" t="s">
        <v>1046</v>
      </c>
      <c r="C82" s="9" t="s">
        <v>1047</v>
      </c>
      <c r="D82" s="9" t="s">
        <v>1048</v>
      </c>
      <c r="E82" s="9" t="s">
        <v>1049</v>
      </c>
      <c r="F82" s="9" t="s">
        <v>1050</v>
      </c>
      <c r="G82" s="9" t="s">
        <v>1052</v>
      </c>
      <c r="L82" s="26">
        <f>$I$38*$L$38</f>
        <v>0</v>
      </c>
      <c r="M82" s="26">
        <f>$I$38*$M$38</f>
        <v>0</v>
      </c>
      <c r="N82" s="26">
        <f>$I$38*$N$38</f>
        <v>0</v>
      </c>
      <c r="O82" s="26">
        <f>$I$38*$O$38</f>
        <v>0</v>
      </c>
      <c r="P82" s="26">
        <f>$I$38*$P$38</f>
        <v>0</v>
      </c>
      <c r="Q82" s="26">
        <f>$I$38*$Q$38</f>
        <v>0</v>
      </c>
      <c r="R82" s="26">
        <f>$I$38*$R$38</f>
        <v>0</v>
      </c>
      <c r="S82" s="26">
        <f>$I$38*$S$38</f>
        <v>0</v>
      </c>
      <c r="T82" s="26">
        <f>$I$38*$T$38</f>
        <v>0</v>
      </c>
      <c r="U82" s="26">
        <f>$I$38*$U$38</f>
        <v>0</v>
      </c>
      <c r="V82" s="26">
        <f>$I$38*$V$38</f>
        <v>0</v>
      </c>
      <c r="X82" s="26">
        <f>$I$38*$X$38</f>
        <v>0</v>
      </c>
      <c r="Y82" s="26">
        <f>$I$38*$Y$38</f>
        <v>0</v>
      </c>
      <c r="Z82" s="26">
        <f>$I$38*$Z$38</f>
        <v>0</v>
      </c>
      <c r="AA82" s="26">
        <f>$I$38*$AA$38</f>
        <v>0</v>
      </c>
      <c r="AB82" s="26">
        <f>$I$38*$AB$38</f>
        <v>0</v>
      </c>
      <c r="AC82" s="26">
        <f>$I$38*$AC$38</f>
        <v>0</v>
      </c>
      <c r="AD82" s="26">
        <f>$I$38*$AD$38</f>
        <v>0</v>
      </c>
      <c r="AE82" s="26">
        <f>$I$38*$AE$38</f>
        <v>0</v>
      </c>
      <c r="AF82" s="26">
        <f>$I$38*$AF$38</f>
        <v>0</v>
      </c>
      <c r="AG82" s="26">
        <f>$I$38*$AG$38</f>
        <v>0</v>
      </c>
      <c r="AH82" s="26">
        <f>$I$38*$AH$38</f>
        <v>0</v>
      </c>
    </row>
    <row r="83" spans="1:34" ht="11.25" customHeight="1" x14ac:dyDescent="0.25">
      <c r="A83" s="9" t="s">
        <v>33</v>
      </c>
      <c r="B83" s="9" t="s">
        <v>1046</v>
      </c>
      <c r="C83" s="9" t="s">
        <v>1047</v>
      </c>
      <c r="D83" s="9" t="s">
        <v>1048</v>
      </c>
      <c r="E83" s="9" t="s">
        <v>1049</v>
      </c>
      <c r="F83" s="9" t="s">
        <v>1050</v>
      </c>
      <c r="G83" s="9" t="s">
        <v>1053</v>
      </c>
      <c r="L83" s="26">
        <f>$I$39*$L$39</f>
        <v>0</v>
      </c>
      <c r="M83" s="26">
        <f>$I$39*$M$39</f>
        <v>0</v>
      </c>
      <c r="N83" s="26">
        <f>$I$39*$N$39</f>
        <v>0</v>
      </c>
      <c r="O83" s="26">
        <f>$I$39*$O$39</f>
        <v>0</v>
      </c>
      <c r="P83" s="26">
        <f>$I$39*$P$39</f>
        <v>0</v>
      </c>
      <c r="Q83" s="26">
        <f>$I$39*$Q$39</f>
        <v>0</v>
      </c>
      <c r="R83" s="26">
        <f>$I$39*$R$39</f>
        <v>0</v>
      </c>
      <c r="S83" s="26">
        <f>$I$39*$S$39</f>
        <v>0</v>
      </c>
      <c r="T83" s="26">
        <f>$I$39*$T$39</f>
        <v>0</v>
      </c>
      <c r="U83" s="26">
        <f>$I$39*$U$39</f>
        <v>0</v>
      </c>
      <c r="V83" s="26">
        <f>$I$39*$V$39</f>
        <v>0</v>
      </c>
      <c r="X83" s="26">
        <f>$I$39*$X$39</f>
        <v>0</v>
      </c>
      <c r="Y83" s="26">
        <f>$I$39*$Y$39</f>
        <v>0</v>
      </c>
      <c r="Z83" s="26">
        <f>$I$39*$Z$39</f>
        <v>0</v>
      </c>
      <c r="AA83" s="26">
        <f>$I$39*$AA$39</f>
        <v>0</v>
      </c>
      <c r="AB83" s="26">
        <f>$I$39*$AB$39</f>
        <v>0</v>
      </c>
      <c r="AC83" s="26">
        <f>$I$39*$AC$39</f>
        <v>0</v>
      </c>
      <c r="AD83" s="26">
        <f>$I$39*$AD$39</f>
        <v>0</v>
      </c>
      <c r="AE83" s="26">
        <f>$I$39*$AE$39</f>
        <v>0</v>
      </c>
      <c r="AF83" s="26">
        <f>$I$39*$AF$39</f>
        <v>0</v>
      </c>
      <c r="AG83" s="26">
        <f>$I$39*$AG$39</f>
        <v>0</v>
      </c>
      <c r="AH83" s="26">
        <f>$I$39*$AH$39</f>
        <v>0</v>
      </c>
    </row>
    <row r="84" spans="1:34" ht="11.25" customHeight="1" x14ac:dyDescent="0.25">
      <c r="A84" s="9" t="s">
        <v>33</v>
      </c>
      <c r="B84" s="9" t="s">
        <v>1054</v>
      </c>
      <c r="C84" s="9" t="s">
        <v>1055</v>
      </c>
      <c r="D84" s="9" t="s">
        <v>1056</v>
      </c>
      <c r="E84" s="9" t="s">
        <v>1057</v>
      </c>
      <c r="F84" s="9" t="s">
        <v>1058</v>
      </c>
      <c r="G84" s="9" t="s">
        <v>1059</v>
      </c>
      <c r="L84" s="26">
        <f>$I$40*$L$40</f>
        <v>0</v>
      </c>
      <c r="M84" s="26">
        <f>$I$40*$M$40</f>
        <v>0</v>
      </c>
      <c r="N84" s="26">
        <f>$I$40*$N$40</f>
        <v>0</v>
      </c>
      <c r="O84" s="26">
        <f>$I$40*$O$40</f>
        <v>0</v>
      </c>
      <c r="P84" s="26">
        <f>$I$40*$P$40</f>
        <v>0</v>
      </c>
      <c r="Q84" s="26">
        <f>$I$40*$Q$40</f>
        <v>2467577.0692936056</v>
      </c>
      <c r="R84" s="26">
        <f>$I$40*$R$40</f>
        <v>0</v>
      </c>
      <c r="S84" s="26">
        <f>$I$40*$S$40</f>
        <v>0</v>
      </c>
      <c r="T84" s="26">
        <f>$I$40*$T$40</f>
        <v>0</v>
      </c>
      <c r="U84" s="26">
        <f>$I$40*$U$40</f>
        <v>0</v>
      </c>
      <c r="V84" s="26">
        <f>$I$40*$V$40</f>
        <v>0</v>
      </c>
      <c r="X84" s="26">
        <f>$I$40*$X$40</f>
        <v>0</v>
      </c>
      <c r="Y84" s="26">
        <f>$I$40*$Y$40</f>
        <v>0</v>
      </c>
      <c r="Z84" s="26">
        <f>$I$40*$Z$40</f>
        <v>0</v>
      </c>
      <c r="AA84" s="26">
        <f>$I$40*$AA$40</f>
        <v>0</v>
      </c>
      <c r="AB84" s="26">
        <f>$I$40*$AB$40</f>
        <v>0</v>
      </c>
      <c r="AC84" s="26">
        <f>$I$40*$AC$40</f>
        <v>2880509.0850044247</v>
      </c>
      <c r="AD84" s="26">
        <f>$I$40*$AD$40</f>
        <v>0</v>
      </c>
      <c r="AE84" s="26">
        <f>$I$40*$AE$40</f>
        <v>0</v>
      </c>
      <c r="AF84" s="26">
        <f>$I$40*$AF$40</f>
        <v>0</v>
      </c>
      <c r="AG84" s="26">
        <f>$I$40*$AG$40</f>
        <v>0</v>
      </c>
      <c r="AH84" s="26">
        <f>$I$40*$AH$40</f>
        <v>0</v>
      </c>
    </row>
    <row r="85" spans="1:34" ht="11.25" customHeight="1" x14ac:dyDescent="0.25">
      <c r="A85" s="9" t="s">
        <v>33</v>
      </c>
      <c r="B85" s="9" t="s">
        <v>1060</v>
      </c>
      <c r="C85" s="9" t="s">
        <v>1061</v>
      </c>
      <c r="D85" s="9" t="s">
        <v>1062</v>
      </c>
      <c r="E85" s="9" t="s">
        <v>1063</v>
      </c>
      <c r="F85" s="9" t="s">
        <v>1064</v>
      </c>
      <c r="G85" s="9" t="s">
        <v>1065</v>
      </c>
      <c r="L85" s="26">
        <f>$I$41*$L$41</f>
        <v>0</v>
      </c>
      <c r="M85" s="26">
        <f>$I$41*$M$41</f>
        <v>0</v>
      </c>
      <c r="N85" s="26">
        <f>$I$41*$N$41</f>
        <v>0</v>
      </c>
      <c r="O85" s="26">
        <f>$I$41*$O$41</f>
        <v>0</v>
      </c>
      <c r="P85" s="26">
        <f>$I$41*$P$41</f>
        <v>0</v>
      </c>
      <c r="Q85" s="26">
        <f>$I$41*$Q$41</f>
        <v>0</v>
      </c>
      <c r="R85" s="26">
        <f>$I$41*$R$41</f>
        <v>0</v>
      </c>
      <c r="S85" s="26">
        <f>$I$41*$S$41</f>
        <v>0</v>
      </c>
      <c r="T85" s="26">
        <f>$I$41*$T$41</f>
        <v>0</v>
      </c>
      <c r="U85" s="26">
        <f>$I$41*$U$41</f>
        <v>0</v>
      </c>
      <c r="V85" s="26">
        <f>$I$41*$V$41</f>
        <v>0</v>
      </c>
      <c r="X85" s="26">
        <f>$I$41*$X$41</f>
        <v>0</v>
      </c>
      <c r="Y85" s="26">
        <f>$I$41*$Y$41</f>
        <v>0</v>
      </c>
      <c r="Z85" s="26">
        <f>$I$41*$Z$41</f>
        <v>0</v>
      </c>
      <c r="AA85" s="26">
        <f>$I$41*$AA$41</f>
        <v>0</v>
      </c>
      <c r="AB85" s="26">
        <f>$I$41*$AB$41</f>
        <v>0</v>
      </c>
      <c r="AC85" s="26">
        <f>$I$41*$AC$41</f>
        <v>0</v>
      </c>
      <c r="AD85" s="26">
        <f>$I$41*$AD$41</f>
        <v>0</v>
      </c>
      <c r="AE85" s="26">
        <f>$I$41*$AE$41</f>
        <v>0</v>
      </c>
      <c r="AF85" s="26">
        <f>$I$41*$AF$41</f>
        <v>0</v>
      </c>
      <c r="AG85" s="26">
        <f>$I$41*$AG$41</f>
        <v>0</v>
      </c>
      <c r="AH85" s="26">
        <f>$I$41*$AH$41</f>
        <v>0</v>
      </c>
    </row>
    <row r="86" spans="1:34" ht="11.25" customHeight="1" x14ac:dyDescent="0.25">
      <c r="A86" s="9" t="s">
        <v>45</v>
      </c>
      <c r="B86" s="9" t="s">
        <v>1066</v>
      </c>
      <c r="C86" s="9" t="s">
        <v>1067</v>
      </c>
      <c r="D86" s="9" t="s">
        <v>1068</v>
      </c>
      <c r="E86" s="9" t="s">
        <v>1069</v>
      </c>
      <c r="F86" s="9" t="s">
        <v>1070</v>
      </c>
      <c r="G86" s="9" t="s">
        <v>1071</v>
      </c>
      <c r="L86" s="26">
        <f>$I$42*$L$42</f>
        <v>0</v>
      </c>
      <c r="M86" s="26">
        <f>$I$42*$M$42</f>
        <v>0</v>
      </c>
      <c r="N86" s="26">
        <f>$I$42*$N$42</f>
        <v>0</v>
      </c>
      <c r="O86" s="26">
        <f>$I$42*$O$42</f>
        <v>0</v>
      </c>
      <c r="P86" s="26">
        <f>$I$42*$P$42</f>
        <v>0</v>
      </c>
      <c r="Q86" s="26">
        <f>$I$42*$Q$42</f>
        <v>661552.50361658749</v>
      </c>
      <c r="R86" s="26">
        <f>$I$42*$R$42</f>
        <v>0</v>
      </c>
      <c r="S86" s="26">
        <f>$I$42*$S$42</f>
        <v>0</v>
      </c>
      <c r="T86" s="26">
        <f>$I$42*$T$42</f>
        <v>0</v>
      </c>
      <c r="U86" s="26">
        <f>$I$42*$U$42</f>
        <v>0</v>
      </c>
      <c r="V86" s="26">
        <f>$I$42*$V$42</f>
        <v>0</v>
      </c>
      <c r="X86" s="26">
        <f>$I$42*$X$42</f>
        <v>0</v>
      </c>
      <c r="Y86" s="26">
        <f>$I$42*$Y$42</f>
        <v>0</v>
      </c>
      <c r="Z86" s="26">
        <f>$I$42*$Z$42</f>
        <v>0</v>
      </c>
      <c r="AA86" s="26">
        <f>$I$42*$AA$42</f>
        <v>0</v>
      </c>
      <c r="AB86" s="26">
        <f>$I$42*$AB$42</f>
        <v>0</v>
      </c>
      <c r="AC86" s="26">
        <f>$I$42*$AC$42</f>
        <v>772258.75559806696</v>
      </c>
      <c r="AD86" s="26">
        <f>$I$42*$AD$42</f>
        <v>0</v>
      </c>
      <c r="AE86" s="26">
        <f>$I$42*$AE$42</f>
        <v>0</v>
      </c>
      <c r="AF86" s="26">
        <f>$I$42*$AF$42</f>
        <v>0</v>
      </c>
      <c r="AG86" s="26">
        <f>$I$42*$AG$42</f>
        <v>0</v>
      </c>
      <c r="AH86" s="26">
        <f>$I$42*$AH$42</f>
        <v>0</v>
      </c>
    </row>
    <row r="87" spans="1:34" ht="11.25" customHeight="1" x14ac:dyDescent="0.25">
      <c r="A87" s="9" t="s">
        <v>45</v>
      </c>
      <c r="B87" s="9" t="s">
        <v>1066</v>
      </c>
      <c r="C87" s="9" t="s">
        <v>1067</v>
      </c>
      <c r="D87" s="9" t="s">
        <v>1072</v>
      </c>
      <c r="E87" s="9" t="s">
        <v>1073</v>
      </c>
      <c r="F87" s="9" t="s">
        <v>1074</v>
      </c>
      <c r="G87" s="9" t="s">
        <v>1075</v>
      </c>
      <c r="L87" s="26">
        <f>$I$43*$L$43</f>
        <v>0</v>
      </c>
      <c r="M87" s="26">
        <f>$I$43*$M$43</f>
        <v>0</v>
      </c>
      <c r="N87" s="26">
        <f>$I$43*$N$43</f>
        <v>0</v>
      </c>
      <c r="O87" s="26">
        <f>$I$43*$O$43</f>
        <v>0</v>
      </c>
      <c r="P87" s="26">
        <f>$I$43*$P$43</f>
        <v>0</v>
      </c>
      <c r="Q87" s="26">
        <f>$I$43*$Q$43</f>
        <v>0</v>
      </c>
      <c r="R87" s="26">
        <f>$I$43*$R$43</f>
        <v>0</v>
      </c>
      <c r="S87" s="26">
        <f>$I$43*$S$43</f>
        <v>0</v>
      </c>
      <c r="T87" s="26">
        <f>$I$43*$T$43</f>
        <v>0</v>
      </c>
      <c r="U87" s="26">
        <f>$I$43*$U$43</f>
        <v>0</v>
      </c>
      <c r="V87" s="26">
        <f>$I$43*$V$43</f>
        <v>0</v>
      </c>
      <c r="X87" s="26">
        <f>$I$43*$X$43</f>
        <v>0</v>
      </c>
      <c r="Y87" s="26">
        <f>$I$43*$Y$43</f>
        <v>0</v>
      </c>
      <c r="Z87" s="26">
        <f>$I$43*$Z$43</f>
        <v>0</v>
      </c>
      <c r="AA87" s="26">
        <f>$I$43*$AA$43</f>
        <v>0</v>
      </c>
      <c r="AB87" s="26">
        <f>$I$43*$AB$43</f>
        <v>0</v>
      </c>
      <c r="AC87" s="26">
        <f>$I$43*$AC$43</f>
        <v>0</v>
      </c>
      <c r="AD87" s="26">
        <f>$I$43*$AD$43</f>
        <v>0</v>
      </c>
      <c r="AE87" s="26">
        <f>$I$43*$AE$43</f>
        <v>0</v>
      </c>
      <c r="AF87" s="26">
        <f>$I$43*$AF$43</f>
        <v>0</v>
      </c>
      <c r="AG87" s="26">
        <f>$I$43*$AG$43</f>
        <v>0</v>
      </c>
      <c r="AH87" s="26">
        <f>$I$43*$AH$43</f>
        <v>0</v>
      </c>
    </row>
  </sheetData>
  <mergeCells count="75">
    <mergeCell ref="F1:F4"/>
    <mergeCell ref="A1:A4"/>
    <mergeCell ref="B1:B4"/>
    <mergeCell ref="C1:C4"/>
    <mergeCell ref="D1:D4"/>
    <mergeCell ref="E1:E4"/>
    <mergeCell ref="G1:G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21"/>
    <mergeCell ref="B9:B11"/>
    <mergeCell ref="C9:C11"/>
    <mergeCell ref="D9:D11"/>
    <mergeCell ref="E9:E11"/>
    <mergeCell ref="B12:B16"/>
    <mergeCell ref="C12:C16"/>
    <mergeCell ref="B17:B21"/>
    <mergeCell ref="C17:C21"/>
    <mergeCell ref="A22:A36"/>
    <mergeCell ref="B22:B24"/>
    <mergeCell ref="C22:C24"/>
    <mergeCell ref="D22:D24"/>
    <mergeCell ref="E22:E24"/>
    <mergeCell ref="B26:B28"/>
    <mergeCell ref="C26:C28"/>
    <mergeCell ref="D26:D28"/>
    <mergeCell ref="E26:E28"/>
    <mergeCell ref="X1:AH1"/>
    <mergeCell ref="X2:AH2"/>
    <mergeCell ref="X3:AB3"/>
    <mergeCell ref="AD3:AF3"/>
    <mergeCell ref="B34:B36"/>
    <mergeCell ref="C34:C36"/>
    <mergeCell ref="F26:F28"/>
    <mergeCell ref="B30:B32"/>
    <mergeCell ref="C30:C32"/>
    <mergeCell ref="D30:D32"/>
    <mergeCell ref="E30:E32"/>
    <mergeCell ref="F30:F32"/>
    <mergeCell ref="F22:F24"/>
    <mergeCell ref="F9:F11"/>
    <mergeCell ref="F7:F8"/>
    <mergeCell ref="F5:F6"/>
    <mergeCell ref="E37:E39"/>
    <mergeCell ref="F37:F39"/>
    <mergeCell ref="A42:A43"/>
    <mergeCell ref="B42:B43"/>
    <mergeCell ref="C42:C43"/>
    <mergeCell ref="A37:A41"/>
    <mergeCell ref="B37:B39"/>
    <mergeCell ref="C37:C39"/>
    <mergeCell ref="D37:D39"/>
    <mergeCell ref="L45:V45"/>
    <mergeCell ref="X45:AH45"/>
    <mergeCell ref="L46:V46"/>
    <mergeCell ref="X46:AH46"/>
    <mergeCell ref="L47:P47"/>
    <mergeCell ref="R47:T47"/>
    <mergeCell ref="X47:AB47"/>
    <mergeCell ref="AD47:AF47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F986-AE15-4ABA-B1DB-7601DB86B80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6" width="10.28515625" style="14" bestFit="1" customWidth="1"/>
    <col min="7" max="7" width="10.85546875" style="14" bestFit="1" customWidth="1"/>
    <col min="8" max="8" width="10" style="14" bestFit="1" customWidth="1"/>
    <col min="9" max="9" width="8" style="14" bestFit="1" customWidth="1"/>
    <col min="10" max="10" width="10.85546875" style="14" bestFit="1" customWidth="1"/>
    <col min="11" max="11" width="10" style="14" bestFit="1" customWidth="1"/>
    <col min="12" max="12" width="9.5703125" style="14" bestFit="1" customWidth="1"/>
    <col min="13" max="13" width="9.7109375" style="14" bestFit="1" customWidth="1"/>
    <col min="14" max="14" width="6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1083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A3</v>
      </c>
      <c r="AA2" s="14" t="s">
        <v>39</v>
      </c>
      <c r="AB2" s="14" t="s">
        <v>36</v>
      </c>
      <c r="AC2" s="14" t="s">
        <v>24</v>
      </c>
      <c r="AD2" s="14" t="s">
        <v>24</v>
      </c>
      <c r="AE2" s="14" t="s">
        <v>81</v>
      </c>
      <c r="AG2" s="14" t="s">
        <v>78</v>
      </c>
    </row>
    <row r="3" spans="1:33" x14ac:dyDescent="0.2">
      <c r="AA3" s="14" t="s">
        <v>83</v>
      </c>
      <c r="AB3" s="14" t="s">
        <v>82</v>
      </c>
      <c r="AC3" s="14" t="s">
        <v>43</v>
      </c>
      <c r="AD3" s="14" t="s">
        <v>29</v>
      </c>
      <c r="AE3" s="14" t="s">
        <v>84</v>
      </c>
      <c r="AG3" s="14" t="s">
        <v>79</v>
      </c>
    </row>
    <row r="4" spans="1:33" x14ac:dyDescent="0.2">
      <c r="AA4" s="14" t="s">
        <v>22</v>
      </c>
      <c r="AB4" s="14" t="s">
        <v>40</v>
      </c>
      <c r="AC4" s="14" t="s">
        <v>46</v>
      </c>
      <c r="AD4" s="14" t="s">
        <v>30</v>
      </c>
      <c r="AE4" s="14" t="s">
        <v>85</v>
      </c>
      <c r="AG4" s="14" t="s">
        <v>80</v>
      </c>
    </row>
    <row r="5" spans="1:33" x14ac:dyDescent="0.2">
      <c r="A5" s="14" t="s">
        <v>1076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486</v>
      </c>
      <c r="AA5" s="14" t="s">
        <v>42</v>
      </c>
      <c r="AB5" s="14" t="s">
        <v>55</v>
      </c>
      <c r="AD5" s="14" t="s">
        <v>31</v>
      </c>
      <c r="AG5" s="14" t="s">
        <v>9</v>
      </c>
    </row>
    <row r="6" spans="1:33" x14ac:dyDescent="0.2">
      <c r="A6" s="14" t="s">
        <v>1077</v>
      </c>
      <c r="B6" s="45">
        <f>SUM(TUSD!$AI$61:'TUSD'!$AI$111)</f>
        <v>9480744.3568335492</v>
      </c>
      <c r="C6" s="45">
        <f>SUM(TUSD!$AJ$61:'TUSD'!$AJ$111)</f>
        <v>173090.6080806774</v>
      </c>
      <c r="D6" s="45">
        <f>SUM(TUSD!$AK$61:'TUSD'!$AK$111)</f>
        <v>0</v>
      </c>
      <c r="E6" s="45">
        <f>SUM(TUSD!$AL$61:'TUSD'!$AL$111)</f>
        <v>0</v>
      </c>
      <c r="F6" s="45">
        <f>SUM(TUSD!$AM$61:'TUSD'!$AM$111)</f>
        <v>0</v>
      </c>
      <c r="G6" s="45">
        <f>SUM(TUSD!$AN$61:'TUSD'!$AN$111)</f>
        <v>16421871.152111256</v>
      </c>
      <c r="H6" s="45">
        <f>SUM(TUSD!$AO$61:'TUSD'!$AO$111)</f>
        <v>2859410.6085469187</v>
      </c>
      <c r="I6" s="45">
        <f>SUM(TUSD!$AP$61:'TUSD'!$AP$111)</f>
        <v>0</v>
      </c>
      <c r="J6" s="45">
        <f>SUM(TUSD!$AQ$61:'TUSD'!$AQ$111)</f>
        <v>7169176.0705241803</v>
      </c>
      <c r="K6" s="45">
        <f>SUM(TUSD!$AR$61:'TUSD'!$AR$111)</f>
        <v>1338599.694204808</v>
      </c>
      <c r="L6" s="45">
        <f>SUM(TUSD!$AS$61:'TUSD'!$AS$111)</f>
        <v>0</v>
      </c>
      <c r="M6" s="45">
        <f>SUM(TUSD!$AT$61:'TUSD'!$AT$111)</f>
        <v>0</v>
      </c>
      <c r="N6" s="45">
        <f>SUM(TUSD!$AU$61:'TUSD'!$AU$111)</f>
        <v>0</v>
      </c>
      <c r="O6" s="45">
        <f>SUM(TUSD!$AV$61:'TUSD'!$AV$111)</f>
        <v>0</v>
      </c>
      <c r="P6" s="45">
        <f>SUM(TUSD!$AW$61:'TUSD'!$AW$111)</f>
        <v>0</v>
      </c>
      <c r="Q6" s="45">
        <f>SUM(TUSD!$AX$61:'TUSD'!$AX$111)</f>
        <v>31195009.727320425</v>
      </c>
      <c r="R6" s="45">
        <f>SUM(TUSD!$AY$61:'TUSD'!$AY$111)</f>
        <v>0</v>
      </c>
      <c r="S6" s="45">
        <f>SUM(TUSD!$AZ$61:'TUSD'!$AZ$111)</f>
        <v>0</v>
      </c>
      <c r="T6" s="45">
        <f>SUM(TUSD!$BA$61:'TUSD'!$BA$111)</f>
        <v>2654428.0172595358</v>
      </c>
      <c r="U6" s="45">
        <f>SUM(TUSD!$BB$61:'TUSD'!$BB$111)</f>
        <v>0</v>
      </c>
      <c r="V6" s="45">
        <f>SUM(TUSD!$BC$61:'TUSD'!$BC$111)</f>
        <v>0</v>
      </c>
      <c r="W6" s="45">
        <f>SUM(TUSD!$BD$61:'TUSD'!$BD$111)</f>
        <v>0</v>
      </c>
      <c r="X6" s="45">
        <f t="shared" ref="X6:X11" si="0">SUM(B6:W6)</f>
        <v>71292330.234881356</v>
      </c>
      <c r="AA6" s="14" t="s">
        <v>33</v>
      </c>
      <c r="AB6" s="14" t="s">
        <v>23</v>
      </c>
      <c r="AD6" s="14" t="s">
        <v>32</v>
      </c>
      <c r="AG6" s="14" t="s">
        <v>75</v>
      </c>
    </row>
    <row r="7" spans="1:33" x14ac:dyDescent="0.2">
      <c r="A7" s="14" t="s">
        <v>1078</v>
      </c>
      <c r="B7" s="45">
        <f>SUM(TUSD!$L$61:'TUSD'!$L$111)</f>
        <v>9261198.2186272535</v>
      </c>
      <c r="C7" s="45">
        <f>SUM(TUSD!$M$61:'TUSD'!$M$111)</f>
        <v>169545.07810568181</v>
      </c>
      <c r="D7" s="45">
        <f ca="1">SUM(TUSD!$N$61:'TUSD'!$N$111)</f>
        <v>0</v>
      </c>
      <c r="E7" s="45">
        <f>SUM(TUSD!$O$61:'TUSD'!$O$111)</f>
        <v>0</v>
      </c>
      <c r="F7" s="45">
        <f>SUM(TUSD!$P$61:'TUSD'!$P$111)</f>
        <v>0</v>
      </c>
      <c r="G7" s="45">
        <f>SUM(TUSD!$Q$61:'TUSD'!$Q$111)</f>
        <v>26098710.681527447</v>
      </c>
      <c r="H7" s="45">
        <f>SUM(TUSD!$R$61:'TUSD'!$R$111)</f>
        <v>4686847.0082577094</v>
      </c>
      <c r="I7" s="45">
        <f>SUM(TUSD!$S$61:'TUSD'!$S$111)</f>
        <v>0</v>
      </c>
      <c r="J7" s="45">
        <f>SUM(TUSD!$T$61:'TUSD'!$T$111)</f>
        <v>10284262.710953761</v>
      </c>
      <c r="K7" s="45">
        <f>SUM(TUSD!$U$61:'TUSD'!$U$111)</f>
        <v>1441435.7478364876</v>
      </c>
      <c r="L7" s="45">
        <f>SUM(TUSD!$V$61:'TUSD'!$V$111)</f>
        <v>0</v>
      </c>
      <c r="M7" s="45">
        <f>SUM(TUSD!$W$61:'TUSD'!$W$111)</f>
        <v>0</v>
      </c>
      <c r="N7" s="45">
        <f>SUM(TUSD!$X$61:'TUSD'!$X$111)</f>
        <v>0</v>
      </c>
      <c r="O7" s="45">
        <f>SUM(TUSD!$Y$61:'TUSD'!$Y$111)</f>
        <v>0</v>
      </c>
      <c r="P7" s="45">
        <f>SUM(TUSD!$Z$61:'TUSD'!$Z$111)</f>
        <v>0</v>
      </c>
      <c r="Q7" s="45">
        <f>SUM(TUSD!$AA$61:'TUSD'!$AA$111)</f>
        <v>37898901.705250427</v>
      </c>
      <c r="R7" s="45">
        <f ca="1">SUM(TUSD!$AB$61:'TUSD'!$AB$111)</f>
        <v>0</v>
      </c>
      <c r="S7" s="45">
        <f ca="1">SUM(TUSD!$AC$61:'TUSD'!$AC$111)</f>
        <v>0</v>
      </c>
      <c r="T7" s="45">
        <f>SUM(TUSD!$AD$61:'TUSD'!$AD$111)</f>
        <v>2248352.5582133578</v>
      </c>
      <c r="U7" s="45">
        <f>SUM(TUSD!$AE$61:'TUSD'!$AE$111)</f>
        <v>0</v>
      </c>
      <c r="V7" s="45">
        <f ca="1">SUM(TUSD!$AF$61:'TUSD'!$AF$111)</f>
        <v>0</v>
      </c>
      <c r="W7" s="45">
        <f ca="1">SUM(TUSD!$AG$61:'TUSD'!$AG$111)</f>
        <v>0</v>
      </c>
      <c r="X7" s="45">
        <f t="shared" ca="1" si="0"/>
        <v>92089253.708772123</v>
      </c>
      <c r="AA7" s="14" t="s">
        <v>45</v>
      </c>
      <c r="AB7" s="14" t="s">
        <v>89</v>
      </c>
      <c r="AD7" s="14" t="s">
        <v>90</v>
      </c>
      <c r="AG7" s="14" t="s">
        <v>76</v>
      </c>
    </row>
    <row r="8" spans="1:33" x14ac:dyDescent="0.2">
      <c r="A8" s="14" t="s">
        <v>1081</v>
      </c>
      <c r="B8" s="45">
        <f>IF($G$2&lt;&gt;"Não se aplica",SUMIF(TUSD!$G$61:'TUSD'!$G$111,$I$2,TUSD!$AI$61:'TUSD'!$AI$111),IF($F$2&lt;&gt;"Não se aplica",SUMIF(TUSD!$F$61:'TUSD'!$F$111,$I$2,TUSD!$AI$61:'TUSD'!$AI$111),IF($E$2&lt;&gt;"Não se aplica",SUMIF(TUSD!$E$61:'TUSD'!$E$111,$I$2,TUSD!$AI$61:'TUSD'!$AI$111),IF($D$2&lt;&gt;"Não se aplica",SUMIF(TUSD!$D$61:'TUSD'!$D$111,$I$2,TUSD!$AI$61:'TUSD'!$AI$111),IF($C$2&lt;&gt;"Não se aplica",SUMIF(TUSD!$C$61:'TUSD'!$C$111,$I$2,TUSD!$AI$61:'TUSD'!$AI$111),IF($B$2&lt;&gt;"Não se aplica",SUMIF(TUSD!$B$61:'TUSD'!$B$111,$I$2,TUSD!$AI$61:'TUSD'!$AI$111),SUMIF(TUSD!$A$61:'TUSD'!$A$111,$I$2,TUSD!$AI$61:'TUSD'!$AI$111)))))))</f>
        <v>286411.85680000967</v>
      </c>
      <c r="C8" s="45">
        <f>IF($G$2&lt;&gt;"Não se aplica",SUMIF(TUSD!$G$61:'TUSD'!$G$111,$I$2,TUSD!$AJ$61:'TUSD'!$AJ$111),IF($F$2&lt;&gt;"Não se aplica",SUMIF(TUSD!$F$61:'TUSD'!$F$111,$I$2,TUSD!$AJ$61:'TUSD'!$AJ$111),IF($E$2&lt;&gt;"Não se aplica",SUMIF(TUSD!$E$61:'TUSD'!$E$111,$I$2,TUSD!$AJ$61:'TUSD'!$AJ$111),IF($D$2&lt;&gt;"Não se aplica",SUMIF(TUSD!$D$61:'TUSD'!$D$111,$I$2,TUSD!$AJ$61:'TUSD'!$AJ$111),IF($C$2&lt;&gt;"Não se aplica",SUMIF(TUSD!$C$61:'TUSD'!$C$111,$I$2,TUSD!$AJ$61:'TUSD'!$AJ$111),IF($B$2&lt;&gt;"Não se aplica",SUMIF(TUSD!$B$61:'TUSD'!$B$111,$I$2,TUSD!$AJ$61:'TUSD'!$AJ$111),SUMIF(TUSD!$A$61:'TUSD'!$A$111,$I$2,TUSD!$AJ$61:'TUSD'!$AJ$111)))))))</f>
        <v>2886.6764134495443</v>
      </c>
      <c r="D8" s="45">
        <f>IF($G$2&lt;&gt;"Não se aplica",SUMIF(TUSD!$G$61:'TUSD'!$G$111,$I$2,TUSD!$AK$61:'TUSD'!$AK$111),IF($F$2&lt;&gt;"Não se aplica",SUMIF(TUSD!$F$61:'TUSD'!$F$111,$I$2,TUSD!$AK$61:'TUSD'!$AK$111),IF($E$2&lt;&gt;"Não se aplica",SUMIF(TUSD!$E$61:'TUSD'!$E$111,$I$2,TUSD!$AK$61:'TUSD'!$AK$111),IF($D$2&lt;&gt;"Não se aplica",SUMIF(TUSD!$D$61:'TUSD'!$D$111,$I$2,TUSD!$AK$61:'TUSD'!$AK$111),IF($C$2&lt;&gt;"Não se aplica",SUMIF(TUSD!$C$61:'TUSD'!$C$111,$I$2,TUSD!$AK$61:'TUSD'!$AK$111),IF($B$2&lt;&gt;"Não se aplica",SUMIF(TUSD!$B$61:'TUSD'!$B$111,$I$2,TUSD!$AK$61:'TUSD'!$AK$111),SUMIF(TUSD!$A$61:'TUSD'!$A$111,$I$2,TUSD!$AK$61:'TUSD'!$AK$111)))))))</f>
        <v>0</v>
      </c>
      <c r="E8" s="45">
        <f>IF($G$2&lt;&gt;"Não se aplica",SUMIF(TUSD!$G$61:'TUSD'!$G$111,$I$2,TUSD!$AL$61:'TUSD'!$AL$111),IF($F$2&lt;&gt;"Não se aplica",SUMIF(TUSD!$F$61:'TUSD'!$F$111,$I$2,TUSD!$AL$61:'TUSD'!$AL$111),IF($E$2&lt;&gt;"Não se aplica",SUMIF(TUSD!$E$61:'TUSD'!$E$111,$I$2,TUSD!$AL$61:'TUSD'!$AL$111),IF($D$2&lt;&gt;"Não se aplica",SUMIF(TUSD!$D$61:'TUSD'!$D$111,$I$2,TUSD!$AL$61:'TUSD'!$AL$111),IF($C$2&lt;&gt;"Não se aplica",SUMIF(TUSD!$C$61:'TUSD'!$C$111,$I$2,TUSD!$AL$61:'TUSD'!$AL$111),IF($B$2&lt;&gt;"Não se aplica",SUMIF(TUSD!$B$61:'TUSD'!$B$111,$I$2,TUSD!$AL$61:'TUSD'!$AL$111),SUMIF(TUSD!$A$61:'TUSD'!$A$111,$I$2,TUSD!$AL$61:'TUSD'!$AL$111)))))))</f>
        <v>0</v>
      </c>
      <c r="F8" s="45">
        <f>IF($G$2&lt;&gt;"Não se aplica",SUMIF(TUSD!$G$61:'TUSD'!$G$111,$I$2,TUSD!$AM$61:'TUSD'!$AM$111),IF($F$2&lt;&gt;"Não se aplica",SUMIF(TUSD!$F$61:'TUSD'!$F$111,$I$2,TUSD!$AM$61:'TUSD'!$AM$111),IF($E$2&lt;&gt;"Não se aplica",SUMIF(TUSD!$E$61:'TUSD'!$E$111,$I$2,TUSD!$AM$61:'TUSD'!$AM$111),IF($D$2&lt;&gt;"Não se aplica",SUMIF(TUSD!$D$61:'TUSD'!$D$111,$I$2,TUSD!$AM$61:'TUSD'!$AM$111),IF($C$2&lt;&gt;"Não se aplica",SUMIF(TUSD!$C$61:'TUSD'!$C$111,$I$2,TUSD!$AM$61:'TUSD'!$AM$111),IF($B$2&lt;&gt;"Não se aplica",SUMIF(TUSD!$B$61:'TUSD'!$B$111,$I$2,TUSD!$AM$61:'TUSD'!$AM$111),SUMIF(TUSD!$A$61:'TUSD'!$A$111,$I$2,TUSD!$AM$61:'TUSD'!$AM$111)))))))</f>
        <v>0</v>
      </c>
      <c r="G8" s="45">
        <f>IF($G$2&lt;&gt;"Não se aplica",SUMIF(TUSD!$G$61:'TUSD'!$G$111,$I$2,TUSD!$AN$61:'TUSD'!$AN$111),IF($F$2&lt;&gt;"Não se aplica",SUMIF(TUSD!$F$61:'TUSD'!$F$111,$I$2,TUSD!$AN$61:'TUSD'!$AN$111),IF($E$2&lt;&gt;"Não se aplica",SUMIF(TUSD!$E$61:'TUSD'!$E$111,$I$2,TUSD!$AN$61:'TUSD'!$AN$111),IF($D$2&lt;&gt;"Não se aplica",SUMIF(TUSD!$D$61:'TUSD'!$D$111,$I$2,TUSD!$AN$61:'TUSD'!$AN$111),IF($C$2&lt;&gt;"Não se aplica",SUMIF(TUSD!$C$61:'TUSD'!$C$111,$I$2,TUSD!$AN$61:'TUSD'!$AN$111),IF($B$2&lt;&gt;"Não se aplica",SUMIF(TUSD!$B$61:'TUSD'!$B$111,$I$2,TUSD!$AN$61:'TUSD'!$AN$111),SUMIF(TUSD!$A$61:'TUSD'!$A$111,$I$2,TUSD!$AN$61:'TUSD'!$AN$111)))))))</f>
        <v>496102.25018002343</v>
      </c>
      <c r="H8" s="45">
        <f>IF($G$2&lt;&gt;"Não se aplica",SUMIF(TUSD!$G$61:'TUSD'!$G$111,$I$2,TUSD!$AO$61:'TUSD'!$AO$111),IF($F$2&lt;&gt;"Não se aplica",SUMIF(TUSD!$F$61:'TUSD'!$F$111,$I$2,TUSD!$AO$61:'TUSD'!$AO$111),IF($E$2&lt;&gt;"Não se aplica",SUMIF(TUSD!$E$61:'TUSD'!$E$111,$I$2,TUSD!$AO$61:'TUSD'!$AO$111),IF($D$2&lt;&gt;"Não se aplica",SUMIF(TUSD!$D$61:'TUSD'!$D$111,$I$2,TUSD!$AO$61:'TUSD'!$AO$111),IF($C$2&lt;&gt;"Não se aplica",SUMIF(TUSD!$C$61:'TUSD'!$C$111,$I$2,TUSD!$AO$61:'TUSD'!$AO$111),IF($B$2&lt;&gt;"Não se aplica",SUMIF(TUSD!$B$61:'TUSD'!$B$111,$I$2,TUSD!$AO$61:'TUSD'!$AO$111),SUMIF(TUSD!$A$61:'TUSD'!$A$111,$I$2,TUSD!$AO$61:'TUSD'!$AO$111)))))))</f>
        <v>116213.16758451273</v>
      </c>
      <c r="I8" s="45">
        <f>IF($G$2&lt;&gt;"Não se aplica",SUMIF(TUSD!$G$61:'TUSD'!$G$111,$I$2,TUSD!$AP$61:'TUSD'!$AP$111),IF($F$2&lt;&gt;"Não se aplica",SUMIF(TUSD!$F$61:'TUSD'!$F$111,$I$2,TUSD!$AP$61:'TUSD'!$AP$111),IF($E$2&lt;&gt;"Não se aplica",SUMIF(TUSD!$E$61:'TUSD'!$E$111,$I$2,TUSD!$AP$61:'TUSD'!$AP$111),IF($D$2&lt;&gt;"Não se aplica",SUMIF(TUSD!$D$61:'TUSD'!$D$111,$I$2,TUSD!$AP$61:'TUSD'!$AP$111),IF($C$2&lt;&gt;"Não se aplica",SUMIF(TUSD!$C$61:'TUSD'!$C$111,$I$2,TUSD!$AP$61:'TUSD'!$AP$111),IF($B$2&lt;&gt;"Não se aplica",SUMIF(TUSD!$B$61:'TUSD'!$B$111,$I$2,TUSD!$AP$61:'TUSD'!$AP$111),SUMIF(TUSD!$A$61:'TUSD'!$A$111,$I$2,TUSD!$AP$61:'TUSD'!$AP$111)))))))</f>
        <v>0</v>
      </c>
      <c r="J8" s="45">
        <f>IF($G$2&lt;&gt;"Não se aplica",SUMIF(TUSD!$G$61:'TUSD'!$G$111,$I$2,TUSD!$AQ$61:'TUSD'!$AQ$111),IF($F$2&lt;&gt;"Não se aplica",SUMIF(TUSD!$F$61:'TUSD'!$F$111,$I$2,TUSD!$AQ$61:'TUSD'!$AQ$111),IF($E$2&lt;&gt;"Não se aplica",SUMIF(TUSD!$E$61:'TUSD'!$E$111,$I$2,TUSD!$AQ$61:'TUSD'!$AQ$111),IF($D$2&lt;&gt;"Não se aplica",SUMIF(TUSD!$D$61:'TUSD'!$D$111,$I$2,TUSD!$AQ$61:'TUSD'!$AQ$111),IF($C$2&lt;&gt;"Não se aplica",SUMIF(TUSD!$C$61:'TUSD'!$C$111,$I$2,TUSD!$AQ$61:'TUSD'!$AQ$111),IF($B$2&lt;&gt;"Não se aplica",SUMIF(TUSD!$B$61:'TUSD'!$B$111,$I$2,TUSD!$AQ$61:'TUSD'!$AQ$111),SUMIF(TUSD!$A$61:'TUSD'!$A$111,$I$2,TUSD!$AQ$61:'TUSD'!$AQ$111)))))))</f>
        <v>280637.81934990117</v>
      </c>
      <c r="K8" s="45">
        <f>IF($G$2&lt;&gt;"Não se aplica",SUMIF(TUSD!$G$61:'TUSD'!$G$111,$I$2,TUSD!$AR$61:'TUSD'!$AR$111),IF($F$2&lt;&gt;"Não se aplica",SUMIF(TUSD!$F$61:'TUSD'!$F$111,$I$2,TUSD!$AR$61:'TUSD'!$AR$111),IF($E$2&lt;&gt;"Não se aplica",SUMIF(TUSD!$E$61:'TUSD'!$E$111,$I$2,TUSD!$AR$61:'TUSD'!$AR$111),IF($D$2&lt;&gt;"Não se aplica",SUMIF(TUSD!$D$61:'TUSD'!$D$111,$I$2,TUSD!$AR$61:'TUSD'!$AR$111),IF($C$2&lt;&gt;"Não se aplica",SUMIF(TUSD!$C$61:'TUSD'!$C$111,$I$2,TUSD!$AR$61:'TUSD'!$AR$111),IF($B$2&lt;&gt;"Não se aplica",SUMIF(TUSD!$B$61:'TUSD'!$B$111,$I$2,TUSD!$AR$61:'TUSD'!$AR$111),SUMIF(TUSD!$A$61:'TUSD'!$A$111,$I$2,TUSD!$AR$61:'TUSD'!$AR$111)))))))</f>
        <v>49424.589755435285</v>
      </c>
      <c r="L8" s="45">
        <f>IF($G$2&lt;&gt;"Não se aplica",SUMIF(TUSD!$G$61:'TUSD'!$G$111,$I$2,TUSD!$AS$61:'TUSD'!$AS$111),IF($F$2&lt;&gt;"Não se aplica",SUMIF(TUSD!$F$61:'TUSD'!$F$111,$I$2,TUSD!$AS$61:'TUSD'!$AS$111),IF($E$2&lt;&gt;"Não se aplica",SUMIF(TUSD!$E$61:'TUSD'!$E$111,$I$2,TUSD!$AS$61:'TUSD'!$AS$111),IF($D$2&lt;&gt;"Não se aplica",SUMIF(TUSD!$D$61:'TUSD'!$D$111,$I$2,TUSD!$AS$61:'TUSD'!$AS$111),IF($C$2&lt;&gt;"Não se aplica",SUMIF(TUSD!$C$61:'TUSD'!$C$111,$I$2,TUSD!$AS$61:'TUSD'!$AS$111),IF($B$2&lt;&gt;"Não se aplica",SUMIF(TUSD!$B$61:'TUSD'!$B$111,$I$2,TUSD!$AS$61:'TUSD'!$AS$111),SUMIF(TUSD!$A$61:'TUSD'!$A$111,$I$2,TUSD!$AS$61:'TUSD'!$AS$111)))))))</f>
        <v>0</v>
      </c>
      <c r="M8" s="45">
        <f>IF($G$2&lt;&gt;"Não se aplica",SUMIF(TUSD!$G$61:'TUSD'!$G$111,$I$2,TUSD!$AT$61:'TUSD'!$AT$111),IF($F$2&lt;&gt;"Não se aplica",SUMIF(TUSD!$F$61:'TUSD'!$F$111,$I$2,TUSD!$AT$61:'TUSD'!$AT$111),IF($E$2&lt;&gt;"Não se aplica",SUMIF(TUSD!$E$61:'TUSD'!$E$111,$I$2,TUSD!$AT$61:'TUSD'!$AT$111),IF($D$2&lt;&gt;"Não se aplica",SUMIF(TUSD!$D$61:'TUSD'!$D$111,$I$2,TUSD!$AT$61:'TUSD'!$AT$111),IF($C$2&lt;&gt;"Não se aplica",SUMIF(TUSD!$C$61:'TUSD'!$C$111,$I$2,TUSD!$AT$61:'TUSD'!$AT$111),IF($B$2&lt;&gt;"Não se aplica",SUMIF(TUSD!$B$61:'TUSD'!$B$111,$I$2,TUSD!$AT$61:'TUSD'!$AT$111),SUMIF(TUSD!$A$61:'TUSD'!$A$111,$I$2,TUSD!$AT$61:'TUSD'!$AT$111)))))))</f>
        <v>0</v>
      </c>
      <c r="N8" s="45">
        <f>IF($G$2&lt;&gt;"Não se aplica",SUMIF(TUSD!$G$61:'TUSD'!$G$111,$I$2,TUSD!$AU$61:'TUSD'!$AU$111),IF($F$2&lt;&gt;"Não se aplica",SUMIF(TUSD!$F$61:'TUSD'!$F$111,$I$2,TUSD!$AU$61:'TUSD'!$AU$111),IF($E$2&lt;&gt;"Não se aplica",SUMIF(TUSD!$E$61:'TUSD'!$E$111,$I$2,TUSD!$AU$61:'TUSD'!$AU$111),IF($D$2&lt;&gt;"Não se aplica",SUMIF(TUSD!$D$61:'TUSD'!$D$111,$I$2,TUSD!$AU$61:'TUSD'!$AU$111),IF($C$2&lt;&gt;"Não se aplica",SUMIF(TUSD!$C$61:'TUSD'!$C$111,$I$2,TUSD!$AU$61:'TUSD'!$AU$111),IF($B$2&lt;&gt;"Não se aplica",SUMIF(TUSD!$B$61:'TUSD'!$B$111,$I$2,TUSD!$AU$61:'TUSD'!$AU$111),SUMIF(TUSD!$A$61:'TUSD'!$A$111,$I$2,TUSD!$AU$61:'TUSD'!$AU$111)))))))</f>
        <v>0</v>
      </c>
      <c r="O8" s="45">
        <f>IF($G$2&lt;&gt;"Não se aplica",SUMIF(TUSD!$G$61:'TUSD'!$G$111,$I$2,TUSD!$AV$61:'TUSD'!$AV$111),IF($F$2&lt;&gt;"Não se aplica",SUMIF(TUSD!$F$61:'TUSD'!$F$111,$I$2,TUSD!$AV$61:'TUSD'!$AV$111),IF($E$2&lt;&gt;"Não se aplica",SUMIF(TUSD!$E$61:'TUSD'!$E$111,$I$2,TUSD!$AV$61:'TUSD'!$AV$111),IF($D$2&lt;&gt;"Não se aplica",SUMIF(TUSD!$D$61:'TUSD'!$D$111,$I$2,TUSD!$AV$61:'TUSD'!$AV$111),IF($C$2&lt;&gt;"Não se aplica",SUMIF(TUSD!$C$61:'TUSD'!$C$111,$I$2,TUSD!$AV$61:'TUSD'!$AV$111),IF($B$2&lt;&gt;"Não se aplica",SUMIF(TUSD!$B$61:'TUSD'!$B$111,$I$2,TUSD!$AV$61:'TUSD'!$AV$111),SUMIF(TUSD!$A$61:'TUSD'!$A$111,$I$2,TUSD!$AV$61:'TUSD'!$AV$111)))))))</f>
        <v>0</v>
      </c>
      <c r="P8" s="45">
        <f>IF($G$2&lt;&gt;"Não se aplica",SUMIF(TUSD!$G$61:'TUSD'!$G$111,$I$2,TUSD!$AW$61:'TUSD'!$AW$111),IF($F$2&lt;&gt;"Não se aplica",SUMIF(TUSD!$F$61:'TUSD'!$F$111,$I$2,TUSD!$AW$61:'TUSD'!$AW$111),IF($E$2&lt;&gt;"Não se aplica",SUMIF(TUSD!$E$61:'TUSD'!$E$111,$I$2,TUSD!$AW$61:'TUSD'!$AW$111),IF($D$2&lt;&gt;"Não se aplica",SUMIF(TUSD!$D$61:'TUSD'!$D$111,$I$2,TUSD!$AW$61:'TUSD'!$AW$111),IF($C$2&lt;&gt;"Não se aplica",SUMIF(TUSD!$C$61:'TUSD'!$C$111,$I$2,TUSD!$AW$61:'TUSD'!$AW$111),IF($B$2&lt;&gt;"Não se aplica",SUMIF(TUSD!$B$61:'TUSD'!$B$111,$I$2,TUSD!$AW$61:'TUSD'!$AW$111),SUMIF(TUSD!$A$61:'TUSD'!$A$111,$I$2,TUSD!$AW$61:'TUSD'!$AW$111)))))))</f>
        <v>0</v>
      </c>
      <c r="Q8" s="45">
        <f>IF($G$2&lt;&gt;"Não se aplica",SUMIF(TUSD!$G$61:'TUSD'!$G$111,$I$2,TUSD!$AX$61:'TUSD'!$AX$111),IF($F$2&lt;&gt;"Não se aplica",SUMIF(TUSD!$F$61:'TUSD'!$F$111,$I$2,TUSD!$AX$61:'TUSD'!$AX$111),IF($E$2&lt;&gt;"Não se aplica",SUMIF(TUSD!$E$61:'TUSD'!$E$111,$I$2,TUSD!$AX$61:'TUSD'!$AX$111),IF($D$2&lt;&gt;"Não se aplica",SUMIF(TUSD!$D$61:'TUSD'!$D$111,$I$2,TUSD!$AX$61:'TUSD'!$AX$111),IF($C$2&lt;&gt;"Não se aplica",SUMIF(TUSD!$C$61:'TUSD'!$C$111,$I$2,TUSD!$AX$61:'TUSD'!$AX$111),IF($B$2&lt;&gt;"Não se aplica",SUMIF(TUSD!$B$61:'TUSD'!$B$111,$I$2,TUSD!$AX$61:'TUSD'!$AX$111),SUMIF(TUSD!$A$61:'TUSD'!$A$111,$I$2,TUSD!$AX$61:'TUSD'!$AX$111)))))))</f>
        <v>565228.64357170137</v>
      </c>
      <c r="R8" s="45">
        <f>IF($G$2&lt;&gt;"Não se aplica",SUMIF(TUSD!$G$61:'TUSD'!$G$111,$I$2,TUSD!$AY$61:'TUSD'!$AY$111),IF($F$2&lt;&gt;"Não se aplica",SUMIF(TUSD!$F$61:'TUSD'!$F$111,$I$2,TUSD!$AY$61:'TUSD'!$AY$111),IF($E$2&lt;&gt;"Não se aplica",SUMIF(TUSD!$E$61:'TUSD'!$E$111,$I$2,TUSD!$AY$61:'TUSD'!$AY$111),IF($D$2&lt;&gt;"Não se aplica",SUMIF(TUSD!$D$61:'TUSD'!$D$111,$I$2,TUSD!$AY$61:'TUSD'!$AY$111),IF($C$2&lt;&gt;"Não se aplica",SUMIF(TUSD!$C$61:'TUSD'!$C$111,$I$2,TUSD!$AY$61:'TUSD'!$AY$111),IF($B$2&lt;&gt;"Não se aplica",SUMIF(TUSD!$B$61:'TUSD'!$B$111,$I$2,TUSD!$AY$61:'TUSD'!$AY$111),SUMIF(TUSD!$A$61:'TUSD'!$A$111,$I$2,TUSD!$AY$61:'TUSD'!$AY$111)))))))</f>
        <v>0</v>
      </c>
      <c r="S8" s="45">
        <f>IF($G$2&lt;&gt;"Não se aplica",SUMIF(TUSD!$G$61:'TUSD'!$G$111,$I$2,TUSD!$AZ$61:'TUSD'!$AZ$111),IF($F$2&lt;&gt;"Não se aplica",SUMIF(TUSD!$F$61:'TUSD'!$F$111,$I$2,TUSD!$AZ$61:'TUSD'!$AZ$111),IF($E$2&lt;&gt;"Não se aplica",SUMIF(TUSD!$E$61:'TUSD'!$E$111,$I$2,TUSD!$AZ$61:'TUSD'!$AZ$111),IF($D$2&lt;&gt;"Não se aplica",SUMIF(TUSD!$D$61:'TUSD'!$D$111,$I$2,TUSD!$AZ$61:'TUSD'!$AZ$111),IF($C$2&lt;&gt;"Não se aplica",SUMIF(TUSD!$C$61:'TUSD'!$C$111,$I$2,TUSD!$AZ$61:'TUSD'!$AZ$111),IF($B$2&lt;&gt;"Não se aplica",SUMIF(TUSD!$B$61:'TUSD'!$B$111,$I$2,TUSD!$AZ$61:'TUSD'!$AZ$111),SUMIF(TUSD!$A$61:'TUSD'!$A$111,$I$2,TUSD!$AZ$61:'TUSD'!$AZ$111)))))))</f>
        <v>0</v>
      </c>
      <c r="T8" s="45">
        <f>IF($G$2&lt;&gt;"Não se aplica",SUMIF(TUSD!$G$61:'TUSD'!$G$111,$I$2,TUSD!$BA$61:'TUSD'!$BA$111),IF($F$2&lt;&gt;"Não se aplica",SUMIF(TUSD!$F$61:'TUSD'!$F$111,$I$2,TUSD!$BA$61:'TUSD'!$BA$111),IF($E$2&lt;&gt;"Não se aplica",SUMIF(TUSD!$E$61:'TUSD'!$E$111,$I$2,TUSD!$BA$61:'TUSD'!$BA$111),IF($D$2&lt;&gt;"Não se aplica",SUMIF(TUSD!$D$61:'TUSD'!$D$111,$I$2,TUSD!$BA$61:'TUSD'!$BA$111),IF($C$2&lt;&gt;"Não se aplica",SUMIF(TUSD!$C$61:'TUSD'!$C$111,$I$2,TUSD!$BA$61:'TUSD'!$BA$111),IF($B$2&lt;&gt;"Não se aplica",SUMIF(TUSD!$B$61:'TUSD'!$B$111,$I$2,TUSD!$BA$61:'TUSD'!$BA$111),SUMIF(TUSD!$A$61:'TUSD'!$A$111,$I$2,TUSD!$BA$61:'TUSD'!$BA$111)))))))</f>
        <v>41455.503580163218</v>
      </c>
      <c r="U8" s="45">
        <f>IF($G$2&lt;&gt;"Não se aplica",SUMIF(TUSD!$G$61:'TUSD'!$G$111,$I$2,TUSD!$BB$61:'TUSD'!$BB$111),IF($F$2&lt;&gt;"Não se aplica",SUMIF(TUSD!$F$61:'TUSD'!$F$111,$I$2,TUSD!$BB$61:'TUSD'!$BB$111),IF($E$2&lt;&gt;"Não se aplica",SUMIF(TUSD!$E$61:'TUSD'!$E$111,$I$2,TUSD!$BB$61:'TUSD'!$BB$111),IF($D$2&lt;&gt;"Não se aplica",SUMIF(TUSD!$D$61:'TUSD'!$D$111,$I$2,TUSD!$BB$61:'TUSD'!$BB$111),IF($C$2&lt;&gt;"Não se aplica",SUMIF(TUSD!$C$61:'TUSD'!$C$111,$I$2,TUSD!$BB$61:'TUSD'!$BB$111),IF($B$2&lt;&gt;"Não se aplica",SUMIF(TUSD!$B$61:'TUSD'!$B$111,$I$2,TUSD!$BB$61:'TUSD'!$BB$111),SUMIF(TUSD!$A$61:'TUSD'!$A$111,$I$2,TUSD!$BB$61:'TUSD'!$BB$111)))))))</f>
        <v>0</v>
      </c>
      <c r="V8" s="45">
        <f>IF($G$2&lt;&gt;"Não se aplica",SUMIF(TUSD!$G$61:'TUSD'!$G$111,$I$2,TUSD!$BC$61:'TUSD'!$BC$111),IF($F$2&lt;&gt;"Não se aplica",SUMIF(TUSD!$F$61:'TUSD'!$F$111,$I$2,TUSD!$BC$61:'TUSD'!$BC$111),IF($E$2&lt;&gt;"Não se aplica",SUMIF(TUSD!$E$61:'TUSD'!$E$111,$I$2,TUSD!$BC$61:'TUSD'!$BC$111),IF($D$2&lt;&gt;"Não se aplica",SUMIF(TUSD!$D$61:'TUSD'!$D$111,$I$2,TUSD!$BC$61:'TUSD'!$BC$111),IF($C$2&lt;&gt;"Não se aplica",SUMIF(TUSD!$C$61:'TUSD'!$C$111,$I$2,TUSD!$BC$61:'TUSD'!$BC$111),IF($B$2&lt;&gt;"Não se aplica",SUMIF(TUSD!$B$61:'TUSD'!$B$111,$I$2,TUSD!$BC$61:'TUSD'!$BC$111),SUMIF(TUSD!$A$61:'TUSD'!$A$111,$I$2,TUSD!$BC$61:'TUSD'!$BC$111)))))))</f>
        <v>0</v>
      </c>
      <c r="W8" s="45">
        <f>IF($G$2&lt;&gt;"Não se aplica",SUMIF(TUSD!$G$61:'TUSD'!$G$111,$I$2,TUSD!$BD$61:'TUSD'!$BD$111),IF($F$2&lt;&gt;"Não se aplica",SUMIF(TUSD!$F$61:'TUSD'!$F$111,$I$2,TUSD!$BD$61:'TUSD'!$BD$111),IF($E$2&lt;&gt;"Não se aplica",SUMIF(TUSD!$E$61:'TUSD'!$E$111,$I$2,TUSD!$BD$61:'TUSD'!$BD$111),IF($D$2&lt;&gt;"Não se aplica",SUMIF(TUSD!$D$61:'TUSD'!$D$111,$I$2,TUSD!$BD$61:'TUSD'!$BD$111),IF($C$2&lt;&gt;"Não se aplica",SUMIF(TUSD!$C$61:'TUSD'!$C$111,$I$2,TUSD!$BD$61:'TUSD'!$BD$111),IF($B$2&lt;&gt;"Não se aplica",SUMIF(TUSD!$B$61:'TUSD'!$B$111,$I$2,TUSD!$BD$61:'TUSD'!$BD$111),SUMIF(TUSD!$A$61:'TUSD'!$A$111,$I$2,TUSD!$BD$61:'TUSD'!$BD$111)))))))</f>
        <v>0</v>
      </c>
      <c r="X8" s="45">
        <f t="shared" si="0"/>
        <v>1838360.5072351964</v>
      </c>
      <c r="AD8" s="14" t="s">
        <v>91</v>
      </c>
      <c r="AG8" s="14" t="s">
        <v>86</v>
      </c>
    </row>
    <row r="9" spans="1:33" x14ac:dyDescent="0.2">
      <c r="A9" s="14" t="s">
        <v>1082</v>
      </c>
      <c r="B9" s="45">
        <f>IF($G$2&lt;&gt;"Não se aplica",SUMIF(TUSD!$G$61:'TUSD'!$G$111,$I$2,TUSD!$L$61:'TUSD'!$L$111),IF($F$2&lt;&gt;"Não se aplica",SUMIF(TUSD!$F$61:'TUSD'!$F$111,$I$2,TUSD!$L$61:'TUSD'!$L$111),IF($E$2&lt;&gt;"Não se aplica",SUMIF(TUSD!$E$61:'TUSD'!$E$111,$I$2,TUSD!$L$61:'TUSD'!$L$111),IF($D$2&lt;&gt;"Não se aplica",SUMIF(TUSD!$D$61:'TUSD'!$D$111,$I$2,TUSD!$L$61:'TUSD'!$L$111),IF($C$2&lt;&gt;"Não se aplica",SUMIF(TUSD!$C$61:'TUSD'!$C$111,$I$2,TUSD!$L$61:'TUSD'!$L$111),IF($B$2&lt;&gt;"Não se aplica",SUMIF(TUSD!$B$61:'TUSD'!$B$111,$I$2,TUSD!$L$61:'TUSD'!$L$111),SUMIF(TUSD!$A$61:'TUSD'!$A$111,$I$2,TUSD!$L$61:'TUSD'!$L$111)))))))</f>
        <v>264408.58720918599</v>
      </c>
      <c r="C9" s="45">
        <f>IF($G$2&lt;&gt;"Não se aplica",SUMIF(TUSD!$G$61:'TUSD'!$G$111,$I$2,TUSD!$M$61:'TUSD'!$M$111),IF($F$2&lt;&gt;"Não se aplica",SUMIF(TUSD!$F$61:'TUSD'!$F$111,$I$2,TUSD!$M$61:'TUSD'!$M$111),IF($E$2&lt;&gt;"Não se aplica",SUMIF(TUSD!$E$61:'TUSD'!$E$111,$I$2,TUSD!$M$61:'TUSD'!$M$111),IF($D$2&lt;&gt;"Não se aplica",SUMIF(TUSD!$D$61:'TUSD'!$D$111,$I$2,TUSD!$M$61:'TUSD'!$M$111),IF($C$2&lt;&gt;"Não se aplica",SUMIF(TUSD!$C$61:'TUSD'!$C$111,$I$2,TUSD!$M$61:'TUSD'!$M$111),IF($B$2&lt;&gt;"Não se aplica",SUMIF(TUSD!$B$61:'TUSD'!$B$111,$I$2,TUSD!$M$61:'TUSD'!$M$111),SUMIF(TUSD!$A$61:'TUSD'!$A$111,$I$2,TUSD!$M$61:'TUSD'!$M$111)))))))</f>
        <v>3059.3810545617935</v>
      </c>
      <c r="D9" s="45">
        <f ca="1">IF($G$2&lt;&gt;"Não se aplica",SUMIF(TUSD!$G$61:'TUSD'!$G$111,$I$2,TUSD!$N$61:'TUSD'!$N$111),IF($F$2&lt;&gt;"Não se aplica",SUMIF(TUSD!$F$61:'TUSD'!$F$111,$I$2,TUSD!$N$61:'TUSD'!$N$111),IF($E$2&lt;&gt;"Não se aplica",SUMIF(TUSD!$E$61:'TUSD'!$E$111,$I$2,TUSD!$N$61:'TUSD'!$N$111),IF($D$2&lt;&gt;"Não se aplica",SUMIF(TUSD!$D$61:'TUSD'!$D$111,$I$2,TUSD!$N$61:'TUSD'!$N$111),IF($C$2&lt;&gt;"Não se aplica",SUMIF(TUSD!$C$61:'TUSD'!$C$111,$I$2,TUSD!$N$61:'TUSD'!$N$111),IF($B$2&lt;&gt;"Não se aplica",SUMIF(TUSD!$B$61:'TUSD'!$B$111,$I$2,TUSD!$N$61:'TUSD'!$N$111),SUMIF(TUSD!$A$61:'TUSD'!$A$111,$I$2,TUSD!$N$61:'TUSD'!$N$111)))))))</f>
        <v>0</v>
      </c>
      <c r="E9" s="45">
        <f>IF($G$2&lt;&gt;"Não se aplica",SUMIF(TUSD!$G$61:'TUSD'!$G$111,$I$2,TUSD!$O$61:'TUSD'!$O$111),IF($F$2&lt;&gt;"Não se aplica",SUMIF(TUSD!$F$61:'TUSD'!$F$111,$I$2,TUSD!$O$61:'TUSD'!$O$111),IF($E$2&lt;&gt;"Não se aplica",SUMIF(TUSD!$E$61:'TUSD'!$E$111,$I$2,TUSD!$O$61:'TUSD'!$O$111),IF($D$2&lt;&gt;"Não se aplica",SUMIF(TUSD!$D$61:'TUSD'!$D$111,$I$2,TUSD!$O$61:'TUSD'!$O$111),IF($C$2&lt;&gt;"Não se aplica",SUMIF(TUSD!$C$61:'TUSD'!$C$111,$I$2,TUSD!$O$61:'TUSD'!$O$111),IF($B$2&lt;&gt;"Não se aplica",SUMIF(TUSD!$B$61:'TUSD'!$B$111,$I$2,TUSD!$O$61:'TUSD'!$O$111),SUMIF(TUSD!$A$61:'TUSD'!$A$111,$I$2,TUSD!$O$61:'TUSD'!$O$111)))))))</f>
        <v>0</v>
      </c>
      <c r="F9" s="45">
        <f>IF($G$2&lt;&gt;"Não se aplica",SUMIF(TUSD!$G$61:'TUSD'!$G$111,$I$2,TUSD!$P$61:'TUSD'!$P$111),IF($F$2&lt;&gt;"Não se aplica",SUMIF(TUSD!$F$61:'TUSD'!$F$111,$I$2,TUSD!$P$61:'TUSD'!$P$111),IF($E$2&lt;&gt;"Não se aplica",SUMIF(TUSD!$E$61:'TUSD'!$E$111,$I$2,TUSD!$P$61:'TUSD'!$P$111),IF($D$2&lt;&gt;"Não se aplica",SUMIF(TUSD!$D$61:'TUSD'!$D$111,$I$2,TUSD!$P$61:'TUSD'!$P$111),IF($C$2&lt;&gt;"Não se aplica",SUMIF(TUSD!$C$61:'TUSD'!$C$111,$I$2,TUSD!$P$61:'TUSD'!$P$111),IF($B$2&lt;&gt;"Não se aplica",SUMIF(TUSD!$B$61:'TUSD'!$B$111,$I$2,TUSD!$P$61:'TUSD'!$P$111),SUMIF(TUSD!$A$61:'TUSD'!$A$111,$I$2,TUSD!$P$61:'TUSD'!$P$111)))))))</f>
        <v>0</v>
      </c>
      <c r="G9" s="45">
        <f>IF($G$2&lt;&gt;"Não se aplica",SUMIF(TUSD!$G$61:'TUSD'!$G$111,$I$2,TUSD!$Q$61:'TUSD'!$Q$111),IF($F$2&lt;&gt;"Não se aplica",SUMIF(TUSD!$F$61:'TUSD'!$F$111,$I$2,TUSD!$Q$61:'TUSD'!$Q$111),IF($E$2&lt;&gt;"Não se aplica",SUMIF(TUSD!$E$61:'TUSD'!$E$111,$I$2,TUSD!$Q$61:'TUSD'!$Q$111),IF($D$2&lt;&gt;"Não se aplica",SUMIF(TUSD!$D$61:'TUSD'!$D$111,$I$2,TUSD!$Q$61:'TUSD'!$Q$111),IF($C$2&lt;&gt;"Não se aplica",SUMIF(TUSD!$C$61:'TUSD'!$C$111,$I$2,TUSD!$Q$61:'TUSD'!$Q$111),IF($B$2&lt;&gt;"Não se aplica",SUMIF(TUSD!$B$61:'TUSD'!$B$111,$I$2,TUSD!$Q$61:'TUSD'!$Q$111),SUMIF(TUSD!$A$61:'TUSD'!$A$111,$I$2,TUSD!$Q$61:'TUSD'!$Q$111)))))))</f>
        <v>745122.07344880991</v>
      </c>
      <c r="H9" s="45">
        <f>IF($G$2&lt;&gt;"Não se aplica",SUMIF(TUSD!$G$61:'TUSD'!$G$111,$I$2,TUSD!$R$61:'TUSD'!$R$111),IF($F$2&lt;&gt;"Não se aplica",SUMIF(TUSD!$F$61:'TUSD'!$F$111,$I$2,TUSD!$R$61:'TUSD'!$R$111),IF($E$2&lt;&gt;"Não se aplica",SUMIF(TUSD!$E$61:'TUSD'!$E$111,$I$2,TUSD!$R$61:'TUSD'!$R$111),IF($D$2&lt;&gt;"Não se aplica",SUMIF(TUSD!$D$61:'TUSD'!$D$111,$I$2,TUSD!$R$61:'TUSD'!$R$111),IF($C$2&lt;&gt;"Não se aplica",SUMIF(TUSD!$C$61:'TUSD'!$C$111,$I$2,TUSD!$R$61:'TUSD'!$R$111),IF($B$2&lt;&gt;"Não se aplica",SUMIF(TUSD!$B$61:'TUSD'!$B$111,$I$2,TUSD!$R$61:'TUSD'!$R$111),SUMIF(TUSD!$A$61:'TUSD'!$A$111,$I$2,TUSD!$R$61:'TUSD'!$R$111)))))))</f>
        <v>189930.04216897464</v>
      </c>
      <c r="I9" s="45">
        <f>IF($G$2&lt;&gt;"Não se aplica",SUMIF(TUSD!$G$61:'TUSD'!$G$111,$I$2,TUSD!$S$61:'TUSD'!$S$111),IF($F$2&lt;&gt;"Não se aplica",SUMIF(TUSD!$F$61:'TUSD'!$F$111,$I$2,TUSD!$S$61:'TUSD'!$S$111),IF($E$2&lt;&gt;"Não se aplica",SUMIF(TUSD!$E$61:'TUSD'!$E$111,$I$2,TUSD!$S$61:'TUSD'!$S$111),IF($D$2&lt;&gt;"Não se aplica",SUMIF(TUSD!$D$61:'TUSD'!$D$111,$I$2,TUSD!$S$61:'TUSD'!$S$111),IF($C$2&lt;&gt;"Não se aplica",SUMIF(TUSD!$C$61:'TUSD'!$C$111,$I$2,TUSD!$S$61:'TUSD'!$S$111),IF($B$2&lt;&gt;"Não se aplica",SUMIF(TUSD!$B$61:'TUSD'!$B$111,$I$2,TUSD!$S$61:'TUSD'!$S$111),SUMIF(TUSD!$A$61:'TUSD'!$A$111,$I$2,TUSD!$S$61:'TUSD'!$S$111)))))))</f>
        <v>0</v>
      </c>
      <c r="J9" s="45">
        <f>IF($G$2&lt;&gt;"Não se aplica",SUMIF(TUSD!$G$61:'TUSD'!$G$111,$I$2,TUSD!$T$61:'TUSD'!$T$111),IF($F$2&lt;&gt;"Não se aplica",SUMIF(TUSD!$F$61:'TUSD'!$F$111,$I$2,TUSD!$T$61:'TUSD'!$T$111),IF($E$2&lt;&gt;"Não se aplica",SUMIF(TUSD!$E$61:'TUSD'!$E$111,$I$2,TUSD!$T$61:'TUSD'!$T$111),IF($D$2&lt;&gt;"Não se aplica",SUMIF(TUSD!$D$61:'TUSD'!$D$111,$I$2,TUSD!$T$61:'TUSD'!$T$111),IF($C$2&lt;&gt;"Não se aplica",SUMIF(TUSD!$C$61:'TUSD'!$C$111,$I$2,TUSD!$T$61:'TUSD'!$T$111),IF($B$2&lt;&gt;"Não se aplica",SUMIF(TUSD!$B$61:'TUSD'!$B$111,$I$2,TUSD!$T$61:'TUSD'!$T$111),SUMIF(TUSD!$A$61:'TUSD'!$A$111,$I$2,TUSD!$T$61:'TUSD'!$T$111)))))))</f>
        <v>401506.26569047139</v>
      </c>
      <c r="K9" s="45">
        <f>IF($G$2&lt;&gt;"Não se aplica",SUMIF(TUSD!$G$61:'TUSD'!$G$111,$I$2,TUSD!$U$61:'TUSD'!$U$111),IF($F$2&lt;&gt;"Não se aplica",SUMIF(TUSD!$F$61:'TUSD'!$F$111,$I$2,TUSD!$U$61:'TUSD'!$U$111),IF($E$2&lt;&gt;"Não se aplica",SUMIF(TUSD!$E$61:'TUSD'!$E$111,$I$2,TUSD!$U$61:'TUSD'!$U$111),IF($D$2&lt;&gt;"Não se aplica",SUMIF(TUSD!$D$61:'TUSD'!$D$111,$I$2,TUSD!$U$61:'TUSD'!$U$111),IF($C$2&lt;&gt;"Não se aplica",SUMIF(TUSD!$C$61:'TUSD'!$C$111,$I$2,TUSD!$U$61:'TUSD'!$U$111),IF($B$2&lt;&gt;"Não se aplica",SUMIF(TUSD!$B$61:'TUSD'!$B$111,$I$2,TUSD!$U$61:'TUSD'!$U$111),SUMIF(TUSD!$A$61:'TUSD'!$A$111,$I$2,TUSD!$U$61:'TUSD'!$U$111)))))))</f>
        <v>53078.47229602946</v>
      </c>
      <c r="L9" s="45">
        <f>IF($G$2&lt;&gt;"Não se aplica",SUMIF(TUSD!$G$61:'TUSD'!$G$111,$I$2,TUSD!$V$61:'TUSD'!$V$111),IF($F$2&lt;&gt;"Não se aplica",SUMIF(TUSD!$F$61:'TUSD'!$F$111,$I$2,TUSD!$V$61:'TUSD'!$V$111),IF($E$2&lt;&gt;"Não se aplica",SUMIF(TUSD!$E$61:'TUSD'!$E$111,$I$2,TUSD!$V$61:'TUSD'!$V$111),IF($D$2&lt;&gt;"Não se aplica",SUMIF(TUSD!$D$61:'TUSD'!$D$111,$I$2,TUSD!$V$61:'TUSD'!$V$111),IF($C$2&lt;&gt;"Não se aplica",SUMIF(TUSD!$C$61:'TUSD'!$C$111,$I$2,TUSD!$V$61:'TUSD'!$V$111),IF($B$2&lt;&gt;"Não se aplica",SUMIF(TUSD!$B$61:'TUSD'!$B$111,$I$2,TUSD!$V$61:'TUSD'!$V$111),SUMIF(TUSD!$A$61:'TUSD'!$A$111,$I$2,TUSD!$V$61:'TUSD'!$V$111)))))))</f>
        <v>0</v>
      </c>
      <c r="M9" s="45">
        <f>IF($G$2&lt;&gt;"Não se aplica",SUMIF(TUSD!$G$61:'TUSD'!$G$111,$I$2,TUSD!$W$61:'TUSD'!$W$111),IF($F$2&lt;&gt;"Não se aplica",SUMIF(TUSD!$F$61:'TUSD'!$F$111,$I$2,TUSD!$W$61:'TUSD'!$W$111),IF($E$2&lt;&gt;"Não se aplica",SUMIF(TUSD!$E$61:'TUSD'!$E$111,$I$2,TUSD!$W$61:'TUSD'!$W$111),IF($D$2&lt;&gt;"Não se aplica",SUMIF(TUSD!$D$61:'TUSD'!$D$111,$I$2,TUSD!$W$61:'TUSD'!$W$111),IF($C$2&lt;&gt;"Não se aplica",SUMIF(TUSD!$C$61:'TUSD'!$C$111,$I$2,TUSD!$W$61:'TUSD'!$W$111),IF($B$2&lt;&gt;"Não se aplica",SUMIF(TUSD!$B$61:'TUSD'!$B$111,$I$2,TUSD!$W$61:'TUSD'!$W$111),SUMIF(TUSD!$A$61:'TUSD'!$A$111,$I$2,TUSD!$W$61:'TUSD'!$W$111)))))))</f>
        <v>0</v>
      </c>
      <c r="N9" s="45">
        <f>IF($G$2&lt;&gt;"Não se aplica",SUMIF(TUSD!$G$61:'TUSD'!$G$111,$I$2,TUSD!$X$61:'TUSD'!$X$111),IF($F$2&lt;&gt;"Não se aplica",SUMIF(TUSD!$F$61:'TUSD'!$F$111,$I$2,TUSD!$X$61:'TUSD'!$X$111),IF($E$2&lt;&gt;"Não se aplica",SUMIF(TUSD!$E$61:'TUSD'!$E$111,$I$2,TUSD!$X$61:'TUSD'!$X$111),IF($D$2&lt;&gt;"Não se aplica",SUMIF(TUSD!$D$61:'TUSD'!$D$111,$I$2,TUSD!$X$61:'TUSD'!$X$111),IF($C$2&lt;&gt;"Não se aplica",SUMIF(TUSD!$C$61:'TUSD'!$C$111,$I$2,TUSD!$X$61:'TUSD'!$X$111),IF($B$2&lt;&gt;"Não se aplica",SUMIF(TUSD!$B$61:'TUSD'!$B$111,$I$2,TUSD!$X$61:'TUSD'!$X$111),SUMIF(TUSD!$A$61:'TUSD'!$A$111,$I$2,TUSD!$X$61:'TUSD'!$X$111)))))))</f>
        <v>0</v>
      </c>
      <c r="O9" s="45">
        <f>IF($G$2&lt;&gt;"Não se aplica",SUMIF(TUSD!$G$61:'TUSD'!$G$111,$I$2,TUSD!$Y$61:'TUSD'!$Y$111),IF($F$2&lt;&gt;"Não se aplica",SUMIF(TUSD!$F$61:'TUSD'!$F$111,$I$2,TUSD!$Y$61:'TUSD'!$Y$111),IF($E$2&lt;&gt;"Não se aplica",SUMIF(TUSD!$E$61:'TUSD'!$E$111,$I$2,TUSD!$Y$61:'TUSD'!$Y$111),IF($D$2&lt;&gt;"Não se aplica",SUMIF(TUSD!$D$61:'TUSD'!$D$111,$I$2,TUSD!$Y$61:'TUSD'!$Y$111),IF($C$2&lt;&gt;"Não se aplica",SUMIF(TUSD!$C$61:'TUSD'!$C$111,$I$2,TUSD!$Y$61:'TUSD'!$Y$111),IF($B$2&lt;&gt;"Não se aplica",SUMIF(TUSD!$B$61:'TUSD'!$B$111,$I$2,TUSD!$Y$61:'TUSD'!$Y$111),SUMIF(TUSD!$A$61:'TUSD'!$A$111,$I$2,TUSD!$Y$61:'TUSD'!$Y$111)))))))</f>
        <v>0</v>
      </c>
      <c r="P9" s="45">
        <f>IF($G$2&lt;&gt;"Não se aplica",SUMIF(TUSD!$G$61:'TUSD'!$G$111,$I$2,TUSD!$Z$61:'TUSD'!$Z$111),IF($F$2&lt;&gt;"Não se aplica",SUMIF(TUSD!$F$61:'TUSD'!$F$111,$I$2,TUSD!$Z$61:'TUSD'!$Z$111),IF($E$2&lt;&gt;"Não se aplica",SUMIF(TUSD!$E$61:'TUSD'!$E$111,$I$2,TUSD!$Z$61:'TUSD'!$Z$111),IF($D$2&lt;&gt;"Não se aplica",SUMIF(TUSD!$D$61:'TUSD'!$D$111,$I$2,TUSD!$Z$61:'TUSD'!$Z$111),IF($C$2&lt;&gt;"Não se aplica",SUMIF(TUSD!$C$61:'TUSD'!$C$111,$I$2,TUSD!$Z$61:'TUSD'!$Z$111),IF($B$2&lt;&gt;"Não se aplica",SUMIF(TUSD!$B$61:'TUSD'!$B$111,$I$2,TUSD!$Z$61:'TUSD'!$Z$111),SUMIF(TUSD!$A$61:'TUSD'!$A$111,$I$2,TUSD!$Z$61:'TUSD'!$Z$111)))))))</f>
        <v>0</v>
      </c>
      <c r="Q9" s="45">
        <f>IF($G$2&lt;&gt;"Não se aplica",SUMIF(TUSD!$G$61:'TUSD'!$G$111,$I$2,TUSD!$AA$61:'TUSD'!$AA$111),IF($F$2&lt;&gt;"Não se aplica",SUMIF(TUSD!$F$61:'TUSD'!$F$111,$I$2,TUSD!$AA$61:'TUSD'!$AA$111),IF($E$2&lt;&gt;"Não se aplica",SUMIF(TUSD!$E$61:'TUSD'!$E$111,$I$2,TUSD!$AA$61:'TUSD'!$AA$111),IF($D$2&lt;&gt;"Não se aplica",SUMIF(TUSD!$D$61:'TUSD'!$D$111,$I$2,TUSD!$AA$61:'TUSD'!$AA$111),IF($C$2&lt;&gt;"Não se aplica",SUMIF(TUSD!$C$61:'TUSD'!$C$111,$I$2,TUSD!$AA$61:'TUSD'!$AA$111),IF($B$2&lt;&gt;"Não se aplica",SUMIF(TUSD!$B$61:'TUSD'!$B$111,$I$2,TUSD!$AA$61:'TUSD'!$AA$111),SUMIF(TUSD!$A$61:'TUSD'!$A$111,$I$2,TUSD!$AA$61:'TUSD'!$AA$111)))))))</f>
        <v>683872.31624130951</v>
      </c>
      <c r="R9" s="45">
        <f ca="1">IF($G$2&lt;&gt;"Não se aplica",SUMIF(TUSD!$G$61:'TUSD'!$G$111,$I$2,TUSD!$AB$61:'TUSD'!$AB$111),IF($F$2&lt;&gt;"Não se aplica",SUMIF(TUSD!$F$61:'TUSD'!$F$111,$I$2,TUSD!$AB$61:'TUSD'!$AB$111),IF($E$2&lt;&gt;"Não se aplica",SUMIF(TUSD!$E$61:'TUSD'!$E$111,$I$2,TUSD!$AB$61:'TUSD'!$AB$111),IF($D$2&lt;&gt;"Não se aplica",SUMIF(TUSD!$D$61:'TUSD'!$D$111,$I$2,TUSD!$AB$61:'TUSD'!$AB$111),IF($C$2&lt;&gt;"Não se aplica",SUMIF(TUSD!$C$61:'TUSD'!$C$111,$I$2,TUSD!$AB$61:'TUSD'!$AB$111),IF($B$2&lt;&gt;"Não se aplica",SUMIF(TUSD!$B$61:'TUSD'!$B$111,$I$2,TUSD!$AB$61:'TUSD'!$AB$111),SUMIF(TUSD!$A$61:'TUSD'!$A$111,$I$2,TUSD!$AB$61:'TUSD'!$AB$111)))))))</f>
        <v>0</v>
      </c>
      <c r="S9" s="45">
        <f ca="1">IF($G$2&lt;&gt;"Não se aplica",SUMIF(TUSD!$G$61:'TUSD'!$G$111,$I$2,TUSD!$AC$61:'TUSD'!$AC$111),IF($F$2&lt;&gt;"Não se aplica",SUMIF(TUSD!$F$61:'TUSD'!$F$111,$I$2,TUSD!$AC$61:'TUSD'!$AC$111),IF($E$2&lt;&gt;"Não se aplica",SUMIF(TUSD!$E$61:'TUSD'!$E$111,$I$2,TUSD!$AC$61:'TUSD'!$AC$111),IF($D$2&lt;&gt;"Não se aplica",SUMIF(TUSD!$D$61:'TUSD'!$D$111,$I$2,TUSD!$AC$61:'TUSD'!$AC$111),IF($C$2&lt;&gt;"Não se aplica",SUMIF(TUSD!$C$61:'TUSD'!$C$111,$I$2,TUSD!$AC$61:'TUSD'!$AC$111),IF($B$2&lt;&gt;"Não se aplica",SUMIF(TUSD!$B$61:'TUSD'!$B$111,$I$2,TUSD!$AC$61:'TUSD'!$AC$111),SUMIF(TUSD!$A$61:'TUSD'!$A$111,$I$2,TUSD!$AC$61:'TUSD'!$AC$111)))))))</f>
        <v>0</v>
      </c>
      <c r="T9" s="45">
        <f>IF($G$2&lt;&gt;"Não se aplica",SUMIF(TUSD!$G$61:'TUSD'!$G$111,$I$2,TUSD!$AD$61:'TUSD'!$AD$111),IF($F$2&lt;&gt;"Não se aplica",SUMIF(TUSD!$F$61:'TUSD'!$F$111,$I$2,TUSD!$AD$61:'TUSD'!$AD$111),IF($E$2&lt;&gt;"Não se aplica",SUMIF(TUSD!$E$61:'TUSD'!$E$111,$I$2,TUSD!$AD$61:'TUSD'!$AD$111),IF($D$2&lt;&gt;"Não se aplica",SUMIF(TUSD!$D$61:'TUSD'!$D$111,$I$2,TUSD!$AD$61:'TUSD'!$AD$111),IF($C$2&lt;&gt;"Não se aplica",SUMIF(TUSD!$C$61:'TUSD'!$C$111,$I$2,TUSD!$AD$61:'TUSD'!$AD$111),IF($B$2&lt;&gt;"Não se aplica",SUMIF(TUSD!$B$61:'TUSD'!$B$111,$I$2,TUSD!$AD$61:'TUSD'!$AD$111),SUMIF(TUSD!$A$61:'TUSD'!$A$111,$I$2,TUSD!$AD$61:'TUSD'!$AD$111)))))))</f>
        <v>34934.666928233855</v>
      </c>
      <c r="U9" s="45">
        <f>IF($G$2&lt;&gt;"Não se aplica",SUMIF(TUSD!$G$61:'TUSD'!$G$111,$I$2,TUSD!$AE$61:'TUSD'!$AE$111),IF($F$2&lt;&gt;"Não se aplica",SUMIF(TUSD!$F$61:'TUSD'!$F$111,$I$2,TUSD!$AE$61:'TUSD'!$AE$111),IF($E$2&lt;&gt;"Não se aplica",SUMIF(TUSD!$E$61:'TUSD'!$E$111,$I$2,TUSD!$AE$61:'TUSD'!$AE$111),IF($D$2&lt;&gt;"Não se aplica",SUMIF(TUSD!$D$61:'TUSD'!$D$111,$I$2,TUSD!$AE$61:'TUSD'!$AE$111),IF($C$2&lt;&gt;"Não se aplica",SUMIF(TUSD!$C$61:'TUSD'!$C$111,$I$2,TUSD!$AE$61:'TUSD'!$AE$111),IF($B$2&lt;&gt;"Não se aplica",SUMIF(TUSD!$B$61:'TUSD'!$B$111,$I$2,TUSD!$AE$61:'TUSD'!$AE$111),SUMIF(TUSD!$A$61:'TUSD'!$A$111,$I$2,TUSD!$AE$61:'TUSD'!$AE$111)))))))</f>
        <v>0</v>
      </c>
      <c r="V9" s="45">
        <f ca="1">IF($G$2&lt;&gt;"Não se aplica",SUMIF(TUSD!$G$61:'TUSD'!$G$111,$I$2,TUSD!$AF$61:'TUSD'!$AF$111),IF($F$2&lt;&gt;"Não se aplica",SUMIF(TUSD!$F$61:'TUSD'!$F$111,$I$2,TUSD!$AF$61:'TUSD'!$AF$111),IF($E$2&lt;&gt;"Não se aplica",SUMIF(TUSD!$E$61:'TUSD'!$E$111,$I$2,TUSD!$AF$61:'TUSD'!$AF$111),IF($D$2&lt;&gt;"Não se aplica",SUMIF(TUSD!$D$61:'TUSD'!$D$111,$I$2,TUSD!$AF$61:'TUSD'!$AF$111),IF($C$2&lt;&gt;"Não se aplica",SUMIF(TUSD!$C$61:'TUSD'!$C$111,$I$2,TUSD!$AF$61:'TUSD'!$AF$111),IF($B$2&lt;&gt;"Não se aplica",SUMIF(TUSD!$B$61:'TUSD'!$B$111,$I$2,TUSD!$AF$61:'TUSD'!$AF$111),SUMIF(TUSD!$A$61:'TUSD'!$A$111,$I$2,TUSD!$AF$61:'TUSD'!$AF$111)))))))</f>
        <v>0</v>
      </c>
      <c r="W9" s="45">
        <f ca="1">IF($G$2&lt;&gt;"Não se aplica",SUMIF(TUSD!$G$61:'TUSD'!$G$111,$I$2,TUSD!$AG$61:'TUSD'!$AG$111),IF($F$2&lt;&gt;"Não se aplica",SUMIF(TUSD!$F$61:'TUSD'!$F$111,$I$2,TUSD!$AG$61:'TUSD'!$AG$111),IF($E$2&lt;&gt;"Não se aplica",SUMIF(TUSD!$E$61:'TUSD'!$E$111,$I$2,TUSD!$AG$61:'TUSD'!$AG$111),IF($D$2&lt;&gt;"Não se aplica",SUMIF(TUSD!$D$61:'TUSD'!$D$111,$I$2,TUSD!$AG$61:'TUSD'!$AG$111),IF($C$2&lt;&gt;"Não se aplica",SUMIF(TUSD!$C$61:'TUSD'!$C$111,$I$2,TUSD!$AG$61:'TUSD'!$AG$111),IF($B$2&lt;&gt;"Não se aplica",SUMIF(TUSD!$B$61:'TUSD'!$B$111,$I$2,TUSD!$AG$61:'TUSD'!$AG$111),SUMIF(TUSD!$A$61:'TUSD'!$A$111,$I$2,TUSD!$AG$61:'TUSD'!$AG$111)))))))</f>
        <v>0</v>
      </c>
      <c r="X9" s="45">
        <f t="shared" ca="1" si="0"/>
        <v>2375911.8050375772</v>
      </c>
      <c r="AD9" s="14" t="s">
        <v>47</v>
      </c>
    </row>
    <row r="10" spans="1:33" x14ac:dyDescent="0.2">
      <c r="A10" s="14" t="s">
        <v>1079</v>
      </c>
      <c r="B10" s="45">
        <f>SUMIF(TUSD!$A$61:'TUSD'!$A$111,$A$2,TUSD!$AI$61:'TUSD'!$AI$111)</f>
        <v>286411.85680000967</v>
      </c>
      <c r="C10" s="45">
        <f>SUMIF(TUSD!$A$61:'TUSD'!$A$111,$A$2,TUSD!$AJ$61:'TUSD'!$AJ$111)</f>
        <v>2886.6764134495443</v>
      </c>
      <c r="D10" s="45">
        <f>SUMIF(TUSD!$A$61:'TUSD'!$A$111,$A$2,TUSD!$AK$61:'TUSD'!$AK$111)</f>
        <v>0</v>
      </c>
      <c r="E10" s="45">
        <f>SUMIF(TUSD!$A$61:'TUSD'!$A$111,$A$2,TUSD!$AL$61:'TUSD'!$AL$111)</f>
        <v>0</v>
      </c>
      <c r="F10" s="45">
        <f>SUMIF(TUSD!$A$61:'TUSD'!$A$111,$A$2,TUSD!$AM$61:'TUSD'!$AM$111)</f>
        <v>0</v>
      </c>
      <c r="G10" s="45">
        <f>SUMIF(TUSD!$A$61:'TUSD'!$A$111,$A$2,TUSD!$AN$61:'TUSD'!$AN$111)</f>
        <v>496102.25018002343</v>
      </c>
      <c r="H10" s="45">
        <f>SUMIF(TUSD!$A$61:'TUSD'!$A$111,$A$2,TUSD!$AO$61:'TUSD'!$AO$111)</f>
        <v>116213.16758451273</v>
      </c>
      <c r="I10" s="45">
        <f>SUMIF(TUSD!$A$61:'TUSD'!$A$111,$A$2,TUSD!$AP$61:'TUSD'!$AP$111)</f>
        <v>0</v>
      </c>
      <c r="J10" s="45">
        <f>SUMIF(TUSD!$A$61:'TUSD'!$A$111,$A$2,TUSD!$AQ$61:'TUSD'!$AQ$111)</f>
        <v>280637.81934990117</v>
      </c>
      <c r="K10" s="45">
        <f>SUMIF(TUSD!$A$61:'TUSD'!$A$111,$A$2,TUSD!$AR$61:'TUSD'!$AR$111)</f>
        <v>49424.589755435285</v>
      </c>
      <c r="L10" s="45">
        <f>SUMIF(TUSD!$A$61:'TUSD'!$A$111,$A$2,TUSD!$AS$61:'TUSD'!$AS$111)</f>
        <v>0</v>
      </c>
      <c r="M10" s="45">
        <f>SUMIF(TUSD!$A$61:'TUSD'!$A$111,$A$2,TUSD!$AT$61:'TUSD'!$AT$111)</f>
        <v>0</v>
      </c>
      <c r="N10" s="45">
        <f>SUMIF(TUSD!$A$61:'TUSD'!$A$111,$A$2,TUSD!$AU$61:'TUSD'!$AU$111)</f>
        <v>0</v>
      </c>
      <c r="O10" s="45">
        <f>SUMIF(TUSD!$A$61:'TUSD'!$A$111,$A$2,TUSD!$AV$61:'TUSD'!$AV$111)</f>
        <v>0</v>
      </c>
      <c r="P10" s="45">
        <f>SUMIF(TUSD!$A$61:'TUSD'!$A$111,$A$2,TUSD!$AW$61:'TUSD'!$AW$111)</f>
        <v>0</v>
      </c>
      <c r="Q10" s="45">
        <f>SUMIF(TUSD!$A$61:'TUSD'!$A$111,$A$2,TUSD!$AX$61:'TUSD'!$AX$111)</f>
        <v>565228.64357170137</v>
      </c>
      <c r="R10" s="45">
        <f>SUMIF(TUSD!$A$61:'TUSD'!$A$111,$A$2,TUSD!$AY$61:'TUSD'!$AY$111)</f>
        <v>0</v>
      </c>
      <c r="S10" s="45">
        <f>SUMIF(TUSD!$A$61:'TUSD'!$A$111,$A$2,TUSD!$AZ$61:'TUSD'!$AZ$111)</f>
        <v>0</v>
      </c>
      <c r="T10" s="45">
        <f>SUMIF(TUSD!$A$61:'TUSD'!$A$111,$A$2,TUSD!$BA$61:'TUSD'!$BA$111)</f>
        <v>41455.503580163218</v>
      </c>
      <c r="U10" s="45">
        <f>SUMIF(TUSD!$A$61:'TUSD'!$A$111,$A$2,TUSD!$BB$61:'TUSD'!$BB$111)</f>
        <v>0</v>
      </c>
      <c r="V10" s="45">
        <f>SUMIF(TUSD!$A$61:'TUSD'!$A$111,$A$2,TUSD!$BC$61:'TUSD'!$BC$111)</f>
        <v>0</v>
      </c>
      <c r="W10" s="45">
        <f>SUMIF(TUSD!$A$61:'TUSD'!$A$111,$A$2,TUSD!$BD$61:'TUSD'!$BD$111)</f>
        <v>0</v>
      </c>
      <c r="X10" s="45">
        <f t="shared" si="0"/>
        <v>1838360.5072351964</v>
      </c>
      <c r="AD10" s="14" t="s">
        <v>92</v>
      </c>
    </row>
    <row r="11" spans="1:33" x14ac:dyDescent="0.2">
      <c r="A11" s="14" t="s">
        <v>1080</v>
      </c>
      <c r="B11" s="45">
        <f>SUMIF(TUSD!$A$61:'TUSD'!$A$111,$A$2,TUSD!$L$61:'TUSD'!$L$111)</f>
        <v>264408.58720918599</v>
      </c>
      <c r="C11" s="45">
        <f>SUMIF(TUSD!$A$61:'TUSD'!$A$111,$A$2,TUSD!$M$61:'TUSD'!$M$111)</f>
        <v>3059.3810545617935</v>
      </c>
      <c r="D11" s="45">
        <f ca="1">SUMIF(TUSD!$A$61:'TUSD'!$A$111,$A$2,TUSD!$N$61:'TUSD'!$N$111)</f>
        <v>0</v>
      </c>
      <c r="E11" s="45">
        <f>SUMIF(TUSD!$A$61:'TUSD'!$A$111,$A$2,TUSD!$O$61:'TUSD'!$O$111)</f>
        <v>0</v>
      </c>
      <c r="F11" s="45">
        <f>SUMIF(TUSD!$A$61:'TUSD'!$A$111,$A$2,TUSD!$P$61:'TUSD'!$P$111)</f>
        <v>0</v>
      </c>
      <c r="G11" s="45">
        <f>SUMIF(TUSD!$A$61:'TUSD'!$A$111,$A$2,TUSD!$Q$61:'TUSD'!$Q$111)</f>
        <v>745122.07344880991</v>
      </c>
      <c r="H11" s="45">
        <f>SUMIF(TUSD!$A$61:'TUSD'!$A$111,$A$2,TUSD!$R$61:'TUSD'!$R$111)</f>
        <v>189930.04216897464</v>
      </c>
      <c r="I11" s="45">
        <f>SUMIF(TUSD!$A$61:'TUSD'!$A$111,$A$2,TUSD!$S$61:'TUSD'!$S$111)</f>
        <v>0</v>
      </c>
      <c r="J11" s="45">
        <f>SUMIF(TUSD!$A$61:'TUSD'!$A$111,$A$2,TUSD!$T$61:'TUSD'!$T$111)</f>
        <v>401506.26569047139</v>
      </c>
      <c r="K11" s="45">
        <f>SUMIF(TUSD!$A$61:'TUSD'!$A$111,$A$2,TUSD!$U$61:'TUSD'!$U$111)</f>
        <v>53078.47229602946</v>
      </c>
      <c r="L11" s="45">
        <f>SUMIF(TUSD!$A$61:'TUSD'!$A$111,$A$2,TUSD!$V$61:'TUSD'!$V$111)</f>
        <v>0</v>
      </c>
      <c r="M11" s="45">
        <f>SUMIF(TUSD!$A$61:'TUSD'!$A$111,$A$2,TUSD!$W$61:'TUSD'!$W$111)</f>
        <v>0</v>
      </c>
      <c r="N11" s="45">
        <f>SUMIF(TUSD!$A$61:'TUSD'!$A$111,$A$2,TUSD!$X$61:'TUSD'!$X$111)</f>
        <v>0</v>
      </c>
      <c r="O11" s="45">
        <f>SUMIF(TUSD!$A$61:'TUSD'!$A$111,$A$2,TUSD!$Y$61:'TUSD'!$Y$111)</f>
        <v>0</v>
      </c>
      <c r="P11" s="45">
        <f>SUMIF(TUSD!$A$61:'TUSD'!$A$111,$A$2,TUSD!$Z$61:'TUSD'!$Z$111)</f>
        <v>0</v>
      </c>
      <c r="Q11" s="45">
        <f>SUMIF(TUSD!$A$61:'TUSD'!$A$111,$A$2,TUSD!$AA$61:'TUSD'!$AA$111)</f>
        <v>683872.31624130951</v>
      </c>
      <c r="R11" s="45">
        <f ca="1">SUMIF(TUSD!$A$61:'TUSD'!$A$111,$A$2,TUSD!$AB$61:'TUSD'!$AB$111)</f>
        <v>0</v>
      </c>
      <c r="S11" s="45">
        <f ca="1">SUMIF(TUSD!$A$61:'TUSD'!$A$111,$A$2,TUSD!$AC$61:'TUSD'!$AC$111)</f>
        <v>0</v>
      </c>
      <c r="T11" s="45">
        <f>SUMIF(TUSD!$A$61:'TUSD'!$A$111,$A$2,TUSD!$AD$61:'TUSD'!$AD$111)</f>
        <v>34934.666928233855</v>
      </c>
      <c r="U11" s="45">
        <f>SUMIF(TUSD!$A$61:'TUSD'!$A$111,$A$2,TUSD!$AE$61:'TUSD'!$AE$111)</f>
        <v>0</v>
      </c>
      <c r="V11" s="45">
        <f ca="1">SUMIF(TUSD!$A$61:'TUSD'!$A$111,$A$2,TUSD!$AF$61:'TUSD'!$AF$111)</f>
        <v>0</v>
      </c>
      <c r="W11" s="45">
        <f ca="1">SUMIF(TUSD!$A$61:'TUSD'!$A$111,$A$2,TUSD!$AG$61:'TUSD'!$AG$111)</f>
        <v>0</v>
      </c>
      <c r="X11" s="45">
        <f t="shared" ca="1" si="0"/>
        <v>2375911.8050375772</v>
      </c>
    </row>
    <row r="13" spans="1:33" x14ac:dyDescent="0.2">
      <c r="A13" s="14" t="s">
        <v>1084</v>
      </c>
      <c r="B13" s="64">
        <f t="shared" ref="B13:X13" si="1">IF($X$6&lt;&gt;0,(B$7-B$6)/$X$6,0)</f>
        <v>-3.0795197391216404E-3</v>
      </c>
      <c r="C13" s="64">
        <f t="shared" si="1"/>
        <v>-4.9732277838505259E-5</v>
      </c>
      <c r="D13" s="64">
        <f t="shared" ca="1" si="1"/>
        <v>0</v>
      </c>
      <c r="E13" s="64">
        <f t="shared" si="1"/>
        <v>0</v>
      </c>
      <c r="F13" s="64">
        <f t="shared" si="1"/>
        <v>0</v>
      </c>
      <c r="G13" s="64">
        <f t="shared" si="1"/>
        <v>0.13573465052320005</v>
      </c>
      <c r="H13" s="64">
        <f t="shared" si="1"/>
        <v>2.5633001385844404E-2</v>
      </c>
      <c r="I13" s="64">
        <f t="shared" si="1"/>
        <v>0</v>
      </c>
      <c r="J13" s="64">
        <f t="shared" si="1"/>
        <v>4.3694554942537919E-2</v>
      </c>
      <c r="K13" s="64">
        <f t="shared" si="1"/>
        <v>1.4424560579360162E-3</v>
      </c>
      <c r="L13" s="64">
        <f t="shared" si="1"/>
        <v>0</v>
      </c>
      <c r="M13" s="64">
        <f t="shared" si="1"/>
        <v>0</v>
      </c>
      <c r="N13" s="64">
        <f t="shared" si="1"/>
        <v>0</v>
      </c>
      <c r="O13" s="64">
        <f t="shared" si="1"/>
        <v>0</v>
      </c>
      <c r="P13" s="64">
        <f t="shared" si="1"/>
        <v>0</v>
      </c>
      <c r="Q13" s="64">
        <f t="shared" si="1"/>
        <v>9.4033845658336668E-2</v>
      </c>
      <c r="R13" s="64">
        <f t="shared" ca="1" si="1"/>
        <v>0</v>
      </c>
      <c r="S13" s="64">
        <f t="shared" ca="1" si="1"/>
        <v>0</v>
      </c>
      <c r="T13" s="64">
        <f t="shared" si="1"/>
        <v>-5.6959206931280325E-3</v>
      </c>
      <c r="U13" s="64">
        <f t="shared" si="1"/>
        <v>0</v>
      </c>
      <c r="V13" s="64">
        <f t="shared" ca="1" si="1"/>
        <v>0</v>
      </c>
      <c r="W13" s="64">
        <f t="shared" ca="1" si="1"/>
        <v>0</v>
      </c>
      <c r="X13" s="64">
        <f t="shared" ca="1" si="1"/>
        <v>0.29171333585776676</v>
      </c>
    </row>
    <row r="14" spans="1:33" x14ac:dyDescent="0.2">
      <c r="A14" s="14" t="s">
        <v>1085</v>
      </c>
      <c r="B14" s="64">
        <f t="shared" ref="B14:X14" si="2">IF($X$10&lt;&gt;0,(B$9-B$8)/$X$10,0)</f>
        <v>-1.1968963380265121E-2</v>
      </c>
      <c r="C14" s="64">
        <f t="shared" si="2"/>
        <v>9.3944925618527593E-5</v>
      </c>
      <c r="D14" s="64">
        <f t="shared" ca="1" si="2"/>
        <v>0</v>
      </c>
      <c r="E14" s="64">
        <f t="shared" si="2"/>
        <v>0</v>
      </c>
      <c r="F14" s="64">
        <f t="shared" si="2"/>
        <v>0</v>
      </c>
      <c r="G14" s="64">
        <f t="shared" si="2"/>
        <v>0.135457557039941</v>
      </c>
      <c r="H14" s="64">
        <f t="shared" si="2"/>
        <v>4.0099248376113374E-2</v>
      </c>
      <c r="I14" s="64">
        <f t="shared" si="2"/>
        <v>0</v>
      </c>
      <c r="J14" s="64">
        <f t="shared" si="2"/>
        <v>6.5747956325688486E-2</v>
      </c>
      <c r="K14" s="64">
        <f t="shared" si="2"/>
        <v>1.9875767164349253E-3</v>
      </c>
      <c r="L14" s="64">
        <f t="shared" si="2"/>
        <v>0</v>
      </c>
      <c r="M14" s="64">
        <f t="shared" si="2"/>
        <v>0</v>
      </c>
      <c r="N14" s="64">
        <f t="shared" si="2"/>
        <v>0</v>
      </c>
      <c r="O14" s="64">
        <f t="shared" si="2"/>
        <v>0</v>
      </c>
      <c r="P14" s="64">
        <f t="shared" si="2"/>
        <v>0</v>
      </c>
      <c r="Q14" s="64">
        <f t="shared" si="2"/>
        <v>6.4537761882212316E-2</v>
      </c>
      <c r="R14" s="64">
        <f t="shared" ca="1" si="2"/>
        <v>0</v>
      </c>
      <c r="S14" s="64">
        <f t="shared" ca="1" si="2"/>
        <v>0</v>
      </c>
      <c r="T14" s="64">
        <f t="shared" si="2"/>
        <v>-3.5470935250542235E-3</v>
      </c>
      <c r="U14" s="64">
        <f t="shared" si="2"/>
        <v>0</v>
      </c>
      <c r="V14" s="64">
        <f t="shared" ca="1" si="2"/>
        <v>0</v>
      </c>
      <c r="W14" s="64">
        <f t="shared" ca="1" si="2"/>
        <v>0</v>
      </c>
      <c r="X14" s="64">
        <f t="shared" ca="1" si="2"/>
        <v>0.2924079883606896</v>
      </c>
    </row>
    <row r="15" spans="1:33" x14ac:dyDescent="0.2">
      <c r="A15" s="14" t="s">
        <v>1086</v>
      </c>
      <c r="B15" s="64">
        <f t="shared" ref="B15:X15" si="3">IF($X$8&lt;&gt;0,(B$9-B$8)/$X$8,0)</f>
        <v>-1.1968963380265121E-2</v>
      </c>
      <c r="C15" s="64">
        <f t="shared" si="3"/>
        <v>9.3944925618527593E-5</v>
      </c>
      <c r="D15" s="64">
        <f t="shared" ca="1" si="3"/>
        <v>0</v>
      </c>
      <c r="E15" s="64">
        <f t="shared" si="3"/>
        <v>0</v>
      </c>
      <c r="F15" s="64">
        <f t="shared" si="3"/>
        <v>0</v>
      </c>
      <c r="G15" s="64">
        <f t="shared" si="3"/>
        <v>0.135457557039941</v>
      </c>
      <c r="H15" s="64">
        <f t="shared" si="3"/>
        <v>4.0099248376113374E-2</v>
      </c>
      <c r="I15" s="64">
        <f t="shared" si="3"/>
        <v>0</v>
      </c>
      <c r="J15" s="64">
        <f t="shared" si="3"/>
        <v>6.5747956325688486E-2</v>
      </c>
      <c r="K15" s="64">
        <f t="shared" si="3"/>
        <v>1.9875767164349253E-3</v>
      </c>
      <c r="L15" s="64">
        <f t="shared" si="3"/>
        <v>0</v>
      </c>
      <c r="M15" s="64">
        <f t="shared" si="3"/>
        <v>0</v>
      </c>
      <c r="N15" s="64">
        <f t="shared" si="3"/>
        <v>0</v>
      </c>
      <c r="O15" s="64">
        <f t="shared" si="3"/>
        <v>0</v>
      </c>
      <c r="P15" s="64">
        <f t="shared" si="3"/>
        <v>0</v>
      </c>
      <c r="Q15" s="64">
        <f t="shared" si="3"/>
        <v>6.4537761882212316E-2</v>
      </c>
      <c r="R15" s="64">
        <f t="shared" ca="1" si="3"/>
        <v>0</v>
      </c>
      <c r="S15" s="64">
        <f t="shared" ca="1" si="3"/>
        <v>0</v>
      </c>
      <c r="T15" s="64">
        <f t="shared" si="3"/>
        <v>-3.5470935250542235E-3</v>
      </c>
      <c r="U15" s="64">
        <f t="shared" si="3"/>
        <v>0</v>
      </c>
      <c r="V15" s="64">
        <f t="shared" ca="1" si="3"/>
        <v>0</v>
      </c>
      <c r="W15" s="64">
        <f t="shared" ca="1" si="3"/>
        <v>0</v>
      </c>
      <c r="X15" s="64">
        <f t="shared" ca="1" si="3"/>
        <v>0.2924079883606896</v>
      </c>
    </row>
  </sheetData>
  <dataValidations count="5">
    <dataValidation type="list" allowBlank="1" showInputMessage="1" showErrorMessage="1" error="Deve-se selecionar grupo válido" sqref="A2:B2" xr:uid="{B166A7AC-1D6A-4D41-8C77-4E3055612890}">
      <formula1>AA1:AA7</formula1>
    </dataValidation>
    <dataValidation type="list" allowBlank="1" showInputMessage="1" showErrorMessage="1" error="Deve-se selecionar grupo válido" sqref="C2 E2" xr:uid="{7D6EBB42-BB74-498E-B449-39B26B353D21}">
      <formula1>AC1:AC4</formula1>
    </dataValidation>
    <dataValidation type="list" allowBlank="1" showInputMessage="1" showErrorMessage="1" error="Deve-se selecionar grupo válido" sqref="D2" xr:uid="{0CA05FF8-B887-4EB6-96A9-EE3F3D518BD6}">
      <formula1>AD1:AD10</formula1>
    </dataValidation>
    <dataValidation type="list" allowBlank="1" showInputMessage="1" showErrorMessage="1" error="Deve-se selecionar grupo válido" sqref="F2" xr:uid="{E4A6077B-35CF-412B-948A-FA4AC145E14E}">
      <formula1>AF1:AF1</formula1>
    </dataValidation>
    <dataValidation type="list" allowBlank="1" showInputMessage="1" showErrorMessage="1" error="Deve-se selecionar grupo válido" sqref="G2" xr:uid="{10D26324-97EF-4034-B1C3-CCB6F1E47EE9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344B-007D-4572-B1BB-069DC0FD258D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15</v>
      </c>
      <c r="G1" s="14" t="s">
        <v>70</v>
      </c>
      <c r="I1" s="14" t="s">
        <v>1083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A3</v>
      </c>
      <c r="AA2" s="14" t="s">
        <v>39</v>
      </c>
      <c r="AB2" s="14" t="s">
        <v>73</v>
      </c>
      <c r="AC2" s="14" t="s">
        <v>24</v>
      </c>
      <c r="AD2" s="14" t="s">
        <v>24</v>
      </c>
      <c r="AG2" s="14" t="s">
        <v>75</v>
      </c>
    </row>
    <row r="3" spans="1:33" x14ac:dyDescent="0.2">
      <c r="AA3" s="14" t="s">
        <v>22</v>
      </c>
      <c r="AB3" s="14" t="s">
        <v>87</v>
      </c>
      <c r="AC3" s="14" t="s">
        <v>43</v>
      </c>
      <c r="AD3" s="14" t="s">
        <v>29</v>
      </c>
      <c r="AG3" s="14" t="s">
        <v>76</v>
      </c>
    </row>
    <row r="4" spans="1:33" x14ac:dyDescent="0.2">
      <c r="AA4" s="14" t="s">
        <v>42</v>
      </c>
      <c r="AB4" s="14" t="s">
        <v>88</v>
      </c>
      <c r="AC4" s="14" t="s">
        <v>46</v>
      </c>
      <c r="AD4" s="14" t="s">
        <v>30</v>
      </c>
      <c r="AG4" s="14" t="s">
        <v>86</v>
      </c>
    </row>
    <row r="5" spans="1:33" x14ac:dyDescent="0.2">
      <c r="A5" s="14" t="s">
        <v>1076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486</v>
      </c>
      <c r="AA5" s="14" t="s">
        <v>33</v>
      </c>
      <c r="AD5" s="14" t="s">
        <v>31</v>
      </c>
      <c r="AG5" s="14" t="s">
        <v>80</v>
      </c>
    </row>
    <row r="6" spans="1:33" x14ac:dyDescent="0.2">
      <c r="A6" s="14" t="s">
        <v>1077</v>
      </c>
      <c r="B6" s="45">
        <f>SUM(TE!$X$49:'TE'!$X$87)</f>
        <v>0</v>
      </c>
      <c r="C6" s="45">
        <f>SUM(TE!$Y$49:'TE'!$Y$87)</f>
        <v>0</v>
      </c>
      <c r="D6" s="45">
        <f>SUM(TE!$Z$49:'TE'!$Z$87)</f>
        <v>0</v>
      </c>
      <c r="E6" s="45">
        <f>SUM(TE!$AA$49:'TE'!$AA$87)</f>
        <v>0</v>
      </c>
      <c r="F6" s="45">
        <f>SUM(TE!$AB$49:'TE'!$AB$87)</f>
        <v>0</v>
      </c>
      <c r="G6" s="45">
        <f>SUM(TE!$AC$49:'TE'!$AC$87)</f>
        <v>44182172.921099156</v>
      </c>
      <c r="H6" s="45">
        <f>SUM(TE!$AD$49:'TE'!$AD$87)</f>
        <v>0</v>
      </c>
      <c r="I6" s="45">
        <f>SUM(TE!$AE$49:'TE'!$AE$87)</f>
        <v>0</v>
      </c>
      <c r="J6" s="45">
        <f>SUM(TE!$AF$49:'TE'!$AF$87)</f>
        <v>0</v>
      </c>
      <c r="K6" s="45">
        <f>SUM(TE!$AG$49:'TE'!$AG$87)</f>
        <v>0</v>
      </c>
      <c r="L6" s="45">
        <f>SUM(TE!$AH$49:'TE'!$AH$87)</f>
        <v>0</v>
      </c>
      <c r="M6" s="45">
        <f t="shared" ref="M6:M11" si="0">SUM(B6:L6)</f>
        <v>44182172.921099156</v>
      </c>
      <c r="AA6" s="14" t="s">
        <v>45</v>
      </c>
      <c r="AD6" s="14" t="s">
        <v>32</v>
      </c>
    </row>
    <row r="7" spans="1:33" x14ac:dyDescent="0.2">
      <c r="A7" s="14" t="s">
        <v>1078</v>
      </c>
      <c r="B7" s="45">
        <f>SUM(TE!$L$49:'TE'!$L$87)</f>
        <v>0</v>
      </c>
      <c r="C7" s="45">
        <f>SUM(TE!$M$49:'TE'!$M$87)</f>
        <v>0</v>
      </c>
      <c r="D7" s="45">
        <f>SUM(TE!$N$49:'TE'!$N$87)</f>
        <v>0</v>
      </c>
      <c r="E7" s="45">
        <f>SUM(TE!$O$49:'TE'!$O$87)</f>
        <v>0</v>
      </c>
      <c r="F7" s="45">
        <f>SUM(TE!$P$49:'TE'!$P$87)</f>
        <v>0</v>
      </c>
      <c r="G7" s="45">
        <f>SUM(TE!$Q$49:'TE'!$Q$87)</f>
        <v>37958611.524873316</v>
      </c>
      <c r="H7" s="45">
        <f>SUM(TE!$R$49:'TE'!$R$87)</f>
        <v>0</v>
      </c>
      <c r="I7" s="45">
        <f>SUM(TE!$S$49:'TE'!$S$87)</f>
        <v>0</v>
      </c>
      <c r="J7" s="45">
        <f>SUM(TE!$T$49:'TE'!$T$87)</f>
        <v>0</v>
      </c>
      <c r="K7" s="45">
        <f>SUM(TE!$U$49:'TE'!$U$87)</f>
        <v>0</v>
      </c>
      <c r="L7" s="45">
        <f>SUM(TE!$V$49:'TE'!$V$87)</f>
        <v>0</v>
      </c>
      <c r="M7" s="45">
        <f t="shared" si="0"/>
        <v>37958611.524873316</v>
      </c>
      <c r="AD7" s="14" t="s">
        <v>90</v>
      </c>
    </row>
    <row r="8" spans="1:33" x14ac:dyDescent="0.2">
      <c r="A8" s="14" t="s">
        <v>1081</v>
      </c>
      <c r="B8" s="45">
        <f>IF($G$2&lt;&gt;"Não se aplica",SUMIF(TE!$G$49:'TE'!$G$87,$I$2,TE!$X$49:'TE'!$X$87),IF($F$2&lt;&gt;"Não se aplica",SUMIF(TE!$F$49:'TE'!$F$87,$I$2,TE!$X$49:'TE'!$X$87),IF($E$2&lt;&gt;"Não se aplica",SUMIF(TE!$E$49:'TE'!$E$87,$I$2,TE!$X$49:'TE'!$X$87),IF($D$2&lt;&gt;"Não se aplica",SUMIF(TE!$D$49:'TE'!$D$87,$I$2,TE!$X$49:'TE'!$X$87),IF($C$2&lt;&gt;"Não se aplica",SUMIF(TE!$C$49:'TE'!$C$87,$I$2,TE!$X$49:'TE'!$X$87),IF($B$2&lt;&gt;"Não se aplica",SUMIF(TE!$B$49:'TE'!$B$87,$I$2,TE!$X$49:'TE'!$X$87),SUMIF(TE!$A$49:'TE'!$A$87,$I$2,TE!$X$49:'TE'!$X$87)))))))</f>
        <v>0</v>
      </c>
      <c r="C8" s="45">
        <f>IF($G$2&lt;&gt;"Não se aplica",SUMIF(TE!$G$49:'TE'!$G$87,$I$2,TE!$Y$49:'TE'!$Y$87),IF($F$2&lt;&gt;"Não se aplica",SUMIF(TE!$F$49:'TE'!$F$87,$I$2,TE!$Y$49:'TE'!$Y$87),IF($E$2&lt;&gt;"Não se aplica",SUMIF(TE!$E$49:'TE'!$E$87,$I$2,TE!$Y$49:'TE'!$Y$87),IF($D$2&lt;&gt;"Não se aplica",SUMIF(TE!$D$49:'TE'!$D$87,$I$2,TE!$Y$49:'TE'!$Y$87),IF($C$2&lt;&gt;"Não se aplica",SUMIF(TE!$C$49:'TE'!$C$87,$I$2,TE!$Y$49:'TE'!$Y$87),IF($B$2&lt;&gt;"Não se aplica",SUMIF(TE!$B$49:'TE'!$B$87,$I$2,TE!$Y$49:'TE'!$Y$87),SUMIF(TE!$A$49:'TE'!$A$87,$I$2,TE!$Y$49:'TE'!$Y$87)))))))</f>
        <v>0</v>
      </c>
      <c r="D8" s="45">
        <f>IF($G$2&lt;&gt;"Não se aplica",SUMIF(TE!$G$49:'TE'!$G$87,$I$2,TE!$Z$49:'TE'!$Z$87),IF($F$2&lt;&gt;"Não se aplica",SUMIF(TE!$F$49:'TE'!$F$87,$I$2,TE!$Z$49:'TE'!$Z$87),IF($E$2&lt;&gt;"Não se aplica",SUMIF(TE!$E$49:'TE'!$E$87,$I$2,TE!$Z$49:'TE'!$Z$87),IF($D$2&lt;&gt;"Não se aplica",SUMIF(TE!$D$49:'TE'!$D$87,$I$2,TE!$Z$49:'TE'!$Z$87),IF($C$2&lt;&gt;"Não se aplica",SUMIF(TE!$C$49:'TE'!$C$87,$I$2,TE!$Z$49:'TE'!$Z$87),IF($B$2&lt;&gt;"Não se aplica",SUMIF(TE!$B$49:'TE'!$B$87,$I$2,TE!$Z$49:'TE'!$Z$87),SUMIF(TE!$A$49:'TE'!$A$87,$I$2,TE!$Z$49:'TE'!$Z$87)))))))</f>
        <v>0</v>
      </c>
      <c r="E8" s="45">
        <f>IF($G$2&lt;&gt;"Não se aplica",SUMIF(TE!$G$49:'TE'!$G$87,$I$2,TE!$AA$49:'TE'!$AA$87),IF($F$2&lt;&gt;"Não se aplica",SUMIF(TE!$F$49:'TE'!$F$87,$I$2,TE!$AA$49:'TE'!$AA$87),IF($E$2&lt;&gt;"Não se aplica",SUMIF(TE!$E$49:'TE'!$E$87,$I$2,TE!$AA$49:'TE'!$AA$87),IF($D$2&lt;&gt;"Não se aplica",SUMIF(TE!$D$49:'TE'!$D$87,$I$2,TE!$AA$49:'TE'!$AA$87),IF($C$2&lt;&gt;"Não se aplica",SUMIF(TE!$C$49:'TE'!$C$87,$I$2,TE!$AA$49:'TE'!$AA$87),IF($B$2&lt;&gt;"Não se aplica",SUMIF(TE!$B$49:'TE'!$B$87,$I$2,TE!$AA$49:'TE'!$AA$87),SUMIF(TE!$A$49:'TE'!$A$87,$I$2,TE!$AA$49:'TE'!$AA$87)))))))</f>
        <v>0</v>
      </c>
      <c r="F8" s="45">
        <f>IF($G$2&lt;&gt;"Não se aplica",SUMIF(TE!$G$49:'TE'!$G$87,$I$2,TE!$AB$49:'TE'!$AB$87),IF($F$2&lt;&gt;"Não se aplica",SUMIF(TE!$F$49:'TE'!$F$87,$I$2,TE!$AB$49:'TE'!$AB$87),IF($E$2&lt;&gt;"Não se aplica",SUMIF(TE!$E$49:'TE'!$E$87,$I$2,TE!$AB$49:'TE'!$AB$87),IF($D$2&lt;&gt;"Não se aplica",SUMIF(TE!$D$49:'TE'!$D$87,$I$2,TE!$AB$49:'TE'!$AB$87),IF($C$2&lt;&gt;"Não se aplica",SUMIF(TE!$C$49:'TE'!$C$87,$I$2,TE!$AB$49:'TE'!$AB$87),IF($B$2&lt;&gt;"Não se aplica",SUMIF(TE!$B$49:'TE'!$B$87,$I$2,TE!$AB$49:'TE'!$AB$87),SUMIF(TE!$A$49:'TE'!$A$87,$I$2,TE!$AB$49:'TE'!$AB$87)))))))</f>
        <v>0</v>
      </c>
      <c r="G8" s="45">
        <f>IF($G$2&lt;&gt;"Não se aplica",SUMIF(TE!$G$49:'TE'!$G$87,$I$2,TE!$AC$49:'TE'!$AC$87),IF($F$2&lt;&gt;"Não se aplica",SUMIF(TE!$F$49:'TE'!$F$87,$I$2,TE!$AC$49:'TE'!$AC$87),IF($E$2&lt;&gt;"Não se aplica",SUMIF(TE!$E$49:'TE'!$E$87,$I$2,TE!$AC$49:'TE'!$AC$87),IF($D$2&lt;&gt;"Não se aplica",SUMIF(TE!$D$49:'TE'!$D$87,$I$2,TE!$AC$49:'TE'!$AC$87),IF($C$2&lt;&gt;"Não se aplica",SUMIF(TE!$C$49:'TE'!$C$87,$I$2,TE!$AC$49:'TE'!$AC$87),IF($B$2&lt;&gt;"Não se aplica",SUMIF(TE!$B$49:'TE'!$B$87,$I$2,TE!$AC$49:'TE'!$AC$87),SUMIF(TE!$A$49:'TE'!$A$87,$I$2,TE!$AC$49:'TE'!$AC$87)))))))</f>
        <v>1789762.8281641845</v>
      </c>
      <c r="H8" s="45">
        <f>IF($G$2&lt;&gt;"Não se aplica",SUMIF(TE!$G$49:'TE'!$G$87,$I$2,TE!$AD$49:'TE'!$AD$87),IF($F$2&lt;&gt;"Não se aplica",SUMIF(TE!$F$49:'TE'!$F$87,$I$2,TE!$AD$49:'TE'!$AD$87),IF($E$2&lt;&gt;"Não se aplica",SUMIF(TE!$E$49:'TE'!$E$87,$I$2,TE!$AD$49:'TE'!$AD$87),IF($D$2&lt;&gt;"Não se aplica",SUMIF(TE!$D$49:'TE'!$D$87,$I$2,TE!$AD$49:'TE'!$AD$87),IF($C$2&lt;&gt;"Não se aplica",SUMIF(TE!$C$49:'TE'!$C$87,$I$2,TE!$AD$49:'TE'!$AD$87),IF($B$2&lt;&gt;"Não se aplica",SUMIF(TE!$B$49:'TE'!$B$87,$I$2,TE!$AD$49:'TE'!$AD$87),SUMIF(TE!$A$49:'TE'!$A$87,$I$2,TE!$AD$49:'TE'!$AD$87)))))))</f>
        <v>0</v>
      </c>
      <c r="I8" s="45">
        <f>IF($G$2&lt;&gt;"Não se aplica",SUMIF(TE!$G$49:'TE'!$G$87,$I$2,TE!$AE$49:'TE'!$AE$87),IF($F$2&lt;&gt;"Não se aplica",SUMIF(TE!$F$49:'TE'!$F$87,$I$2,TE!$AE$49:'TE'!$AE$87),IF($E$2&lt;&gt;"Não se aplica",SUMIF(TE!$E$49:'TE'!$E$87,$I$2,TE!$AE$49:'TE'!$AE$87),IF($D$2&lt;&gt;"Não se aplica",SUMIF(TE!$D$49:'TE'!$D$87,$I$2,TE!$AE$49:'TE'!$AE$87),IF($C$2&lt;&gt;"Não se aplica",SUMIF(TE!$C$49:'TE'!$C$87,$I$2,TE!$AE$49:'TE'!$AE$87),IF($B$2&lt;&gt;"Não se aplica",SUMIF(TE!$B$49:'TE'!$B$87,$I$2,TE!$AE$49:'TE'!$AE$87),SUMIF(TE!$A$49:'TE'!$A$87,$I$2,TE!$AE$49:'TE'!$AE$87)))))))</f>
        <v>0</v>
      </c>
      <c r="J8" s="45">
        <f>IF($G$2&lt;&gt;"Não se aplica",SUMIF(TE!$G$49:'TE'!$G$87,$I$2,TE!$AF$49:'TE'!$AF$87),IF($F$2&lt;&gt;"Não se aplica",SUMIF(TE!$F$49:'TE'!$F$87,$I$2,TE!$AF$49:'TE'!$AF$87),IF($E$2&lt;&gt;"Não se aplica",SUMIF(TE!$E$49:'TE'!$E$87,$I$2,TE!$AF$49:'TE'!$AF$87),IF($D$2&lt;&gt;"Não se aplica",SUMIF(TE!$D$49:'TE'!$D$87,$I$2,TE!$AF$49:'TE'!$AF$87),IF($C$2&lt;&gt;"Não se aplica",SUMIF(TE!$C$49:'TE'!$C$87,$I$2,TE!$AF$49:'TE'!$AF$87),IF($B$2&lt;&gt;"Não se aplica",SUMIF(TE!$B$49:'TE'!$B$87,$I$2,TE!$AF$49:'TE'!$AF$87),SUMIF(TE!$A$49:'TE'!$A$87,$I$2,TE!$AF$49:'TE'!$AF$87)))))))</f>
        <v>0</v>
      </c>
      <c r="K8" s="45">
        <f>IF($G$2&lt;&gt;"Não se aplica",SUMIF(TE!$G$49:'TE'!$G$87,$I$2,TE!$AG$49:'TE'!$AG$87),IF($F$2&lt;&gt;"Não se aplica",SUMIF(TE!$F$49:'TE'!$F$87,$I$2,TE!$AG$49:'TE'!$AG$87),IF($E$2&lt;&gt;"Não se aplica",SUMIF(TE!$E$49:'TE'!$E$87,$I$2,TE!$AG$49:'TE'!$AG$87),IF($D$2&lt;&gt;"Não se aplica",SUMIF(TE!$D$49:'TE'!$D$87,$I$2,TE!$AG$49:'TE'!$AG$87),IF($C$2&lt;&gt;"Não se aplica",SUMIF(TE!$C$49:'TE'!$C$87,$I$2,TE!$AG$49:'TE'!$AG$87),IF($B$2&lt;&gt;"Não se aplica",SUMIF(TE!$B$49:'TE'!$B$87,$I$2,TE!$AG$49:'TE'!$AG$87),SUMIF(TE!$A$49:'TE'!$A$87,$I$2,TE!$AG$49:'TE'!$AG$87)))))))</f>
        <v>0</v>
      </c>
      <c r="L8" s="45">
        <f>IF($G$2&lt;&gt;"Não se aplica",SUMIF(TE!$G$49:'TE'!$G$87,$I$2,TE!$AH$49:'TE'!$AH$87),IF($F$2&lt;&gt;"Não se aplica",SUMIF(TE!$F$49:'TE'!$F$87,$I$2,TE!$AH$49:'TE'!$AH$87),IF($E$2&lt;&gt;"Não se aplica",SUMIF(TE!$E$49:'TE'!$E$87,$I$2,TE!$AH$49:'TE'!$AH$87),IF($D$2&lt;&gt;"Não se aplica",SUMIF(TE!$D$49:'TE'!$D$87,$I$2,TE!$AH$49:'TE'!$AH$87),IF($C$2&lt;&gt;"Não se aplica",SUMIF(TE!$C$49:'TE'!$C$87,$I$2,TE!$AH$49:'TE'!$AH$87),IF($B$2&lt;&gt;"Não se aplica",SUMIF(TE!$B$49:'TE'!$B$87,$I$2,TE!$AH$49:'TE'!$AH$87),SUMIF(TE!$A$49:'TE'!$A$87,$I$2,TE!$AH$49:'TE'!$AH$87)))))))</f>
        <v>0</v>
      </c>
      <c r="M8" s="45">
        <f t="shared" si="0"/>
        <v>1789762.8281641845</v>
      </c>
      <c r="AD8" s="14" t="s">
        <v>91</v>
      </c>
    </row>
    <row r="9" spans="1:33" x14ac:dyDescent="0.2">
      <c r="A9" s="14" t="s">
        <v>1082</v>
      </c>
      <c r="B9" s="45">
        <f>IF($G$2&lt;&gt;"Não se aplica",SUMIF(TE!$G$49:'TE'!$G$87,$I$2,TE!$L$49:'TE'!$L$87),IF($F$2&lt;&gt;"Não se aplica",SUMIF(TE!$F$49:'TE'!$F$87,$I$2,TE!$L$49:'TE'!$L$87),IF($E$2&lt;&gt;"Não se aplica",SUMIF(TE!$E$49:'TE'!$E$87,$I$2,TE!$L$49:'TE'!$L$87),IF($D$2&lt;&gt;"Não se aplica",SUMIF(TE!$D$49:'TE'!$D$87,$I$2,TE!$L$49:'TE'!$L$87),IF($C$2&lt;&gt;"Não se aplica",SUMIF(TE!$C$49:'TE'!$C$87,$I$2,TE!$L$49:'TE'!$L$87),IF($B$2&lt;&gt;"Não se aplica",SUMIF(TE!$B$49:'TE'!$B$87,$I$2,TE!$L$49:'TE'!$L$87),SUMIF(TE!$A$49:'TE'!$A$87,$I$2,TE!$L$49:'TE'!$L$87)))))))</f>
        <v>0</v>
      </c>
      <c r="C9" s="45">
        <f>IF($G$2&lt;&gt;"Não se aplica",SUMIF(TE!$G$49:'TE'!$G$87,$I$2,TE!$M$49:'TE'!$M$87),IF($F$2&lt;&gt;"Não se aplica",SUMIF(TE!$F$49:'TE'!$F$87,$I$2,TE!$M$49:'TE'!$M$87),IF($E$2&lt;&gt;"Não se aplica",SUMIF(TE!$E$49:'TE'!$E$87,$I$2,TE!$M$49:'TE'!$M$87),IF($D$2&lt;&gt;"Não se aplica",SUMIF(TE!$D$49:'TE'!$D$87,$I$2,TE!$M$49:'TE'!$M$87),IF($C$2&lt;&gt;"Não se aplica",SUMIF(TE!$C$49:'TE'!$C$87,$I$2,TE!$M$49:'TE'!$M$87),IF($B$2&lt;&gt;"Não se aplica",SUMIF(TE!$B$49:'TE'!$B$87,$I$2,TE!$M$49:'TE'!$M$87),SUMIF(TE!$A$49:'TE'!$A$87,$I$2,TE!$M$49:'TE'!$M$87)))))))</f>
        <v>0</v>
      </c>
      <c r="D9" s="45">
        <f>IF($G$2&lt;&gt;"Não se aplica",SUMIF(TE!$G$49:'TE'!$G$87,$I$2,TE!$N$49:'TE'!$N$87),IF($F$2&lt;&gt;"Não se aplica",SUMIF(TE!$F$49:'TE'!$F$87,$I$2,TE!$N$49:'TE'!$N$87),IF($E$2&lt;&gt;"Não se aplica",SUMIF(TE!$E$49:'TE'!$E$87,$I$2,TE!$N$49:'TE'!$N$87),IF($D$2&lt;&gt;"Não se aplica",SUMIF(TE!$D$49:'TE'!$D$87,$I$2,TE!$N$49:'TE'!$N$87),IF($C$2&lt;&gt;"Não se aplica",SUMIF(TE!$C$49:'TE'!$C$87,$I$2,TE!$N$49:'TE'!$N$87),IF($B$2&lt;&gt;"Não se aplica",SUMIF(TE!$B$49:'TE'!$B$87,$I$2,TE!$N$49:'TE'!$N$87),SUMIF(TE!$A$49:'TE'!$A$87,$I$2,TE!$N$49:'TE'!$N$87)))))))</f>
        <v>0</v>
      </c>
      <c r="E9" s="45">
        <f>IF($G$2&lt;&gt;"Não se aplica",SUMIF(TE!$G$49:'TE'!$G$87,$I$2,TE!$O$49:'TE'!$O$87),IF($F$2&lt;&gt;"Não se aplica",SUMIF(TE!$F$49:'TE'!$F$87,$I$2,TE!$O$49:'TE'!$O$87),IF($E$2&lt;&gt;"Não se aplica",SUMIF(TE!$E$49:'TE'!$E$87,$I$2,TE!$O$49:'TE'!$O$87),IF($D$2&lt;&gt;"Não se aplica",SUMIF(TE!$D$49:'TE'!$D$87,$I$2,TE!$O$49:'TE'!$O$87),IF($C$2&lt;&gt;"Não se aplica",SUMIF(TE!$C$49:'TE'!$C$87,$I$2,TE!$O$49:'TE'!$O$87),IF($B$2&lt;&gt;"Não se aplica",SUMIF(TE!$B$49:'TE'!$B$87,$I$2,TE!$O$49:'TE'!$O$87),SUMIF(TE!$A$49:'TE'!$A$87,$I$2,TE!$O$49:'TE'!$O$87)))))))</f>
        <v>0</v>
      </c>
      <c r="F9" s="45">
        <f>IF($G$2&lt;&gt;"Não se aplica",SUMIF(TE!$G$49:'TE'!$G$87,$I$2,TE!$P$49:'TE'!$P$87),IF($F$2&lt;&gt;"Não se aplica",SUMIF(TE!$F$49:'TE'!$F$87,$I$2,TE!$P$49:'TE'!$P$87),IF($E$2&lt;&gt;"Não se aplica",SUMIF(TE!$E$49:'TE'!$E$87,$I$2,TE!$P$49:'TE'!$P$87),IF($D$2&lt;&gt;"Não se aplica",SUMIF(TE!$D$49:'TE'!$D$87,$I$2,TE!$P$49:'TE'!$P$87),IF($C$2&lt;&gt;"Não se aplica",SUMIF(TE!$C$49:'TE'!$C$87,$I$2,TE!$P$49:'TE'!$P$87),IF($B$2&lt;&gt;"Não se aplica",SUMIF(TE!$B$49:'TE'!$B$87,$I$2,TE!$P$49:'TE'!$P$87),SUMIF(TE!$A$49:'TE'!$A$87,$I$2,TE!$P$49:'TE'!$P$87)))))))</f>
        <v>0</v>
      </c>
      <c r="G9" s="45">
        <f>IF($G$2&lt;&gt;"Não se aplica",SUMIF(TE!$G$49:'TE'!$G$87,$I$2,TE!$Q$49:'TE'!$Q$87),IF($F$2&lt;&gt;"Não se aplica",SUMIF(TE!$F$49:'TE'!$F$87,$I$2,TE!$Q$49:'TE'!$Q$87),IF($E$2&lt;&gt;"Não se aplica",SUMIF(TE!$E$49:'TE'!$E$87,$I$2,TE!$Q$49:'TE'!$Q$87),IF($D$2&lt;&gt;"Não se aplica",SUMIF(TE!$D$49:'TE'!$D$87,$I$2,TE!$Q$49:'TE'!$Q$87),IF($C$2&lt;&gt;"Não se aplica",SUMIF(TE!$C$49:'TE'!$C$87,$I$2,TE!$Q$49:'TE'!$Q$87),IF($B$2&lt;&gt;"Não se aplica",SUMIF(TE!$B$49:'TE'!$B$87,$I$2,TE!$Q$49:'TE'!$Q$87),SUMIF(TE!$A$49:'TE'!$A$87,$I$2,TE!$Q$49:'TE'!$Q$87)))))))</f>
        <v>1533193.4682112725</v>
      </c>
      <c r="H9" s="45">
        <f>IF($G$2&lt;&gt;"Não se aplica",SUMIF(TE!$G$49:'TE'!$G$87,$I$2,TE!$R$49:'TE'!$R$87),IF($F$2&lt;&gt;"Não se aplica",SUMIF(TE!$F$49:'TE'!$F$87,$I$2,TE!$R$49:'TE'!$R$87),IF($E$2&lt;&gt;"Não se aplica",SUMIF(TE!$E$49:'TE'!$E$87,$I$2,TE!$R$49:'TE'!$R$87),IF($D$2&lt;&gt;"Não se aplica",SUMIF(TE!$D$49:'TE'!$D$87,$I$2,TE!$R$49:'TE'!$R$87),IF($C$2&lt;&gt;"Não se aplica",SUMIF(TE!$C$49:'TE'!$C$87,$I$2,TE!$R$49:'TE'!$R$87),IF($B$2&lt;&gt;"Não se aplica",SUMIF(TE!$B$49:'TE'!$B$87,$I$2,TE!$R$49:'TE'!$R$87),SUMIF(TE!$A$49:'TE'!$A$87,$I$2,TE!$R$49:'TE'!$R$87)))))))</f>
        <v>0</v>
      </c>
      <c r="I9" s="45">
        <f>IF($G$2&lt;&gt;"Não se aplica",SUMIF(TE!$G$49:'TE'!$G$87,$I$2,TE!$S$49:'TE'!$S$87),IF($F$2&lt;&gt;"Não se aplica",SUMIF(TE!$F$49:'TE'!$F$87,$I$2,TE!$S$49:'TE'!$S$87),IF($E$2&lt;&gt;"Não se aplica",SUMIF(TE!$E$49:'TE'!$E$87,$I$2,TE!$S$49:'TE'!$S$87),IF($D$2&lt;&gt;"Não se aplica",SUMIF(TE!$D$49:'TE'!$D$87,$I$2,TE!$S$49:'TE'!$S$87),IF($C$2&lt;&gt;"Não se aplica",SUMIF(TE!$C$49:'TE'!$C$87,$I$2,TE!$S$49:'TE'!$S$87),IF($B$2&lt;&gt;"Não se aplica",SUMIF(TE!$B$49:'TE'!$B$87,$I$2,TE!$S$49:'TE'!$S$87),SUMIF(TE!$A$49:'TE'!$A$87,$I$2,TE!$S$49:'TE'!$S$87)))))))</f>
        <v>0</v>
      </c>
      <c r="J9" s="45">
        <f>IF($G$2&lt;&gt;"Não se aplica",SUMIF(TE!$G$49:'TE'!$G$87,$I$2,TE!$T$49:'TE'!$T$87),IF($F$2&lt;&gt;"Não se aplica",SUMIF(TE!$F$49:'TE'!$F$87,$I$2,TE!$T$49:'TE'!$T$87),IF($E$2&lt;&gt;"Não se aplica",SUMIF(TE!$E$49:'TE'!$E$87,$I$2,TE!$T$49:'TE'!$T$87),IF($D$2&lt;&gt;"Não se aplica",SUMIF(TE!$D$49:'TE'!$D$87,$I$2,TE!$T$49:'TE'!$T$87),IF($C$2&lt;&gt;"Não se aplica",SUMIF(TE!$C$49:'TE'!$C$87,$I$2,TE!$T$49:'TE'!$T$87),IF($B$2&lt;&gt;"Não se aplica",SUMIF(TE!$B$49:'TE'!$B$87,$I$2,TE!$T$49:'TE'!$T$87),SUMIF(TE!$A$49:'TE'!$A$87,$I$2,TE!$T$49:'TE'!$T$87)))))))</f>
        <v>0</v>
      </c>
      <c r="K9" s="45">
        <f>IF($G$2&lt;&gt;"Não se aplica",SUMIF(TE!$G$49:'TE'!$G$87,$I$2,TE!$U$49:'TE'!$U$87),IF($F$2&lt;&gt;"Não se aplica",SUMIF(TE!$F$49:'TE'!$F$87,$I$2,TE!$U$49:'TE'!$U$87),IF($E$2&lt;&gt;"Não se aplica",SUMIF(TE!$E$49:'TE'!$E$87,$I$2,TE!$U$49:'TE'!$U$87),IF($D$2&lt;&gt;"Não se aplica",SUMIF(TE!$D$49:'TE'!$D$87,$I$2,TE!$U$49:'TE'!$U$87),IF($C$2&lt;&gt;"Não se aplica",SUMIF(TE!$C$49:'TE'!$C$87,$I$2,TE!$U$49:'TE'!$U$87),IF($B$2&lt;&gt;"Não se aplica",SUMIF(TE!$B$49:'TE'!$B$87,$I$2,TE!$U$49:'TE'!$U$87),SUMIF(TE!$A$49:'TE'!$A$87,$I$2,TE!$U$49:'TE'!$U$87)))))))</f>
        <v>0</v>
      </c>
      <c r="L9" s="45">
        <f>IF($G$2&lt;&gt;"Não se aplica",SUMIF(TE!$G$49:'TE'!$G$87,$I$2,TE!$V$49:'TE'!$V$87),IF($F$2&lt;&gt;"Não se aplica",SUMIF(TE!$F$49:'TE'!$F$87,$I$2,TE!$V$49:'TE'!$V$87),IF($E$2&lt;&gt;"Não se aplica",SUMIF(TE!$E$49:'TE'!$E$87,$I$2,TE!$V$49:'TE'!$V$87),IF($D$2&lt;&gt;"Não se aplica",SUMIF(TE!$D$49:'TE'!$D$87,$I$2,TE!$V$49:'TE'!$V$87),IF($C$2&lt;&gt;"Não se aplica",SUMIF(TE!$C$49:'TE'!$C$87,$I$2,TE!$V$49:'TE'!$V$87),IF($B$2&lt;&gt;"Não se aplica",SUMIF(TE!$B$49:'TE'!$B$87,$I$2,TE!$V$49:'TE'!$V$87),SUMIF(TE!$A$49:'TE'!$A$87,$I$2,TE!$V$49:'TE'!$V$87)))))))</f>
        <v>0</v>
      </c>
      <c r="M9" s="45">
        <f t="shared" si="0"/>
        <v>1533193.4682112725</v>
      </c>
      <c r="AD9" s="14" t="s">
        <v>47</v>
      </c>
    </row>
    <row r="10" spans="1:33" x14ac:dyDescent="0.2">
      <c r="A10" s="14" t="s">
        <v>1079</v>
      </c>
      <c r="B10" s="45">
        <f>SUMIF(TE!$A$49:'TE'!$A$87,$A$2,TE!$X$49:'TE'!$X$87)</f>
        <v>0</v>
      </c>
      <c r="C10" s="45">
        <f>SUMIF(TE!$A$49:'TE'!$A$87,$A$2,TE!$Y$49:'TE'!$Y$87)</f>
        <v>0</v>
      </c>
      <c r="D10" s="45">
        <f>SUMIF(TE!$A$49:'TE'!$A$87,$A$2,TE!$Z$49:'TE'!$Z$87)</f>
        <v>0</v>
      </c>
      <c r="E10" s="45">
        <f>SUMIF(TE!$A$49:'TE'!$A$87,$A$2,TE!$AA$49:'TE'!$AA$87)</f>
        <v>0</v>
      </c>
      <c r="F10" s="45">
        <f>SUMIF(TE!$A$49:'TE'!$A$87,$A$2,TE!$AB$49:'TE'!$AB$87)</f>
        <v>0</v>
      </c>
      <c r="G10" s="45">
        <f>SUMIF(TE!$A$49:'TE'!$A$87,$A$2,TE!$AC$49:'TE'!$AC$87)</f>
        <v>1789762.8281641845</v>
      </c>
      <c r="H10" s="45">
        <f>SUMIF(TE!$A$49:'TE'!$A$87,$A$2,TE!$AD$49:'TE'!$AD$87)</f>
        <v>0</v>
      </c>
      <c r="I10" s="45">
        <f>SUMIF(TE!$A$49:'TE'!$A$87,$A$2,TE!$AE$49:'TE'!$AE$87)</f>
        <v>0</v>
      </c>
      <c r="J10" s="45">
        <f>SUMIF(TE!$A$49:'TE'!$A$87,$A$2,TE!$AF$49:'TE'!$AF$87)</f>
        <v>0</v>
      </c>
      <c r="K10" s="45">
        <f>SUMIF(TE!$A$49:'TE'!$A$87,$A$2,TE!$AG$49:'TE'!$AG$87)</f>
        <v>0</v>
      </c>
      <c r="L10" s="45">
        <f>SUMIF(TE!$A$49:'TE'!$A$87,$A$2,TE!$AH$49:'TE'!$AH$87)</f>
        <v>0</v>
      </c>
      <c r="M10" s="45">
        <f t="shared" si="0"/>
        <v>1789762.8281641845</v>
      </c>
      <c r="AD10" s="14" t="s">
        <v>92</v>
      </c>
    </row>
    <row r="11" spans="1:33" x14ac:dyDescent="0.2">
      <c r="A11" s="14" t="s">
        <v>1080</v>
      </c>
      <c r="B11" s="45">
        <f>SUMIF(TE!$A$49:'TE'!$A$87,$A$2,TE!$L$49:'TE'!$L$87)</f>
        <v>0</v>
      </c>
      <c r="C11" s="45">
        <f>SUMIF(TE!$A$49:'TE'!$A$87,$A$2,TE!$M$49:'TE'!$M$87)</f>
        <v>0</v>
      </c>
      <c r="D11" s="45">
        <f>SUMIF(TE!$A$49:'TE'!$A$87,$A$2,TE!$N$49:'TE'!$N$87)</f>
        <v>0</v>
      </c>
      <c r="E11" s="45">
        <f>SUMIF(TE!$A$49:'TE'!$A$87,$A$2,TE!$O$49:'TE'!$O$87)</f>
        <v>0</v>
      </c>
      <c r="F11" s="45">
        <f>SUMIF(TE!$A$49:'TE'!$A$87,$A$2,TE!$P$49:'TE'!$P$87)</f>
        <v>0</v>
      </c>
      <c r="G11" s="45">
        <f>SUMIF(TE!$A$49:'TE'!$A$87,$A$2,TE!$Q$49:'TE'!$Q$87)</f>
        <v>1533193.4682112725</v>
      </c>
      <c r="H11" s="45">
        <f>SUMIF(TE!$A$49:'TE'!$A$87,$A$2,TE!$R$49:'TE'!$R$87)</f>
        <v>0</v>
      </c>
      <c r="I11" s="45">
        <f>SUMIF(TE!$A$49:'TE'!$A$87,$A$2,TE!$S$49:'TE'!$S$87)</f>
        <v>0</v>
      </c>
      <c r="J11" s="45">
        <f>SUMIF(TE!$A$49:'TE'!$A$87,$A$2,TE!$T$49:'TE'!$T$87)</f>
        <v>0</v>
      </c>
      <c r="K11" s="45">
        <f>SUMIF(TE!$A$49:'TE'!$A$87,$A$2,TE!$U$49:'TE'!$U$87)</f>
        <v>0</v>
      </c>
      <c r="L11" s="45">
        <f>SUMIF(TE!$A$49:'TE'!$A$87,$A$2,TE!$V$49:'TE'!$V$87)</f>
        <v>0</v>
      </c>
      <c r="M11" s="45">
        <f t="shared" si="0"/>
        <v>1533193.4682112725</v>
      </c>
    </row>
    <row r="13" spans="1:33" x14ac:dyDescent="0.2">
      <c r="A13" s="14" t="s">
        <v>1084</v>
      </c>
      <c r="B13" s="64">
        <f t="shared" ref="B13:M13" si="1">IF($M$6&lt;&gt;0,(B$7-B$6)/$M$6,0)</f>
        <v>0</v>
      </c>
      <c r="C13" s="64">
        <f t="shared" si="1"/>
        <v>0</v>
      </c>
      <c r="D13" s="64">
        <f t="shared" si="1"/>
        <v>0</v>
      </c>
      <c r="E13" s="64">
        <f t="shared" si="1"/>
        <v>0</v>
      </c>
      <c r="F13" s="64">
        <f t="shared" si="1"/>
        <v>0</v>
      </c>
      <c r="G13" s="64">
        <f t="shared" si="1"/>
        <v>-0.14086136975064401</v>
      </c>
      <c r="H13" s="64">
        <f t="shared" si="1"/>
        <v>0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-0.14086136975064401</v>
      </c>
    </row>
    <row r="14" spans="1:33" x14ac:dyDescent="0.2">
      <c r="A14" s="14" t="s">
        <v>1085</v>
      </c>
      <c r="B14" s="64">
        <f t="shared" ref="B14:M14" si="2">IF($M$10&lt;&gt;0,(B$9-B$8)/$M$10,0)</f>
        <v>0</v>
      </c>
      <c r="C14" s="64">
        <f t="shared" si="2"/>
        <v>0</v>
      </c>
      <c r="D14" s="64">
        <f t="shared" si="2"/>
        <v>0</v>
      </c>
      <c r="E14" s="64">
        <f t="shared" si="2"/>
        <v>0</v>
      </c>
      <c r="F14" s="64">
        <f t="shared" si="2"/>
        <v>0</v>
      </c>
      <c r="G14" s="64">
        <f t="shared" si="2"/>
        <v>-0.14335383209186614</v>
      </c>
      <c r="H14" s="64">
        <f t="shared" si="2"/>
        <v>0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-0.14335383209186614</v>
      </c>
    </row>
    <row r="15" spans="1:33" x14ac:dyDescent="0.2">
      <c r="A15" s="14" t="s">
        <v>1086</v>
      </c>
      <c r="B15" s="64">
        <f t="shared" ref="B15:M15" si="3">IF($M$8&lt;&gt;0,(B$9-B$8)/$M$8,0)</f>
        <v>0</v>
      </c>
      <c r="C15" s="64">
        <f t="shared" si="3"/>
        <v>0</v>
      </c>
      <c r="D15" s="64">
        <f t="shared" si="3"/>
        <v>0</v>
      </c>
      <c r="E15" s="64">
        <f t="shared" si="3"/>
        <v>0</v>
      </c>
      <c r="F15" s="64">
        <f t="shared" si="3"/>
        <v>0</v>
      </c>
      <c r="G15" s="64">
        <f t="shared" si="3"/>
        <v>-0.14335383209186614</v>
      </c>
      <c r="H15" s="64">
        <f t="shared" si="3"/>
        <v>0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-0.14335383209186614</v>
      </c>
    </row>
  </sheetData>
  <dataValidations count="5">
    <dataValidation type="list" allowBlank="1" showInputMessage="1" showErrorMessage="1" sqref="A2" xr:uid="{A6BD1CE6-3384-44A9-B966-90504244A308}">
      <formula1>AA1:AA6</formula1>
    </dataValidation>
    <dataValidation type="list" allowBlank="1" showInputMessage="1" showErrorMessage="1" sqref="B2 C2" xr:uid="{8E8AC299-1595-46ED-8C35-2EB1C0A3AD77}">
      <formula1>AB1:AB4</formula1>
    </dataValidation>
    <dataValidation type="list" allowBlank="1" showInputMessage="1" showErrorMessage="1" sqref="D2" xr:uid="{7955DEFA-30BE-493A-95DC-9385ED831E81}">
      <formula1>AD1:AD10</formula1>
    </dataValidation>
    <dataValidation type="list" allowBlank="1" showInputMessage="1" showErrorMessage="1" sqref="E2 F2" xr:uid="{3B1C72E4-872E-4D95-BD34-3CF205CBFAB1}">
      <formula1>AE1:AE1</formula1>
    </dataValidation>
    <dataValidation type="list" allowBlank="1" showInputMessage="1" showErrorMessage="1" sqref="G2" xr:uid="{0C0085BB-EA90-458C-BB21-AA8078804239}">
      <formula1>AG1:AG5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656-A640-4D43-832E-9D87C2B06E94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7" t="s">
        <v>680</v>
      </c>
      <c r="C1" s="57" t="s">
        <v>681</v>
      </c>
      <c r="D1" s="57" t="s">
        <v>682</v>
      </c>
      <c r="E1" s="57" t="s">
        <v>2</v>
      </c>
      <c r="F1" s="57" t="s">
        <v>683</v>
      </c>
      <c r="G1" s="57" t="s">
        <v>590</v>
      </c>
      <c r="H1" s="57" t="s">
        <v>3</v>
      </c>
      <c r="I1" s="57" t="s">
        <v>684</v>
      </c>
      <c r="J1" s="57" t="s">
        <v>5</v>
      </c>
      <c r="K1" s="57" t="s">
        <v>1</v>
      </c>
      <c r="L1" s="57" t="s">
        <v>685</v>
      </c>
      <c r="M1" s="57" t="s">
        <v>686</v>
      </c>
      <c r="N1" s="57" t="s">
        <v>687</v>
      </c>
      <c r="O1" s="57" t="s">
        <v>688</v>
      </c>
      <c r="P1" s="57" t="s">
        <v>689</v>
      </c>
      <c r="Q1" s="57" t="s">
        <v>690</v>
      </c>
      <c r="R1" s="57" t="s">
        <v>691</v>
      </c>
      <c r="S1" s="57" t="s">
        <v>692</v>
      </c>
      <c r="T1" s="57" t="s">
        <v>693</v>
      </c>
      <c r="U1" s="57" t="s">
        <v>694</v>
      </c>
    </row>
    <row r="2" spans="2:21" x14ac:dyDescent="0.25">
      <c r="B2" s="56" t="s">
        <v>661</v>
      </c>
      <c r="C2" s="56">
        <v>8144</v>
      </c>
      <c r="D2" s="56">
        <v>5370</v>
      </c>
      <c r="E2" s="56" t="s">
        <v>23</v>
      </c>
      <c r="F2" s="56">
        <v>1</v>
      </c>
      <c r="G2" s="56" t="s">
        <v>662</v>
      </c>
      <c r="H2" s="56" t="s">
        <v>43</v>
      </c>
      <c r="I2" s="56" t="s">
        <v>25</v>
      </c>
      <c r="J2" s="56" t="s">
        <v>43</v>
      </c>
      <c r="K2" s="56" t="s">
        <v>42</v>
      </c>
      <c r="L2" s="56">
        <v>0.3</v>
      </c>
      <c r="M2" s="56">
        <v>0.24</v>
      </c>
      <c r="N2" s="56">
        <v>0.18</v>
      </c>
      <c r="O2" s="56">
        <v>0.12</v>
      </c>
      <c r="P2" s="56">
        <v>0.06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663</v>
      </c>
      <c r="C3" s="56">
        <v>8145</v>
      </c>
      <c r="D3" s="56">
        <v>5370</v>
      </c>
      <c r="E3" s="56" t="s">
        <v>55</v>
      </c>
      <c r="F3" s="56">
        <v>1</v>
      </c>
      <c r="G3" s="56" t="s">
        <v>662</v>
      </c>
      <c r="H3" s="56" t="s">
        <v>43</v>
      </c>
      <c r="I3" s="56" t="s">
        <v>25</v>
      </c>
      <c r="J3" s="56" t="s">
        <v>43</v>
      </c>
      <c r="K3" s="56" t="s">
        <v>42</v>
      </c>
      <c r="L3" s="56">
        <v>0.3</v>
      </c>
      <c r="M3" s="56">
        <v>0.24</v>
      </c>
      <c r="N3" s="56">
        <v>0.18</v>
      </c>
      <c r="O3" s="56">
        <v>0.12</v>
      </c>
      <c r="P3" s="56">
        <v>0.06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664</v>
      </c>
      <c r="C4" s="56">
        <v>8146</v>
      </c>
      <c r="D4" s="56">
        <v>5370</v>
      </c>
      <c r="E4" s="56" t="s">
        <v>23</v>
      </c>
      <c r="F4" s="56">
        <v>1</v>
      </c>
      <c r="G4" s="56" t="s">
        <v>662</v>
      </c>
      <c r="H4" s="56" t="s">
        <v>43</v>
      </c>
      <c r="I4" s="56" t="s">
        <v>91</v>
      </c>
      <c r="J4" s="56" t="s">
        <v>665</v>
      </c>
      <c r="K4" s="56" t="s">
        <v>42</v>
      </c>
      <c r="L4" s="56">
        <v>0.4</v>
      </c>
      <c r="M4" s="56">
        <v>0.32</v>
      </c>
      <c r="N4" s="56">
        <v>0.24</v>
      </c>
      <c r="O4" s="56">
        <v>0.16</v>
      </c>
      <c r="P4" s="56">
        <v>0.08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666</v>
      </c>
      <c r="C5" s="56">
        <v>8147</v>
      </c>
      <c r="D5" s="56">
        <v>5370</v>
      </c>
      <c r="E5" s="56" t="s">
        <v>667</v>
      </c>
      <c r="F5" s="56">
        <v>1</v>
      </c>
      <c r="G5" s="56" t="s">
        <v>662</v>
      </c>
      <c r="H5" s="56" t="s">
        <v>43</v>
      </c>
      <c r="I5" s="56" t="s">
        <v>91</v>
      </c>
      <c r="J5" s="56" t="s">
        <v>665</v>
      </c>
      <c r="K5" s="56" t="s">
        <v>42</v>
      </c>
      <c r="L5" s="56">
        <v>0.4</v>
      </c>
      <c r="M5" s="56">
        <v>0.32</v>
      </c>
      <c r="N5" s="56">
        <v>0.24</v>
      </c>
      <c r="O5" s="56">
        <v>0.16</v>
      </c>
      <c r="P5" s="56">
        <v>0.08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668</v>
      </c>
      <c r="C6" s="56">
        <v>8134</v>
      </c>
      <c r="D6" s="56">
        <v>5370</v>
      </c>
      <c r="E6" s="56" t="s">
        <v>36</v>
      </c>
      <c r="F6" s="56">
        <v>1</v>
      </c>
      <c r="G6" s="56" t="s">
        <v>662</v>
      </c>
      <c r="H6" s="56" t="s">
        <v>48</v>
      </c>
      <c r="I6" s="56" t="s">
        <v>49</v>
      </c>
      <c r="J6" s="56" t="s">
        <v>665</v>
      </c>
      <c r="K6" s="56" t="s">
        <v>39</v>
      </c>
      <c r="L6" s="56">
        <v>0.15</v>
      </c>
      <c r="M6" s="56">
        <v>0.12</v>
      </c>
      <c r="N6" s="56">
        <v>0.09</v>
      </c>
      <c r="O6" s="56">
        <v>0.06</v>
      </c>
      <c r="P6" s="56">
        <v>0.03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669</v>
      </c>
      <c r="C7" s="56">
        <v>8135</v>
      </c>
      <c r="D7" s="56">
        <v>5370</v>
      </c>
      <c r="E7" s="56" t="s">
        <v>40</v>
      </c>
      <c r="F7" s="56">
        <v>1</v>
      </c>
      <c r="G7" s="56" t="s">
        <v>662</v>
      </c>
      <c r="H7" s="56" t="s">
        <v>48</v>
      </c>
      <c r="I7" s="56" t="s">
        <v>49</v>
      </c>
      <c r="J7" s="56" t="s">
        <v>665</v>
      </c>
      <c r="K7" s="56" t="s">
        <v>39</v>
      </c>
      <c r="L7" s="56">
        <v>0.15</v>
      </c>
      <c r="M7" s="56">
        <v>0.12</v>
      </c>
      <c r="N7" s="56">
        <v>0.09</v>
      </c>
      <c r="O7" s="56">
        <v>0.06</v>
      </c>
      <c r="P7" s="56">
        <v>0.03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670</v>
      </c>
      <c r="C8" s="56">
        <v>8136</v>
      </c>
      <c r="D8" s="56">
        <v>5370</v>
      </c>
      <c r="E8" s="56" t="s">
        <v>671</v>
      </c>
      <c r="F8" s="56">
        <v>1</v>
      </c>
      <c r="G8" s="56" t="s">
        <v>662</v>
      </c>
      <c r="H8" s="56" t="s">
        <v>48</v>
      </c>
      <c r="I8" s="56" t="s">
        <v>49</v>
      </c>
      <c r="J8" s="56" t="s">
        <v>665</v>
      </c>
      <c r="K8" s="56" t="s">
        <v>39</v>
      </c>
      <c r="L8" s="56">
        <v>0.15</v>
      </c>
      <c r="M8" s="56">
        <v>0.12</v>
      </c>
      <c r="N8" s="56">
        <v>0.09</v>
      </c>
      <c r="O8" s="56">
        <v>0.06</v>
      </c>
      <c r="P8" s="56">
        <v>0.03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672</v>
      </c>
      <c r="C9" s="56">
        <v>8137</v>
      </c>
      <c r="D9" s="56">
        <v>5370</v>
      </c>
      <c r="E9" s="56" t="s">
        <v>23</v>
      </c>
      <c r="F9" s="56">
        <v>1</v>
      </c>
      <c r="G9" s="56" t="s">
        <v>662</v>
      </c>
      <c r="H9" s="56" t="s">
        <v>48</v>
      </c>
      <c r="I9" s="56" t="s">
        <v>49</v>
      </c>
      <c r="J9" s="56" t="s">
        <v>665</v>
      </c>
      <c r="K9" s="56" t="s">
        <v>33</v>
      </c>
      <c r="L9" s="56">
        <v>0.15</v>
      </c>
      <c r="M9" s="56">
        <v>0.12</v>
      </c>
      <c r="N9" s="56">
        <v>0.09</v>
      </c>
      <c r="O9" s="56">
        <v>0.06</v>
      </c>
      <c r="P9" s="56">
        <v>0.03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673</v>
      </c>
      <c r="C10" s="56">
        <v>8138</v>
      </c>
      <c r="D10" s="56">
        <v>5370</v>
      </c>
      <c r="E10" s="56" t="s">
        <v>55</v>
      </c>
      <c r="F10" s="56">
        <v>1</v>
      </c>
      <c r="G10" s="56" t="s">
        <v>662</v>
      </c>
      <c r="H10" s="56" t="s">
        <v>48</v>
      </c>
      <c r="I10" s="56" t="s">
        <v>49</v>
      </c>
      <c r="J10" s="56" t="s">
        <v>665</v>
      </c>
      <c r="K10" s="56" t="s">
        <v>33</v>
      </c>
      <c r="L10" s="56">
        <v>0.15</v>
      </c>
      <c r="M10" s="56">
        <v>0.12</v>
      </c>
      <c r="N10" s="56">
        <v>0.09</v>
      </c>
      <c r="O10" s="56">
        <v>0.06</v>
      </c>
      <c r="P10" s="56">
        <v>0.03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674</v>
      </c>
      <c r="C11" s="56">
        <v>8139</v>
      </c>
      <c r="D11" s="56">
        <v>5370</v>
      </c>
      <c r="E11" s="56" t="s">
        <v>23</v>
      </c>
      <c r="F11" s="56">
        <v>1</v>
      </c>
      <c r="G11" s="56" t="s">
        <v>662</v>
      </c>
      <c r="H11" s="56" t="s">
        <v>43</v>
      </c>
      <c r="I11" s="56" t="s">
        <v>90</v>
      </c>
      <c r="J11" s="56" t="s">
        <v>665</v>
      </c>
      <c r="K11" s="56" t="s">
        <v>42</v>
      </c>
      <c r="L11" s="56">
        <v>0.3</v>
      </c>
      <c r="M11" s="56">
        <v>0.24</v>
      </c>
      <c r="N11" s="56">
        <v>0.18</v>
      </c>
      <c r="O11" s="56">
        <v>0.12</v>
      </c>
      <c r="P11" s="56">
        <v>0.06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675</v>
      </c>
      <c r="C12" s="56">
        <v>8140</v>
      </c>
      <c r="D12" s="56">
        <v>5370</v>
      </c>
      <c r="E12" s="56" t="s">
        <v>667</v>
      </c>
      <c r="F12" s="56">
        <v>1</v>
      </c>
      <c r="G12" s="56" t="s">
        <v>662</v>
      </c>
      <c r="H12" s="56" t="s">
        <v>43</v>
      </c>
      <c r="I12" s="56" t="s">
        <v>90</v>
      </c>
      <c r="J12" s="56" t="s">
        <v>665</v>
      </c>
      <c r="K12" s="56" t="s">
        <v>42</v>
      </c>
      <c r="L12" s="56">
        <v>0.3</v>
      </c>
      <c r="M12" s="56">
        <v>0.24</v>
      </c>
      <c r="N12" s="56">
        <v>0.18</v>
      </c>
      <c r="O12" s="56">
        <v>0.12</v>
      </c>
      <c r="P12" s="56">
        <v>0.06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676</v>
      </c>
      <c r="C13" s="56">
        <v>8141</v>
      </c>
      <c r="D13" s="56">
        <v>5370</v>
      </c>
      <c r="E13" s="56" t="s">
        <v>36</v>
      </c>
      <c r="F13" s="56">
        <v>1</v>
      </c>
      <c r="G13" s="56" t="s">
        <v>662</v>
      </c>
      <c r="H13" s="56" t="s">
        <v>43</v>
      </c>
      <c r="I13" s="56" t="s">
        <v>25</v>
      </c>
      <c r="J13" s="56" t="s">
        <v>677</v>
      </c>
      <c r="K13" s="56" t="s">
        <v>39</v>
      </c>
      <c r="L13" s="56">
        <v>0.1</v>
      </c>
      <c r="M13" s="56">
        <v>0.08</v>
      </c>
      <c r="N13" s="56">
        <v>0.06</v>
      </c>
      <c r="O13" s="56">
        <v>0.04</v>
      </c>
      <c r="P13" s="56">
        <v>0.02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678</v>
      </c>
      <c r="C14" s="56">
        <v>8142</v>
      </c>
      <c r="D14" s="56">
        <v>5370</v>
      </c>
      <c r="E14" s="56" t="s">
        <v>40</v>
      </c>
      <c r="F14" s="56">
        <v>1</v>
      </c>
      <c r="G14" s="56" t="s">
        <v>662</v>
      </c>
      <c r="H14" s="56" t="s">
        <v>43</v>
      </c>
      <c r="I14" s="56" t="s">
        <v>25</v>
      </c>
      <c r="J14" s="56" t="s">
        <v>677</v>
      </c>
      <c r="K14" s="56" t="s">
        <v>39</v>
      </c>
      <c r="L14" s="56">
        <v>0.1</v>
      </c>
      <c r="M14" s="56">
        <v>0.08</v>
      </c>
      <c r="N14" s="56">
        <v>0.06</v>
      </c>
      <c r="O14" s="56">
        <v>0.04</v>
      </c>
      <c r="P14" s="56">
        <v>0.02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679</v>
      </c>
      <c r="C15" s="56">
        <v>8143</v>
      </c>
      <c r="D15" s="56">
        <v>5370</v>
      </c>
      <c r="E15" s="56" t="s">
        <v>23</v>
      </c>
      <c r="F15" s="56">
        <v>1</v>
      </c>
      <c r="G15" s="56" t="s">
        <v>662</v>
      </c>
      <c r="H15" s="56" t="s">
        <v>43</v>
      </c>
      <c r="I15" s="56" t="s">
        <v>25</v>
      </c>
      <c r="J15" s="56" t="s">
        <v>677</v>
      </c>
      <c r="K15" s="56" t="s">
        <v>39</v>
      </c>
      <c r="L15" s="56">
        <v>0.1</v>
      </c>
      <c r="M15" s="56">
        <v>0.08</v>
      </c>
      <c r="N15" s="56">
        <v>0.06</v>
      </c>
      <c r="O15" s="56">
        <v>0.04</v>
      </c>
      <c r="P15" s="56">
        <v>0.02</v>
      </c>
      <c r="Q15" s="56">
        <v>0</v>
      </c>
      <c r="R15" s="56"/>
      <c r="S15" s="56"/>
      <c r="T15" s="56"/>
      <c r="U15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A3F0-CFD3-43BD-B4ED-B756D16A51F3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3" t="s">
        <v>1101</v>
      </c>
      <c r="B1" s="73" t="s">
        <v>22</v>
      </c>
      <c r="C1" s="73" t="s">
        <v>1100</v>
      </c>
      <c r="D1" s="73" t="s">
        <v>1099</v>
      </c>
      <c r="E1" s="73" t="s">
        <v>33</v>
      </c>
      <c r="F1" s="73" t="s">
        <v>1098</v>
      </c>
      <c r="G1" s="73" t="s">
        <v>1097</v>
      </c>
      <c r="H1" s="73" t="s">
        <v>583</v>
      </c>
      <c r="I1" s="73" t="s">
        <v>39</v>
      </c>
      <c r="J1" s="73" t="s">
        <v>582</v>
      </c>
      <c r="K1" s="73" t="s">
        <v>35</v>
      </c>
      <c r="L1" s="73" t="s">
        <v>581</v>
      </c>
    </row>
    <row r="2" spans="1:12" x14ac:dyDescent="0.2">
      <c r="A2" s="69" t="s">
        <v>1096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578.26221736301147</v>
      </c>
      <c r="C2" s="75">
        <f t="shared" si="0"/>
        <v>543.7297288125601</v>
      </c>
      <c r="D2" s="75">
        <f t="shared" si="0"/>
        <v>531.8003236769498</v>
      </c>
      <c r="E2" s="75">
        <f t="shared" si="0"/>
        <v>578.26221736301147</v>
      </c>
      <c r="F2" s="75">
        <f t="shared" si="0"/>
        <v>318.32675809234183</v>
      </c>
      <c r="G2" s="75">
        <f t="shared" si="0"/>
        <v>347.20847578908291</v>
      </c>
      <c r="H2" s="75">
        <f t="shared" si="0"/>
        <v>0</v>
      </c>
      <c r="I2" s="75">
        <f t="shared" si="0"/>
        <v>707.02276415327731</v>
      </c>
      <c r="J2" s="75">
        <f t="shared" si="0"/>
        <v>0</v>
      </c>
      <c r="K2" s="75">
        <f t="shared" si="0"/>
        <v>266.38487194074202</v>
      </c>
      <c r="L2" s="75">
        <f t="shared" si="0"/>
        <v>0</v>
      </c>
    </row>
    <row r="3" spans="1:12" ht="12" thickBot="1" x14ac:dyDescent="0.25">
      <c r="A3" s="67" t="s">
        <v>1095</v>
      </c>
      <c r="B3" s="74">
        <v>9.2100000000000009</v>
      </c>
      <c r="C3" s="74">
        <v>8.66</v>
      </c>
      <c r="D3" s="74">
        <v>8.4700000000000006</v>
      </c>
      <c r="E3" s="74">
        <v>9.2100000000000009</v>
      </c>
      <c r="F3" s="74">
        <v>5.07</v>
      </c>
      <c r="G3" s="74">
        <v>5.53</v>
      </c>
      <c r="H3" s="74">
        <v>0</v>
      </c>
      <c r="I3" s="74">
        <f>'TUSD BE'!$AC$10</f>
        <v>11.260773161951018</v>
      </c>
      <c r="J3" s="74">
        <v>0</v>
      </c>
      <c r="K3" s="74">
        <f>'TUSD BE'!$AC$6</f>
        <v>4.2427199926051511</v>
      </c>
      <c r="L3" s="74">
        <v>0</v>
      </c>
    </row>
    <row r="5" spans="1:12" ht="12" thickBot="1" x14ac:dyDescent="0.25">
      <c r="A5" s="73" t="s">
        <v>1094</v>
      </c>
      <c r="B5" s="73" t="s">
        <v>1093</v>
      </c>
    </row>
    <row r="6" spans="1:12" x14ac:dyDescent="0.2">
      <c r="A6" s="69" t="s">
        <v>1092</v>
      </c>
      <c r="B6" s="72">
        <v>9.9699999999999997E-2</v>
      </c>
    </row>
    <row r="7" spans="1:12" x14ac:dyDescent="0.2">
      <c r="A7" s="71" t="s">
        <v>1091</v>
      </c>
      <c r="B7" s="70">
        <v>0</v>
      </c>
    </row>
    <row r="8" spans="1:12" x14ac:dyDescent="0.2">
      <c r="A8" s="69" t="s">
        <v>1090</v>
      </c>
      <c r="B8" s="68">
        <v>49200000</v>
      </c>
    </row>
    <row r="9" spans="1:12" x14ac:dyDescent="0.2">
      <c r="A9" s="71" t="s">
        <v>1089</v>
      </c>
      <c r="B9" s="70">
        <v>0.04</v>
      </c>
    </row>
    <row r="10" spans="1:12" x14ac:dyDescent="0.2">
      <c r="A10" s="69" t="s">
        <v>1088</v>
      </c>
      <c r="B10" s="68">
        <v>20905487.620000001</v>
      </c>
    </row>
    <row r="11" spans="1:12" ht="12" thickBot="1" x14ac:dyDescent="0.25">
      <c r="A11" s="67" t="s">
        <v>1087</v>
      </c>
      <c r="B11" s="66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2022-09-12T18:29:00Z</dcterms:created>
  <dcterms:modified xsi:type="dcterms:W3CDTF">2022-09-15T14:19:56Z</dcterms:modified>
</cp:coreProperties>
</file>